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/Volumes/DIAMONT 1TB/HOA/HOA FILES/"/>
    </mc:Choice>
  </mc:AlternateContent>
  <xr:revisionPtr revIDLastSave="0" documentId="13_ncr:1_{598C620A-B009-E147-A933-60404ECAD6EA}" xr6:coauthVersionLast="47" xr6:coauthVersionMax="47" xr10:uidLastSave="{00000000-0000-0000-0000-000000000000}"/>
  <bookViews>
    <workbookView xWindow="0" yWindow="740" windowWidth="29400" windowHeight="18380" tabRatio="657" activeTab="5" xr2:uid="{00000000-000D-0000-FFFF-FFFF00000000}"/>
  </bookViews>
  <sheets>
    <sheet name="BUDGET 2016" sheetId="5" state="hidden" r:id="rId1"/>
    <sheet name="2025 Actual" sheetId="30" r:id="rId2"/>
    <sheet name="2024 Actual" sheetId="25" r:id="rId3"/>
    <sheet name="2024 Fixed" sheetId="24" state="hidden" r:id="rId4"/>
    <sheet name="YTD 2025" sheetId="29" r:id="rId5"/>
    <sheet name="YTD 2024 " sheetId="26" r:id="rId6"/>
    <sheet name="YTD 2024  (2)" sheetId="32" r:id="rId7"/>
    <sheet name="YTD 2023" sheetId="27" state="hidden" r:id="rId8"/>
    <sheet name="2023 actual" sheetId="20" state="hidden" r:id="rId9"/>
    <sheet name="2023 fixed" sheetId="22" state="hidden" r:id="rId10"/>
    <sheet name="PROJ 2023" sheetId="11" state="hidden" r:id="rId11"/>
    <sheet name="AquaTech" sheetId="23" state="hidden" r:id="rId12"/>
    <sheet name="Ann Ltr" sheetId="21" state="hidden" r:id="rId13"/>
    <sheet name="2022" sheetId="10" state="hidden" r:id="rId14"/>
    <sheet name="2021" sheetId="14" state="hidden" r:id="rId15"/>
    <sheet name="2020" sheetId="17" state="hidden" r:id="rId16"/>
    <sheet name="ACTUAL 2019" sheetId="16" state="hidden" r:id="rId17"/>
    <sheet name="Ann Calc" sheetId="15" state="hidden" r:id="rId18"/>
    <sheet name="Pivot" sheetId="19" state="hidden" r:id="rId19"/>
    <sheet name="Yr-Yr Exp Comp" sheetId="13" state="hidden" r:id="rId20"/>
    <sheet name="Balance Sheet" sheetId="8" state="hidden" r:id="rId21"/>
  </sheets>
  <definedNames>
    <definedName name="_xlnm.Print_Area" localSheetId="13">'2022'!$D$2:$S$34</definedName>
    <definedName name="_xlnm.Print_Area" localSheetId="17">'Ann Calc'!$B$2:$K$17</definedName>
    <definedName name="_xlnm.Print_Area" localSheetId="5">'YTD 2024 '!$A$1:$J$43</definedName>
    <definedName name="_xlnm.Print_Area" localSheetId="6">'YTD 2024  (2)'!$A$1:$J$107</definedName>
  </definedNames>
  <calcPr calcId="191029"/>
  <pivotCaches>
    <pivotCache cacheId="0" r:id="rId2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6" i="32" l="1"/>
  <c r="I36" i="32"/>
  <c r="F36" i="32"/>
  <c r="N34" i="32"/>
  <c r="E35" i="32"/>
  <c r="G35" i="32" s="1"/>
  <c r="J35" i="32" s="1"/>
  <c r="D35" i="32"/>
  <c r="N33" i="32"/>
  <c r="E34" i="32"/>
  <c r="G34" i="32" s="1"/>
  <c r="J34" i="32" s="1"/>
  <c r="D34" i="32"/>
  <c r="N32" i="32"/>
  <c r="E33" i="32"/>
  <c r="G33" i="32" s="1"/>
  <c r="J33" i="32" s="1"/>
  <c r="C33" i="32"/>
  <c r="C36" i="32" s="1"/>
  <c r="N31" i="32"/>
  <c r="E32" i="32"/>
  <c r="G32" i="32" s="1"/>
  <c r="J32" i="32" s="1"/>
  <c r="D32" i="32"/>
  <c r="O30" i="32"/>
  <c r="O31" i="32" s="1"/>
  <c r="N30" i="32"/>
  <c r="E31" i="32"/>
  <c r="G31" i="32" s="1"/>
  <c r="J31" i="32" s="1"/>
  <c r="D31" i="32"/>
  <c r="N29" i="32"/>
  <c r="P29" i="32" s="1"/>
  <c r="Q29" i="32" s="1"/>
  <c r="E30" i="32"/>
  <c r="G30" i="32" s="1"/>
  <c r="J30" i="32" s="1"/>
  <c r="D30" i="32"/>
  <c r="E29" i="32"/>
  <c r="D29" i="32"/>
  <c r="K27" i="32"/>
  <c r="I27" i="32"/>
  <c r="C27" i="32"/>
  <c r="E26" i="32"/>
  <c r="G26" i="32" s="1"/>
  <c r="J26" i="32" s="1"/>
  <c r="D26" i="32"/>
  <c r="F25" i="32"/>
  <c r="F27" i="32" s="1"/>
  <c r="E25" i="32"/>
  <c r="D25" i="32"/>
  <c r="E24" i="32"/>
  <c r="G24" i="32" s="1"/>
  <c r="D24" i="32"/>
  <c r="K22" i="32"/>
  <c r="I22" i="32"/>
  <c r="F22" i="32"/>
  <c r="C22" i="32"/>
  <c r="E21" i="32"/>
  <c r="G21" i="32" s="1"/>
  <c r="J21" i="32" s="1"/>
  <c r="D21" i="32"/>
  <c r="E20" i="32"/>
  <c r="G20" i="32" s="1"/>
  <c r="J20" i="32" s="1"/>
  <c r="D20" i="32"/>
  <c r="E19" i="32"/>
  <c r="G19" i="32" s="1"/>
  <c r="J19" i="32" s="1"/>
  <c r="D19" i="32"/>
  <c r="E18" i="32"/>
  <c r="G18" i="32" s="1"/>
  <c r="J18" i="32" s="1"/>
  <c r="D18" i="32"/>
  <c r="E17" i="32"/>
  <c r="G17" i="32" s="1"/>
  <c r="J17" i="32" s="1"/>
  <c r="D17" i="32"/>
  <c r="E16" i="32"/>
  <c r="G16" i="32" s="1"/>
  <c r="J16" i="32" s="1"/>
  <c r="D16" i="32"/>
  <c r="E15" i="32"/>
  <c r="G15" i="32" s="1"/>
  <c r="J15" i="32" s="1"/>
  <c r="D15" i="32"/>
  <c r="E14" i="32"/>
  <c r="G14" i="32" s="1"/>
  <c r="J14" i="32" s="1"/>
  <c r="D14" i="32"/>
  <c r="E13" i="32"/>
  <c r="G13" i="32" s="1"/>
  <c r="J13" i="32" s="1"/>
  <c r="D13" i="32"/>
  <c r="E12" i="32"/>
  <c r="G12" i="32" s="1"/>
  <c r="J12" i="32" s="1"/>
  <c r="D12" i="32"/>
  <c r="E11" i="32"/>
  <c r="G11" i="32" s="1"/>
  <c r="J11" i="32" s="1"/>
  <c r="D11" i="32"/>
  <c r="D22" i="32" s="1"/>
  <c r="D39" i="32" s="1"/>
  <c r="F8" i="32"/>
  <c r="C8" i="32"/>
  <c r="E7" i="32"/>
  <c r="G7" i="32" s="1"/>
  <c r="D7" i="32"/>
  <c r="O6" i="32"/>
  <c r="O7" i="32" s="1"/>
  <c r="O8" i="32" s="1"/>
  <c r="O9" i="32" s="1"/>
  <c r="M6" i="32"/>
  <c r="M7" i="32" s="1"/>
  <c r="E6" i="32"/>
  <c r="G6" i="32" s="1"/>
  <c r="D6" i="32"/>
  <c r="N5" i="32"/>
  <c r="P5" i="32" s="1"/>
  <c r="Q5" i="32" s="1"/>
  <c r="E5" i="32"/>
  <c r="D5" i="32"/>
  <c r="N56" i="25"/>
  <c r="O31" i="26"/>
  <c r="O32" i="26" s="1"/>
  <c r="O33" i="26" s="1"/>
  <c r="O34" i="26" s="1"/>
  <c r="O35" i="26" s="1"/>
  <c r="N31" i="26"/>
  <c r="N30" i="26"/>
  <c r="P30" i="26" s="1"/>
  <c r="Q30" i="26" s="1"/>
  <c r="O6" i="26"/>
  <c r="O7" i="26" s="1"/>
  <c r="O8" i="26" s="1"/>
  <c r="O9" i="26" s="1"/>
  <c r="N5" i="26"/>
  <c r="P5" i="26" s="1"/>
  <c r="Q5" i="26" s="1"/>
  <c r="M6" i="26"/>
  <c r="N6" i="26" s="1"/>
  <c r="R8" i="30"/>
  <c r="K36" i="26"/>
  <c r="K27" i="26"/>
  <c r="K22" i="26"/>
  <c r="S8" i="30"/>
  <c r="N39" i="30"/>
  <c r="S7" i="30"/>
  <c r="R7" i="30"/>
  <c r="S5" i="30"/>
  <c r="C5" i="30"/>
  <c r="C8" i="30" s="1"/>
  <c r="C23" i="30"/>
  <c r="T31" i="30"/>
  <c r="T30" i="30"/>
  <c r="T29" i="30"/>
  <c r="T32" i="30"/>
  <c r="T28" i="30"/>
  <c r="T27" i="30"/>
  <c r="T33" i="30"/>
  <c r="T26" i="30"/>
  <c r="C87" i="30"/>
  <c r="C85" i="30"/>
  <c r="H77" i="30"/>
  <c r="G77" i="30"/>
  <c r="H75" i="30"/>
  <c r="O71" i="30"/>
  <c r="H71" i="30"/>
  <c r="G71" i="30"/>
  <c r="N58" i="30"/>
  <c r="M58" i="30"/>
  <c r="L58" i="30"/>
  <c r="K58" i="30"/>
  <c r="J58" i="30"/>
  <c r="I58" i="30"/>
  <c r="H58" i="30"/>
  <c r="G58" i="30"/>
  <c r="F58" i="30"/>
  <c r="E58" i="30"/>
  <c r="D58" i="30"/>
  <c r="C58" i="30"/>
  <c r="C55" i="30"/>
  <c r="D51" i="30" s="1"/>
  <c r="D55" i="30" s="1"/>
  <c r="E51" i="30" s="1"/>
  <c r="E55" i="30" s="1"/>
  <c r="F51" i="30" s="1"/>
  <c r="F55" i="30" s="1"/>
  <c r="G51" i="30" s="1"/>
  <c r="G55" i="30" s="1"/>
  <c r="H51" i="30" s="1"/>
  <c r="H55" i="30" s="1"/>
  <c r="M53" i="30"/>
  <c r="N47" i="30"/>
  <c r="M47" i="30"/>
  <c r="L47" i="30"/>
  <c r="K47" i="30"/>
  <c r="J47" i="30"/>
  <c r="I47" i="30"/>
  <c r="H47" i="30"/>
  <c r="G47" i="30"/>
  <c r="F47" i="30"/>
  <c r="E47" i="30"/>
  <c r="D47" i="30"/>
  <c r="C47" i="30"/>
  <c r="O47" i="30" s="1"/>
  <c r="F43" i="30"/>
  <c r="E43" i="30"/>
  <c r="D43" i="30"/>
  <c r="C43" i="30"/>
  <c r="B40" i="30"/>
  <c r="N35" i="30"/>
  <c r="L35" i="30"/>
  <c r="H35" i="30"/>
  <c r="D35" i="30"/>
  <c r="O34" i="30"/>
  <c r="O33" i="30"/>
  <c r="O32" i="30"/>
  <c r="O31" i="30"/>
  <c r="I31" i="30"/>
  <c r="O30" i="30"/>
  <c r="O29" i="30"/>
  <c r="O28" i="30"/>
  <c r="O27" i="30"/>
  <c r="O26" i="30"/>
  <c r="F35" i="30"/>
  <c r="O25" i="30"/>
  <c r="O24" i="30"/>
  <c r="M23" i="30"/>
  <c r="M35" i="30" s="1"/>
  <c r="K23" i="30"/>
  <c r="K35" i="30" s="1"/>
  <c r="K36" i="30" s="1"/>
  <c r="K48" i="30" s="1"/>
  <c r="J23" i="30"/>
  <c r="J35" i="30" s="1"/>
  <c r="F23" i="30"/>
  <c r="D23" i="30"/>
  <c r="C22" i="30"/>
  <c r="C35" i="30" s="1"/>
  <c r="O21" i="30"/>
  <c r="O20" i="30"/>
  <c r="O19" i="30"/>
  <c r="O18" i="30"/>
  <c r="I17" i="30"/>
  <c r="I35" i="30" s="1"/>
  <c r="H17" i="30"/>
  <c r="G17" i="30"/>
  <c r="G35" i="30" s="1"/>
  <c r="O16" i="30"/>
  <c r="O15" i="30"/>
  <c r="O14" i="30"/>
  <c r="O13" i="30"/>
  <c r="O12" i="30"/>
  <c r="O11" i="30"/>
  <c r="H11" i="30"/>
  <c r="O10" i="30"/>
  <c r="N8" i="30"/>
  <c r="N36" i="30" s="1"/>
  <c r="N48" i="30" s="1"/>
  <c r="M8" i="30"/>
  <c r="L8" i="30"/>
  <c r="L36" i="30" s="1"/>
  <c r="L48" i="30" s="1"/>
  <c r="K8" i="30"/>
  <c r="J8" i="30"/>
  <c r="H8" i="30"/>
  <c r="F8" i="30"/>
  <c r="E8" i="30"/>
  <c r="D8" i="30"/>
  <c r="O7" i="30"/>
  <c r="O6" i="30"/>
  <c r="P5" i="30"/>
  <c r="I5" i="30"/>
  <c r="I8" i="30" s="1"/>
  <c r="I36" i="30" s="1"/>
  <c r="I48" i="30" s="1"/>
  <c r="G5" i="30"/>
  <c r="G8" i="30" s="1"/>
  <c r="P3" i="30"/>
  <c r="Q3" i="30" s="1"/>
  <c r="S3" i="30" s="1"/>
  <c r="G6" i="29"/>
  <c r="E34" i="26"/>
  <c r="E33" i="26"/>
  <c r="E32" i="26"/>
  <c r="E31" i="26"/>
  <c r="E30" i="26"/>
  <c r="E26" i="26"/>
  <c r="E21" i="26"/>
  <c r="E20" i="26"/>
  <c r="E19" i="26"/>
  <c r="G19" i="26" s="1"/>
  <c r="J19" i="26" s="1"/>
  <c r="E18" i="26"/>
  <c r="E16" i="26"/>
  <c r="E15" i="26"/>
  <c r="G15" i="26" s="1"/>
  <c r="J15" i="26" s="1"/>
  <c r="E14" i="26"/>
  <c r="E13" i="26"/>
  <c r="G13" i="26" s="1"/>
  <c r="J13" i="26" s="1"/>
  <c r="E12" i="26"/>
  <c r="F15" i="29"/>
  <c r="F16" i="29"/>
  <c r="F18" i="29"/>
  <c r="H18" i="29" s="1"/>
  <c r="F19" i="29"/>
  <c r="F20" i="29"/>
  <c r="F21" i="29"/>
  <c r="F26" i="29"/>
  <c r="F30" i="29"/>
  <c r="H30" i="29" s="1"/>
  <c r="F31" i="29"/>
  <c r="F32" i="29"/>
  <c r="F33" i="29"/>
  <c r="F34" i="29"/>
  <c r="G24" i="29"/>
  <c r="G25" i="29"/>
  <c r="G26" i="29"/>
  <c r="G29" i="29"/>
  <c r="G30" i="29"/>
  <c r="G31" i="29"/>
  <c r="G32" i="29"/>
  <c r="G33" i="29"/>
  <c r="G34" i="29"/>
  <c r="G35" i="29"/>
  <c r="F14" i="29"/>
  <c r="F13" i="29"/>
  <c r="F12" i="29"/>
  <c r="C46" i="29"/>
  <c r="L36" i="29"/>
  <c r="E35" i="29"/>
  <c r="E34" i="29"/>
  <c r="D33" i="29"/>
  <c r="E33" i="29" s="1"/>
  <c r="E32" i="29"/>
  <c r="H32" i="29" s="1"/>
  <c r="E31" i="29"/>
  <c r="E30" i="29"/>
  <c r="E29" i="29"/>
  <c r="L27" i="29"/>
  <c r="D27" i="29"/>
  <c r="E26" i="29"/>
  <c r="E25" i="29"/>
  <c r="E24" i="29"/>
  <c r="E27" i="29" s="1"/>
  <c r="L22" i="29"/>
  <c r="D22" i="29"/>
  <c r="G21" i="29"/>
  <c r="E21" i="29"/>
  <c r="G20" i="29"/>
  <c r="E20" i="29"/>
  <c r="H20" i="29" s="1"/>
  <c r="G19" i="29"/>
  <c r="E19" i="29"/>
  <c r="G18" i="29"/>
  <c r="E18" i="29"/>
  <c r="G17" i="29"/>
  <c r="E17" i="29"/>
  <c r="G16" i="29"/>
  <c r="E16" i="29"/>
  <c r="G15" i="29"/>
  <c r="E15" i="29"/>
  <c r="G14" i="29"/>
  <c r="E14" i="29"/>
  <c r="G13" i="29"/>
  <c r="E13" i="29"/>
  <c r="G12" i="29"/>
  <c r="N12" i="29" s="1"/>
  <c r="E12" i="29"/>
  <c r="G11" i="29"/>
  <c r="E11" i="29"/>
  <c r="E22" i="29" s="1"/>
  <c r="D8" i="29"/>
  <c r="G7" i="29"/>
  <c r="F7" i="29"/>
  <c r="H7" i="29" s="1"/>
  <c r="E7" i="29"/>
  <c r="F6" i="29"/>
  <c r="E6" i="29"/>
  <c r="G5" i="29"/>
  <c r="E5" i="29"/>
  <c r="E8" i="29" s="1"/>
  <c r="E7" i="26"/>
  <c r="E6" i="26"/>
  <c r="N58" i="25"/>
  <c r="F25" i="26"/>
  <c r="M53" i="25"/>
  <c r="M58" i="25" s="1"/>
  <c r="M23" i="25"/>
  <c r="I22" i="26"/>
  <c r="I27" i="26"/>
  <c r="I36" i="26"/>
  <c r="K23" i="25"/>
  <c r="E31" i="20"/>
  <c r="G35" i="27"/>
  <c r="G34" i="27"/>
  <c r="G33" i="27"/>
  <c r="F33" i="27"/>
  <c r="G32" i="27"/>
  <c r="F32" i="27"/>
  <c r="G31" i="27"/>
  <c r="F31" i="27"/>
  <c r="H31" i="27" s="1"/>
  <c r="G30" i="27"/>
  <c r="G29" i="27"/>
  <c r="G26" i="27"/>
  <c r="G24" i="27"/>
  <c r="G21" i="27"/>
  <c r="F21" i="27"/>
  <c r="G20" i="27"/>
  <c r="F20" i="27"/>
  <c r="G19" i="27"/>
  <c r="F19" i="27"/>
  <c r="H19" i="27" s="1"/>
  <c r="G18" i="27"/>
  <c r="F18" i="27"/>
  <c r="G17" i="27"/>
  <c r="G16" i="27"/>
  <c r="F16" i="27"/>
  <c r="G15" i="27"/>
  <c r="F15" i="27"/>
  <c r="H15" i="27" s="1"/>
  <c r="G14" i="27"/>
  <c r="G13" i="27"/>
  <c r="F13" i="27"/>
  <c r="G12" i="27"/>
  <c r="F12" i="27"/>
  <c r="G11" i="27"/>
  <c r="F11" i="27"/>
  <c r="H11" i="27" s="1"/>
  <c r="G7" i="27"/>
  <c r="H7" i="27" s="1"/>
  <c r="F7" i="27"/>
  <c r="G6" i="27"/>
  <c r="F6" i="27"/>
  <c r="G5" i="27"/>
  <c r="O21" i="20"/>
  <c r="O20" i="20"/>
  <c r="O18" i="20"/>
  <c r="O15" i="20"/>
  <c r="C46" i="27"/>
  <c r="D36" i="27"/>
  <c r="E35" i="27"/>
  <c r="E34" i="27"/>
  <c r="E33" i="27"/>
  <c r="D33" i="27"/>
  <c r="E32" i="27"/>
  <c r="E31" i="27"/>
  <c r="E30" i="27"/>
  <c r="E29" i="27"/>
  <c r="E36" i="27" s="1"/>
  <c r="D27" i="27"/>
  <c r="E26" i="27"/>
  <c r="E25" i="27"/>
  <c r="E27" i="27" s="1"/>
  <c r="E24" i="27"/>
  <c r="E22" i="27"/>
  <c r="E39" i="27" s="1"/>
  <c r="D22" i="27"/>
  <c r="D39" i="27" s="1"/>
  <c r="E21" i="27"/>
  <c r="E20" i="27"/>
  <c r="E19" i="27"/>
  <c r="E18" i="27"/>
  <c r="E17" i="27"/>
  <c r="E16" i="27"/>
  <c r="E15" i="27"/>
  <c r="E14" i="27"/>
  <c r="E13" i="27"/>
  <c r="E12" i="27"/>
  <c r="E11" i="27"/>
  <c r="D8" i="27"/>
  <c r="E7" i="27"/>
  <c r="E6" i="27"/>
  <c r="E5" i="27"/>
  <c r="E8" i="27" s="1"/>
  <c r="J23" i="25"/>
  <c r="O21" i="25"/>
  <c r="O20" i="25"/>
  <c r="O18" i="25"/>
  <c r="O15" i="25"/>
  <c r="I31" i="25"/>
  <c r="E35" i="26" s="1"/>
  <c r="O29" i="25"/>
  <c r="O28" i="25"/>
  <c r="O27" i="25"/>
  <c r="F23" i="25"/>
  <c r="D23" i="25"/>
  <c r="I17" i="25"/>
  <c r="H17" i="25"/>
  <c r="G17" i="25"/>
  <c r="C22" i="25"/>
  <c r="O22" i="25" s="1"/>
  <c r="O19" i="25"/>
  <c r="O16" i="25"/>
  <c r="O14" i="25"/>
  <c r="O13" i="25"/>
  <c r="O12" i="25"/>
  <c r="H11" i="25"/>
  <c r="O11" i="25" s="1"/>
  <c r="O6" i="25"/>
  <c r="I5" i="25"/>
  <c r="C33" i="26"/>
  <c r="D33" i="26" s="1"/>
  <c r="D35" i="26"/>
  <c r="D34" i="26"/>
  <c r="D32" i="26"/>
  <c r="D31" i="26"/>
  <c r="D30" i="26"/>
  <c r="D29" i="26"/>
  <c r="C27" i="26"/>
  <c r="D26" i="26"/>
  <c r="D25" i="26"/>
  <c r="D24" i="26"/>
  <c r="C22" i="26"/>
  <c r="D21" i="26"/>
  <c r="D20" i="26"/>
  <c r="D19" i="26"/>
  <c r="D18" i="26"/>
  <c r="D17" i="26"/>
  <c r="D16" i="26"/>
  <c r="D15" i="26"/>
  <c r="D14" i="26"/>
  <c r="D13" i="26"/>
  <c r="D12" i="26"/>
  <c r="D11" i="26"/>
  <c r="C8" i="26"/>
  <c r="D7" i="26"/>
  <c r="D6" i="26"/>
  <c r="D5" i="26"/>
  <c r="E8" i="32" l="1"/>
  <c r="F39" i="32"/>
  <c r="F41" i="32" s="1"/>
  <c r="I39" i="32"/>
  <c r="I41" i="32" s="1"/>
  <c r="K39" i="32"/>
  <c r="K41" i="32" s="1"/>
  <c r="D27" i="32"/>
  <c r="D8" i="32"/>
  <c r="D41" i="32" s="1"/>
  <c r="G25" i="32"/>
  <c r="J25" i="32" s="1"/>
  <c r="E22" i="32"/>
  <c r="E39" i="32" s="1"/>
  <c r="E41" i="32" s="1"/>
  <c r="C39" i="32"/>
  <c r="C41" i="32" s="1"/>
  <c r="G5" i="32"/>
  <c r="G8" i="32" s="1"/>
  <c r="P30" i="32"/>
  <c r="Q30" i="32" s="1"/>
  <c r="E27" i="32"/>
  <c r="E36" i="32"/>
  <c r="J24" i="32"/>
  <c r="R5" i="32"/>
  <c r="M8" i="32"/>
  <c r="N7" i="32"/>
  <c r="P7" i="32" s="1"/>
  <c r="O32" i="32"/>
  <c r="P31" i="32"/>
  <c r="G22" i="32"/>
  <c r="N6" i="32"/>
  <c r="P6" i="32" s="1"/>
  <c r="Q6" i="32" s="1"/>
  <c r="G29" i="32"/>
  <c r="D33" i="32"/>
  <c r="D36" i="32" s="1"/>
  <c r="I39" i="26"/>
  <c r="I41" i="26"/>
  <c r="K39" i="26"/>
  <c r="K41" i="26" s="1"/>
  <c r="P6" i="26"/>
  <c r="Q6" i="26" s="1"/>
  <c r="R5" i="26"/>
  <c r="M7" i="26"/>
  <c r="P31" i="26"/>
  <c r="Q31" i="26" s="1"/>
  <c r="N33" i="26"/>
  <c r="P33" i="26" s="1"/>
  <c r="O23" i="30"/>
  <c r="O35" i="30" s="1"/>
  <c r="J36" i="30"/>
  <c r="J48" i="30" s="1"/>
  <c r="H36" i="30"/>
  <c r="H48" i="30" s="1"/>
  <c r="D36" i="30"/>
  <c r="D48" i="30" s="1"/>
  <c r="T34" i="30"/>
  <c r="C36" i="30"/>
  <c r="C38" i="30"/>
  <c r="G36" i="30"/>
  <c r="G48" i="30" s="1"/>
  <c r="F36" i="30"/>
  <c r="F48" i="30" s="1"/>
  <c r="H69" i="30"/>
  <c r="I51" i="30"/>
  <c r="I55" i="30" s="1"/>
  <c r="J51" i="30" s="1"/>
  <c r="J55" i="30" s="1"/>
  <c r="K51" i="30" s="1"/>
  <c r="K55" i="30" s="1"/>
  <c r="L51" i="30" s="1"/>
  <c r="L55" i="30" s="1"/>
  <c r="M51" i="30" s="1"/>
  <c r="M55" i="30" s="1"/>
  <c r="N51" i="30" s="1"/>
  <c r="N55" i="30" s="1"/>
  <c r="H72" i="30"/>
  <c r="M36" i="30"/>
  <c r="M48" i="30" s="1"/>
  <c r="O17" i="30"/>
  <c r="E35" i="30"/>
  <c r="E36" i="30" s="1"/>
  <c r="E48" i="30" s="1"/>
  <c r="O5" i="30"/>
  <c r="O8" i="30" s="1"/>
  <c r="O22" i="30"/>
  <c r="H16" i="29"/>
  <c r="H31" i="29"/>
  <c r="F25" i="29"/>
  <c r="N25" i="29" s="1"/>
  <c r="H21" i="29"/>
  <c r="H26" i="29"/>
  <c r="H14" i="29"/>
  <c r="H15" i="29"/>
  <c r="H19" i="29"/>
  <c r="H33" i="29"/>
  <c r="H6" i="29"/>
  <c r="H12" i="29"/>
  <c r="H34" i="29"/>
  <c r="E17" i="26"/>
  <c r="G17" i="26" s="1"/>
  <c r="J17" i="26" s="1"/>
  <c r="H13" i="29"/>
  <c r="L39" i="29"/>
  <c r="L41" i="29" s="1"/>
  <c r="E36" i="29"/>
  <c r="E39" i="29" s="1"/>
  <c r="E41" i="29" s="1"/>
  <c r="E25" i="26"/>
  <c r="G25" i="26" s="1"/>
  <c r="J25" i="26" s="1"/>
  <c r="F35" i="29"/>
  <c r="N35" i="29" s="1"/>
  <c r="N15" i="29"/>
  <c r="E11" i="26"/>
  <c r="F24" i="29"/>
  <c r="N24" i="29" s="1"/>
  <c r="N21" i="29"/>
  <c r="N20" i="29"/>
  <c r="G22" i="29"/>
  <c r="N19" i="29"/>
  <c r="E24" i="26"/>
  <c r="G24" i="26" s="1"/>
  <c r="J24" i="26" s="1"/>
  <c r="F11" i="29"/>
  <c r="N11" i="29" s="1"/>
  <c r="F17" i="29"/>
  <c r="N17" i="29" s="1"/>
  <c r="N34" i="29"/>
  <c r="N16" i="29"/>
  <c r="G8" i="29"/>
  <c r="N18" i="29"/>
  <c r="G27" i="29"/>
  <c r="N31" i="29"/>
  <c r="N32" i="29"/>
  <c r="G36" i="29"/>
  <c r="N33" i="29"/>
  <c r="N26" i="29"/>
  <c r="N14" i="29"/>
  <c r="N13" i="29"/>
  <c r="N30" i="29"/>
  <c r="D36" i="29"/>
  <c r="D39" i="29" s="1"/>
  <c r="D41" i="29" s="1"/>
  <c r="G20" i="26"/>
  <c r="J20" i="26" s="1"/>
  <c r="G14" i="26"/>
  <c r="J14" i="26" s="1"/>
  <c r="G34" i="26"/>
  <c r="J34" i="26" s="1"/>
  <c r="O31" i="25"/>
  <c r="G18" i="26"/>
  <c r="J18" i="26" s="1"/>
  <c r="G16" i="26"/>
  <c r="J16" i="26" s="1"/>
  <c r="G21" i="26"/>
  <c r="J21" i="26" s="1"/>
  <c r="G26" i="26"/>
  <c r="J26" i="26" s="1"/>
  <c r="H12" i="27"/>
  <c r="H16" i="27"/>
  <c r="H20" i="27"/>
  <c r="H32" i="27"/>
  <c r="G8" i="27"/>
  <c r="H13" i="27"/>
  <c r="H21" i="27"/>
  <c r="H33" i="27"/>
  <c r="H18" i="27"/>
  <c r="G22" i="27"/>
  <c r="G31" i="26"/>
  <c r="J31" i="26" s="1"/>
  <c r="G36" i="27"/>
  <c r="E41" i="27"/>
  <c r="D41" i="27"/>
  <c r="H6" i="27"/>
  <c r="G30" i="26"/>
  <c r="J30" i="26" s="1"/>
  <c r="G32" i="26"/>
  <c r="J32" i="26" s="1"/>
  <c r="G33" i="26"/>
  <c r="J33" i="26" s="1"/>
  <c r="F36" i="26"/>
  <c r="F27" i="26"/>
  <c r="O23" i="25"/>
  <c r="O17" i="25"/>
  <c r="G12" i="26"/>
  <c r="J12" i="26" s="1"/>
  <c r="F22" i="26"/>
  <c r="F8" i="26"/>
  <c r="G6" i="26"/>
  <c r="C36" i="26"/>
  <c r="C39" i="26" s="1"/>
  <c r="C41" i="26" s="1"/>
  <c r="D8" i="26"/>
  <c r="G35" i="26"/>
  <c r="J35" i="26" s="1"/>
  <c r="D36" i="26"/>
  <c r="D22" i="26"/>
  <c r="D27" i="26"/>
  <c r="G7" i="26"/>
  <c r="G27" i="32" l="1"/>
  <c r="Q31" i="32"/>
  <c r="Q7" i="32"/>
  <c r="R6" i="32"/>
  <c r="G36" i="32"/>
  <c r="G39" i="32" s="1"/>
  <c r="G41" i="32" s="1"/>
  <c r="J29" i="32"/>
  <c r="N8" i="32"/>
  <c r="P8" i="32" s="1"/>
  <c r="M9" i="32"/>
  <c r="N9" i="32" s="1"/>
  <c r="P9" i="32" s="1"/>
  <c r="P32" i="32"/>
  <c r="Q32" i="32" s="1"/>
  <c r="O33" i="32"/>
  <c r="M8" i="26"/>
  <c r="N7" i="26"/>
  <c r="P7" i="26" s="1"/>
  <c r="Q7" i="26" s="1"/>
  <c r="R6" i="26"/>
  <c r="N35" i="26"/>
  <c r="P35" i="26" s="1"/>
  <c r="N32" i="26"/>
  <c r="P32" i="26" s="1"/>
  <c r="Q32" i="26" s="1"/>
  <c r="Q33" i="26" s="1"/>
  <c r="C84" i="30"/>
  <c r="C86" i="30" s="1"/>
  <c r="C88" i="30" s="1"/>
  <c r="D38" i="30"/>
  <c r="C59" i="30"/>
  <c r="C48" i="30"/>
  <c r="O48" i="30" s="1"/>
  <c r="O36" i="30"/>
  <c r="H25" i="29"/>
  <c r="H11" i="29"/>
  <c r="H24" i="29"/>
  <c r="H35" i="29"/>
  <c r="H17" i="29"/>
  <c r="H22" i="29" s="1"/>
  <c r="F27" i="29"/>
  <c r="F22" i="29"/>
  <c r="G39" i="29"/>
  <c r="G41" i="29" s="1"/>
  <c r="E27" i="26"/>
  <c r="G27" i="26"/>
  <c r="F39" i="26"/>
  <c r="F41" i="26" s="1"/>
  <c r="D39" i="26"/>
  <c r="D41" i="26" s="1"/>
  <c r="P33" i="32" l="1"/>
  <c r="Q33" i="32" s="1"/>
  <c r="O34" i="32"/>
  <c r="P34" i="32" s="1"/>
  <c r="R7" i="32"/>
  <c r="Q8" i="32"/>
  <c r="R7" i="26"/>
  <c r="M9" i="26"/>
  <c r="N9" i="26" s="1"/>
  <c r="P9" i="26" s="1"/>
  <c r="N8" i="26"/>
  <c r="P8" i="26" s="1"/>
  <c r="Q8" i="26" s="1"/>
  <c r="N34" i="26"/>
  <c r="P34" i="26" s="1"/>
  <c r="Q34" i="26" s="1"/>
  <c r="Q35" i="26" s="1"/>
  <c r="E38" i="30"/>
  <c r="D59" i="30"/>
  <c r="H27" i="29"/>
  <c r="I25" i="25"/>
  <c r="P3" i="25"/>
  <c r="Q3" i="25" s="1"/>
  <c r="S3" i="25" s="1"/>
  <c r="T31" i="25"/>
  <c r="T30" i="25"/>
  <c r="T29" i="25"/>
  <c r="T33" i="25"/>
  <c r="T32" i="25"/>
  <c r="T28" i="25"/>
  <c r="T27" i="25"/>
  <c r="T26" i="25"/>
  <c r="G5" i="25"/>
  <c r="H25" i="25"/>
  <c r="F25" i="25"/>
  <c r="C58" i="25"/>
  <c r="D58" i="25"/>
  <c r="E25" i="25"/>
  <c r="C87" i="25"/>
  <c r="O71" i="25"/>
  <c r="H71" i="25"/>
  <c r="G71" i="25"/>
  <c r="N47" i="25"/>
  <c r="M47" i="25"/>
  <c r="L47" i="25"/>
  <c r="K47" i="25"/>
  <c r="J47" i="25"/>
  <c r="I47" i="25"/>
  <c r="H47" i="25"/>
  <c r="G47" i="25"/>
  <c r="F47" i="25"/>
  <c r="D47" i="25"/>
  <c r="C47" i="25"/>
  <c r="C5" i="25"/>
  <c r="Q34" i="32" l="1"/>
  <c r="Q9" i="32"/>
  <c r="R9" i="32" s="1"/>
  <c r="R8" i="32"/>
  <c r="Q9" i="26"/>
  <c r="R9" i="26" s="1"/>
  <c r="R8" i="26"/>
  <c r="F38" i="30"/>
  <c r="E59" i="30"/>
  <c r="E5" i="26"/>
  <c r="E8" i="26" s="1"/>
  <c r="F5" i="29"/>
  <c r="H5" i="29" s="1"/>
  <c r="H8" i="29" s="1"/>
  <c r="E29" i="26"/>
  <c r="E36" i="26" s="1"/>
  <c r="F29" i="29"/>
  <c r="H29" i="29" s="1"/>
  <c r="H36" i="29" s="1"/>
  <c r="H39" i="29" s="1"/>
  <c r="T34" i="25"/>
  <c r="E22" i="26"/>
  <c r="G11" i="26"/>
  <c r="E17" i="21"/>
  <c r="N58" i="20"/>
  <c r="C85" i="25"/>
  <c r="G77" i="25"/>
  <c r="H75" i="25"/>
  <c r="H77" i="25" s="1"/>
  <c r="L58" i="25"/>
  <c r="K58" i="25"/>
  <c r="J58" i="25"/>
  <c r="I58" i="25"/>
  <c r="H58" i="25"/>
  <c r="G58" i="25"/>
  <c r="E58" i="25"/>
  <c r="C55" i="25"/>
  <c r="D51" i="25" s="1"/>
  <c r="D55" i="25" s="1"/>
  <c r="E51" i="25" s="1"/>
  <c r="E55" i="25" s="1"/>
  <c r="F51" i="25" s="1"/>
  <c r="F55" i="25" s="1"/>
  <c r="G51" i="25" s="1"/>
  <c r="G55" i="25" s="1"/>
  <c r="H51" i="25" s="1"/>
  <c r="H55" i="25" s="1"/>
  <c r="F58" i="25"/>
  <c r="F43" i="25"/>
  <c r="E43" i="25"/>
  <c r="D43" i="25"/>
  <c r="C43" i="25"/>
  <c r="M35" i="25"/>
  <c r="K35" i="25"/>
  <c r="F35" i="25"/>
  <c r="D35" i="25"/>
  <c r="O34" i="25"/>
  <c r="O33" i="25"/>
  <c r="O32" i="25"/>
  <c r="O30" i="25"/>
  <c r="I35" i="25"/>
  <c r="H35" i="25"/>
  <c r="G35" i="25"/>
  <c r="L35" i="25"/>
  <c r="C35" i="25"/>
  <c r="O24" i="25"/>
  <c r="E35" i="25"/>
  <c r="O10" i="25"/>
  <c r="N8" i="25"/>
  <c r="M8" i="25"/>
  <c r="L8" i="25"/>
  <c r="K8" i="25"/>
  <c r="J8" i="25"/>
  <c r="I8" i="25"/>
  <c r="H8" i="25"/>
  <c r="G8" i="25"/>
  <c r="F8" i="25"/>
  <c r="E8" i="25"/>
  <c r="C8" i="25"/>
  <c r="O7" i="25"/>
  <c r="S5" i="25"/>
  <c r="P5" i="25"/>
  <c r="O5" i="25"/>
  <c r="C82" i="24"/>
  <c r="C80" i="24"/>
  <c r="G72" i="24"/>
  <c r="H70" i="24"/>
  <c r="H72" i="24" s="1"/>
  <c r="O66" i="24"/>
  <c r="H66" i="24"/>
  <c r="G66" i="24"/>
  <c r="M55" i="24"/>
  <c r="L55" i="24"/>
  <c r="K55" i="24"/>
  <c r="J55" i="24"/>
  <c r="I55" i="24"/>
  <c r="H55" i="24"/>
  <c r="G55" i="24"/>
  <c r="E55" i="24"/>
  <c r="C53" i="24"/>
  <c r="F49" i="24"/>
  <c r="F55" i="24" s="1"/>
  <c r="D48" i="24"/>
  <c r="D53" i="24" s="1"/>
  <c r="E48" i="24" s="1"/>
  <c r="E53" i="24" s="1"/>
  <c r="F48" i="24" s="1"/>
  <c r="F53" i="24" s="1"/>
  <c r="G48" i="24" s="1"/>
  <c r="G53" i="24" s="1"/>
  <c r="H48" i="24" s="1"/>
  <c r="H53" i="24" s="1"/>
  <c r="N44" i="24"/>
  <c r="M44" i="24"/>
  <c r="L44" i="24"/>
  <c r="K44" i="24"/>
  <c r="J44" i="24"/>
  <c r="I44" i="24"/>
  <c r="H44" i="24"/>
  <c r="G44" i="24"/>
  <c r="F44" i="24"/>
  <c r="E44" i="24"/>
  <c r="D44" i="24"/>
  <c r="C44" i="24"/>
  <c r="O44" i="24" s="1"/>
  <c r="F40" i="24"/>
  <c r="E40" i="24"/>
  <c r="D40" i="24"/>
  <c r="C40" i="24"/>
  <c r="B37" i="24"/>
  <c r="L33" i="24"/>
  <c r="L45" i="24" s="1"/>
  <c r="M32" i="24"/>
  <c r="L32" i="24"/>
  <c r="K32" i="24"/>
  <c r="J32" i="24"/>
  <c r="I32" i="24"/>
  <c r="F32" i="24"/>
  <c r="D32" i="24"/>
  <c r="O31" i="24"/>
  <c r="O30" i="24"/>
  <c r="J30" i="24"/>
  <c r="I30" i="24"/>
  <c r="C30" i="24"/>
  <c r="C29" i="24"/>
  <c r="O29" i="24" s="1"/>
  <c r="O28" i="24"/>
  <c r="O27" i="24"/>
  <c r="O26" i="24"/>
  <c r="O25" i="24"/>
  <c r="O24" i="24"/>
  <c r="O23" i="24"/>
  <c r="O22" i="24"/>
  <c r="O21" i="24"/>
  <c r="P20" i="24"/>
  <c r="N20" i="24"/>
  <c r="O20" i="24" s="1"/>
  <c r="P19" i="24"/>
  <c r="N19" i="24"/>
  <c r="N32" i="24" s="1"/>
  <c r="E19" i="24"/>
  <c r="C19" i="24"/>
  <c r="O19" i="24" s="1"/>
  <c r="H18" i="24"/>
  <c r="O18" i="24" s="1"/>
  <c r="O17" i="24"/>
  <c r="I17" i="24"/>
  <c r="H17" i="24"/>
  <c r="I16" i="24"/>
  <c r="O16" i="24" s="1"/>
  <c r="R16" i="24" s="1"/>
  <c r="H16" i="24"/>
  <c r="H32" i="24" s="1"/>
  <c r="G16" i="24"/>
  <c r="G32" i="24" s="1"/>
  <c r="O15" i="24"/>
  <c r="N15" i="24"/>
  <c r="L15" i="24"/>
  <c r="E15" i="24"/>
  <c r="E32" i="24" s="1"/>
  <c r="E47" i="25" s="1"/>
  <c r="O47" i="25" s="1"/>
  <c r="C15" i="24"/>
  <c r="C32" i="24" s="1"/>
  <c r="C79" i="24" s="1"/>
  <c r="C81" i="24" s="1"/>
  <c r="C83" i="24" s="1"/>
  <c r="S14" i="24"/>
  <c r="O14" i="24"/>
  <c r="O13" i="24"/>
  <c r="O12" i="24"/>
  <c r="E12" i="24"/>
  <c r="O11" i="24"/>
  <c r="N8" i="24"/>
  <c r="N33" i="24" s="1"/>
  <c r="M8" i="24"/>
  <c r="M33" i="24" s="1"/>
  <c r="M45" i="24" s="1"/>
  <c r="L8" i="24"/>
  <c r="K8" i="24"/>
  <c r="K33" i="24" s="1"/>
  <c r="K45" i="24" s="1"/>
  <c r="J8" i="24"/>
  <c r="J33" i="24" s="1"/>
  <c r="J45" i="24" s="1"/>
  <c r="I8" i="24"/>
  <c r="I33" i="24" s="1"/>
  <c r="I45" i="24" s="1"/>
  <c r="H8" i="24"/>
  <c r="H33" i="24" s="1"/>
  <c r="H45" i="24" s="1"/>
  <c r="G8" i="24"/>
  <c r="G33" i="24" s="1"/>
  <c r="G45" i="24" s="1"/>
  <c r="F8" i="24"/>
  <c r="F33" i="24" s="1"/>
  <c r="F45" i="24" s="1"/>
  <c r="E8" i="24"/>
  <c r="E33" i="24" s="1"/>
  <c r="E45" i="24" s="1"/>
  <c r="C8" i="24"/>
  <c r="C33" i="24" s="1"/>
  <c r="O7" i="24"/>
  <c r="O6" i="24"/>
  <c r="S5" i="24"/>
  <c r="P5" i="24"/>
  <c r="O5" i="24"/>
  <c r="Q9" i="24" s="1"/>
  <c r="G5" i="24"/>
  <c r="D5" i="24"/>
  <c r="D8" i="24" s="1"/>
  <c r="D33" i="24" s="1"/>
  <c r="D45" i="24" s="1"/>
  <c r="N23" i="20"/>
  <c r="O19" i="20"/>
  <c r="M58" i="20"/>
  <c r="L58" i="20"/>
  <c r="C56" i="20"/>
  <c r="D51" i="20" s="1"/>
  <c r="D56" i="20" s="1"/>
  <c r="E51" i="20" s="1"/>
  <c r="E56" i="20" s="1"/>
  <c r="F51" i="20" s="1"/>
  <c r="I30" i="20"/>
  <c r="L23" i="20"/>
  <c r="K58" i="20"/>
  <c r="J58" i="20"/>
  <c r="I58" i="20"/>
  <c r="H58" i="20"/>
  <c r="J31" i="20"/>
  <c r="I26" i="20"/>
  <c r="I25" i="20"/>
  <c r="B38" i="23"/>
  <c r="D37" i="23"/>
  <c r="D35" i="23"/>
  <c r="D34" i="23"/>
  <c r="D33" i="23"/>
  <c r="D32" i="23"/>
  <c r="D31" i="23"/>
  <c r="D29" i="23"/>
  <c r="D28" i="23"/>
  <c r="I21" i="23"/>
  <c r="I23" i="23"/>
  <c r="I22" i="23" s="1"/>
  <c r="I17" i="23"/>
  <c r="I16" i="23"/>
  <c r="H73" i="20"/>
  <c r="H25" i="20"/>
  <c r="H30" i="20"/>
  <c r="C83" i="20"/>
  <c r="G75" i="20"/>
  <c r="N10" i="23"/>
  <c r="G58" i="20"/>
  <c r="G5" i="20"/>
  <c r="G8" i="20" s="1"/>
  <c r="G25" i="20"/>
  <c r="H26" i="20"/>
  <c r="U13" i="16"/>
  <c r="F52" i="20"/>
  <c r="F58" i="20" s="1"/>
  <c r="F43" i="20"/>
  <c r="E43" i="20"/>
  <c r="J8" i="20"/>
  <c r="I8" i="20"/>
  <c r="F35" i="20"/>
  <c r="M35" i="20"/>
  <c r="E58" i="20"/>
  <c r="E23" i="20"/>
  <c r="E22" i="20"/>
  <c r="E24" i="20"/>
  <c r="F26" i="27" s="1"/>
  <c r="H26" i="27" s="1"/>
  <c r="D43" i="20"/>
  <c r="C17" i="20"/>
  <c r="F17" i="27" s="1"/>
  <c r="H17" i="27" s="1"/>
  <c r="C39" i="22"/>
  <c r="N31" i="22"/>
  <c r="M31" i="22"/>
  <c r="L31" i="22"/>
  <c r="O29" i="22"/>
  <c r="O28" i="22"/>
  <c r="O27" i="22"/>
  <c r="O26" i="22"/>
  <c r="O25" i="22"/>
  <c r="O24" i="22"/>
  <c r="O23" i="22"/>
  <c r="O22" i="22"/>
  <c r="O21" i="22"/>
  <c r="P20" i="22"/>
  <c r="O20" i="22"/>
  <c r="P19" i="22"/>
  <c r="O19" i="22"/>
  <c r="O18" i="22"/>
  <c r="O17" i="22"/>
  <c r="K16" i="22"/>
  <c r="K31" i="22" s="1"/>
  <c r="J16" i="22"/>
  <c r="J31" i="22" s="1"/>
  <c r="I16" i="22"/>
  <c r="I31" i="22" s="1"/>
  <c r="H16" i="22"/>
  <c r="H31" i="22" s="1"/>
  <c r="G16" i="22"/>
  <c r="G31" i="22" s="1"/>
  <c r="F16" i="22"/>
  <c r="F31" i="22" s="1"/>
  <c r="E16" i="22"/>
  <c r="E31" i="22" s="1"/>
  <c r="D16" i="22"/>
  <c r="C31" i="22"/>
  <c r="S14" i="22"/>
  <c r="O14" i="22"/>
  <c r="O13" i="22"/>
  <c r="O12" i="22"/>
  <c r="O11" i="22"/>
  <c r="N8" i="22"/>
  <c r="N32" i="22" s="1"/>
  <c r="N47" i="20" s="1"/>
  <c r="M8" i="22"/>
  <c r="L8" i="22"/>
  <c r="K8" i="22"/>
  <c r="C8" i="22"/>
  <c r="O7" i="22"/>
  <c r="O6" i="22"/>
  <c r="S5" i="22"/>
  <c r="P5" i="22"/>
  <c r="J5" i="22"/>
  <c r="J8" i="22" s="1"/>
  <c r="J32" i="22" s="1"/>
  <c r="J47" i="20" s="1"/>
  <c r="I5" i="22"/>
  <c r="I8" i="22" s="1"/>
  <c r="I32" i="22" s="1"/>
  <c r="I47" i="20" s="1"/>
  <c r="H5" i="22"/>
  <c r="H8" i="22" s="1"/>
  <c r="G5" i="22"/>
  <c r="G8" i="22" s="1"/>
  <c r="F5" i="22"/>
  <c r="F8" i="22" s="1"/>
  <c r="F32" i="22" s="1"/>
  <c r="F47" i="20" s="1"/>
  <c r="E5" i="22"/>
  <c r="E8" i="22" s="1"/>
  <c r="E32" i="22" s="1"/>
  <c r="E47" i="20" s="1"/>
  <c r="D5" i="22"/>
  <c r="C43" i="20"/>
  <c r="C22" i="20"/>
  <c r="F24" i="27" s="1"/>
  <c r="C14" i="20"/>
  <c r="C23" i="20"/>
  <c r="E4" i="21"/>
  <c r="Q7" i="10"/>
  <c r="P57" i="10"/>
  <c r="P31" i="10"/>
  <c r="P51" i="10"/>
  <c r="S5" i="20"/>
  <c r="P29" i="20"/>
  <c r="P28" i="20"/>
  <c r="K35" i="20"/>
  <c r="D35" i="20"/>
  <c r="K8" i="20"/>
  <c r="L8" i="20"/>
  <c r="M8" i="20"/>
  <c r="N8" i="20"/>
  <c r="O6" i="20"/>
  <c r="O7" i="20"/>
  <c r="E8" i="20"/>
  <c r="D5" i="20"/>
  <c r="F8" i="20"/>
  <c r="P5" i="20"/>
  <c r="C8" i="20"/>
  <c r="O29" i="20"/>
  <c r="O34" i="20"/>
  <c r="O13" i="20"/>
  <c r="O16" i="20"/>
  <c r="O17" i="20"/>
  <c r="O33" i="20"/>
  <c r="O32" i="20"/>
  <c r="O28" i="20"/>
  <c r="O27" i="20"/>
  <c r="B23" i="21" s="1"/>
  <c r="O12" i="20"/>
  <c r="O11" i="20"/>
  <c r="O10" i="20"/>
  <c r="D23" i="15"/>
  <c r="D22" i="15"/>
  <c r="O30" i="10"/>
  <c r="O31" i="10" s="1"/>
  <c r="O37" i="10" s="1"/>
  <c r="N31" i="10"/>
  <c r="R30" i="10"/>
  <c r="M30" i="10"/>
  <c r="M15" i="10"/>
  <c r="Q20" i="11"/>
  <c r="Q21" i="11"/>
  <c r="Q22" i="11"/>
  <c r="Q23" i="11"/>
  <c r="Q24" i="11"/>
  <c r="Q25" i="11"/>
  <c r="E15" i="15"/>
  <c r="D15" i="15"/>
  <c r="P35" i="17"/>
  <c r="O35" i="17"/>
  <c r="N35" i="17"/>
  <c r="M35" i="17"/>
  <c r="L35" i="17"/>
  <c r="K35" i="17"/>
  <c r="J35" i="17"/>
  <c r="I35" i="17"/>
  <c r="H35" i="17"/>
  <c r="G35" i="17"/>
  <c r="F35" i="17"/>
  <c r="E35" i="17"/>
  <c r="Q34" i="17"/>
  <c r="Q33" i="17"/>
  <c r="Q32" i="17"/>
  <c r="Q31" i="17"/>
  <c r="Q30" i="17"/>
  <c r="Q29" i="17"/>
  <c r="Q28" i="17"/>
  <c r="Q27" i="17"/>
  <c r="Q26" i="17"/>
  <c r="Q25" i="17"/>
  <c r="Q24" i="17"/>
  <c r="Q23" i="17"/>
  <c r="Q22" i="17"/>
  <c r="Q21" i="17"/>
  <c r="Q20" i="17"/>
  <c r="Q19" i="17"/>
  <c r="Q18" i="17"/>
  <c r="Q17" i="17"/>
  <c r="Q16" i="17"/>
  <c r="Q15" i="17"/>
  <c r="Q14" i="17"/>
  <c r="U13" i="17"/>
  <c r="Q13" i="17"/>
  <c r="Q12" i="17"/>
  <c r="Q11" i="17"/>
  <c r="Q10" i="17"/>
  <c r="P8" i="17"/>
  <c r="P37" i="17" s="1"/>
  <c r="O8" i="17"/>
  <c r="N8" i="17"/>
  <c r="M8" i="17"/>
  <c r="L8" i="17"/>
  <c r="L37" i="17" s="1"/>
  <c r="K8" i="17"/>
  <c r="J8" i="17"/>
  <c r="I8" i="17"/>
  <c r="H8" i="17"/>
  <c r="H37" i="17" s="1"/>
  <c r="G8" i="17"/>
  <c r="F8" i="17"/>
  <c r="E8" i="17"/>
  <c r="Q7" i="17"/>
  <c r="Q8" i="17" s="1"/>
  <c r="P35" i="16"/>
  <c r="O35" i="16"/>
  <c r="N35" i="16"/>
  <c r="M35" i="16"/>
  <c r="L35" i="16"/>
  <c r="K35" i="16"/>
  <c r="J35" i="16"/>
  <c r="I35" i="16"/>
  <c r="H35" i="16"/>
  <c r="G35" i="16"/>
  <c r="F35" i="16"/>
  <c r="E35" i="16"/>
  <c r="Q34" i="16"/>
  <c r="Q33" i="16"/>
  <c r="Q32" i="16"/>
  <c r="Q31" i="16"/>
  <c r="Q30" i="16"/>
  <c r="Q29" i="16"/>
  <c r="Q28" i="16"/>
  <c r="Q27" i="16"/>
  <c r="Q26" i="16"/>
  <c r="Q25" i="16"/>
  <c r="Q24" i="16"/>
  <c r="Q23" i="16"/>
  <c r="Q22" i="16"/>
  <c r="Q21" i="16"/>
  <c r="Q20" i="16"/>
  <c r="Q19" i="16"/>
  <c r="Q18" i="16"/>
  <c r="Q17" i="16"/>
  <c r="Q16" i="16"/>
  <c r="Q15" i="16"/>
  <c r="Q14" i="16"/>
  <c r="Q13" i="16"/>
  <c r="Q12" i="16"/>
  <c r="Q11" i="16"/>
  <c r="Q10" i="16"/>
  <c r="P8" i="16"/>
  <c r="O8" i="16"/>
  <c r="O37" i="16" s="1"/>
  <c r="N8" i="16"/>
  <c r="M8" i="16"/>
  <c r="L8" i="16"/>
  <c r="K8" i="16"/>
  <c r="K37" i="16" s="1"/>
  <c r="J8" i="16"/>
  <c r="I8" i="16"/>
  <c r="H8" i="16"/>
  <c r="G8" i="16"/>
  <c r="G37" i="16" s="1"/>
  <c r="F8" i="16"/>
  <c r="E8" i="16"/>
  <c r="Q7" i="16"/>
  <c r="Q8" i="16" s="1"/>
  <c r="S41" i="10"/>
  <c r="P30" i="14"/>
  <c r="O30" i="14"/>
  <c r="N30" i="14"/>
  <c r="M30" i="14"/>
  <c r="L30" i="14"/>
  <c r="K30" i="14"/>
  <c r="J30" i="14"/>
  <c r="I30" i="14"/>
  <c r="H30" i="14"/>
  <c r="G30" i="14"/>
  <c r="F30" i="14"/>
  <c r="E30" i="14"/>
  <c r="Q28" i="14"/>
  <c r="Q27" i="14"/>
  <c r="Q26" i="14"/>
  <c r="Q25" i="14"/>
  <c r="Q24" i="14"/>
  <c r="Q23" i="14"/>
  <c r="Q22" i="14"/>
  <c r="Q21" i="14"/>
  <c r="Q20" i="14"/>
  <c r="Q19" i="14"/>
  <c r="B9" i="13" s="1"/>
  <c r="Q18" i="14"/>
  <c r="Q17" i="14"/>
  <c r="Q16" i="14"/>
  <c r="Q15" i="14"/>
  <c r="B8" i="13" s="1"/>
  <c r="Q14" i="14"/>
  <c r="U13" i="14"/>
  <c r="Q13" i="14"/>
  <c r="Q12" i="14"/>
  <c r="Q11" i="14"/>
  <c r="Q10" i="14"/>
  <c r="Q8" i="14"/>
  <c r="E7" i="15" s="1"/>
  <c r="P8" i="14"/>
  <c r="O8" i="14"/>
  <c r="N8" i="14"/>
  <c r="M8" i="14"/>
  <c r="L8" i="14"/>
  <c r="K8" i="14"/>
  <c r="J8" i="14"/>
  <c r="I8" i="14"/>
  <c r="H8" i="14"/>
  <c r="G8" i="14"/>
  <c r="F8" i="14"/>
  <c r="E8" i="14"/>
  <c r="S7" i="11"/>
  <c r="G38" i="30" l="1"/>
  <c r="F59" i="30"/>
  <c r="H41" i="29"/>
  <c r="F36" i="29"/>
  <c r="F39" i="29" s="1"/>
  <c r="F8" i="29"/>
  <c r="G29" i="26"/>
  <c r="J29" i="26" s="1"/>
  <c r="E39" i="26"/>
  <c r="E41" i="26" s="1"/>
  <c r="G22" i="26"/>
  <c r="J11" i="26"/>
  <c r="H24" i="27"/>
  <c r="O30" i="20"/>
  <c r="F34" i="27"/>
  <c r="H34" i="27" s="1"/>
  <c r="O26" i="20"/>
  <c r="B25" i="21" s="1"/>
  <c r="F30" i="27"/>
  <c r="H30" i="27" s="1"/>
  <c r="F29" i="27"/>
  <c r="J35" i="20"/>
  <c r="F35" i="27"/>
  <c r="H35" i="27" s="1"/>
  <c r="O14" i="20"/>
  <c r="F14" i="27"/>
  <c r="L35" i="20"/>
  <c r="G25" i="27"/>
  <c r="G27" i="27" s="1"/>
  <c r="G39" i="27" s="1"/>
  <c r="G41" i="27" s="1"/>
  <c r="D8" i="20"/>
  <c r="D36" i="20" s="1"/>
  <c r="F5" i="27"/>
  <c r="F25" i="27"/>
  <c r="H25" i="27" s="1"/>
  <c r="O31" i="20"/>
  <c r="G5" i="26"/>
  <c r="G8" i="26" s="1"/>
  <c r="J35" i="25"/>
  <c r="J36" i="25" s="1"/>
  <c r="J48" i="25" s="1"/>
  <c r="L36" i="25"/>
  <c r="L48" i="25" s="1"/>
  <c r="M36" i="25"/>
  <c r="M48" i="25" s="1"/>
  <c r="O26" i="25"/>
  <c r="N35" i="25"/>
  <c r="N36" i="25" s="1"/>
  <c r="N48" i="25" s="1"/>
  <c r="I36" i="25"/>
  <c r="I48" i="25" s="1"/>
  <c r="K36" i="25"/>
  <c r="K48" i="25" s="1"/>
  <c r="H36" i="25"/>
  <c r="H48" i="25" s="1"/>
  <c r="G36" i="25"/>
  <c r="G48" i="25" s="1"/>
  <c r="E36" i="25"/>
  <c r="E48" i="25" s="1"/>
  <c r="F36" i="25"/>
  <c r="F48" i="25" s="1"/>
  <c r="C36" i="25"/>
  <c r="C48" i="25" s="1"/>
  <c r="C84" i="25"/>
  <c r="C86" i="25" s="1"/>
  <c r="C88" i="25" s="1"/>
  <c r="O8" i="25"/>
  <c r="H69" i="25"/>
  <c r="H72" i="25" s="1"/>
  <c r="I51" i="25"/>
  <c r="I55" i="25" s="1"/>
  <c r="J51" i="25" s="1"/>
  <c r="J55" i="25" s="1"/>
  <c r="K51" i="25" s="1"/>
  <c r="K55" i="25" s="1"/>
  <c r="L51" i="25" s="1"/>
  <c r="L55" i="25" s="1"/>
  <c r="M51" i="25" s="1"/>
  <c r="M55" i="25" s="1"/>
  <c r="D8" i="25"/>
  <c r="D36" i="25" s="1"/>
  <c r="D48" i="25" s="1"/>
  <c r="O25" i="25"/>
  <c r="O33" i="24"/>
  <c r="C45" i="24"/>
  <c r="O45" i="24" s="1"/>
  <c r="C35" i="24"/>
  <c r="D35" i="24" s="1"/>
  <c r="E35" i="24" s="1"/>
  <c r="F35" i="24" s="1"/>
  <c r="G35" i="24" s="1"/>
  <c r="O32" i="24"/>
  <c r="H64" i="24"/>
  <c r="H67" i="24" s="1"/>
  <c r="I48" i="24"/>
  <c r="I53" i="24" s="1"/>
  <c r="J48" i="24" s="1"/>
  <c r="J53" i="24" s="1"/>
  <c r="K48" i="24" s="1"/>
  <c r="K53" i="24" s="1"/>
  <c r="L48" i="24" s="1"/>
  <c r="L53" i="24" s="1"/>
  <c r="M48" i="24" s="1"/>
  <c r="M53" i="24" s="1"/>
  <c r="O8" i="24"/>
  <c r="N35" i="20"/>
  <c r="N36" i="20" s="1"/>
  <c r="N48" i="20" s="1"/>
  <c r="E37" i="17"/>
  <c r="M37" i="17"/>
  <c r="H37" i="16"/>
  <c r="P37" i="16"/>
  <c r="I37" i="17"/>
  <c r="G32" i="22"/>
  <c r="G47" i="20" s="1"/>
  <c r="L37" i="16"/>
  <c r="H32" i="22"/>
  <c r="H47" i="20" s="1"/>
  <c r="I25" i="23"/>
  <c r="D38" i="23"/>
  <c r="I35" i="20"/>
  <c r="I36" i="20" s="1"/>
  <c r="I48" i="20" s="1"/>
  <c r="H75" i="20"/>
  <c r="H35" i="20"/>
  <c r="C35" i="20"/>
  <c r="C36" i="20" s="1"/>
  <c r="O5" i="20"/>
  <c r="O22" i="20"/>
  <c r="B24" i="21" s="1"/>
  <c r="E35" i="20"/>
  <c r="E36" i="20" s="1"/>
  <c r="E48" i="20" s="1"/>
  <c r="G35" i="20"/>
  <c r="G36" i="20" s="1"/>
  <c r="H8" i="20"/>
  <c r="O5" i="22"/>
  <c r="D8" i="22"/>
  <c r="M32" i="22"/>
  <c r="M47" i="20" s="1"/>
  <c r="O16" i="22"/>
  <c r="O24" i="20"/>
  <c r="O23" i="20"/>
  <c r="L32" i="22"/>
  <c r="L47" i="20" s="1"/>
  <c r="K32" i="22"/>
  <c r="K47" i="20" s="1"/>
  <c r="D31" i="22"/>
  <c r="C85" i="20" s="1"/>
  <c r="O8" i="22"/>
  <c r="C32" i="22"/>
  <c r="O15" i="22"/>
  <c r="O31" i="22" s="1"/>
  <c r="M31" i="10"/>
  <c r="F36" i="20"/>
  <c r="F48" i="20" s="1"/>
  <c r="J36" i="20"/>
  <c r="J48" i="20" s="1"/>
  <c r="L36" i="20"/>
  <c r="K36" i="20"/>
  <c r="M36" i="20"/>
  <c r="M48" i="20" s="1"/>
  <c r="O25" i="20"/>
  <c r="B22" i="21" s="1"/>
  <c r="Q30" i="14"/>
  <c r="D7" i="15"/>
  <c r="D13" i="15" s="1"/>
  <c r="Q35" i="17"/>
  <c r="D8" i="15" s="1"/>
  <c r="D14" i="15" s="1"/>
  <c r="E37" i="16"/>
  <c r="I37" i="16"/>
  <c r="M37" i="16"/>
  <c r="Q35" i="16"/>
  <c r="C8" i="15" s="1"/>
  <c r="F37" i="17"/>
  <c r="J37" i="17"/>
  <c r="N37" i="17"/>
  <c r="F37" i="16"/>
  <c r="J37" i="16"/>
  <c r="N37" i="16"/>
  <c r="G37" i="17"/>
  <c r="K37" i="17"/>
  <c r="O37" i="17"/>
  <c r="C7" i="15"/>
  <c r="C9" i="15" s="1"/>
  <c r="B3" i="13"/>
  <c r="F32" i="14"/>
  <c r="J32" i="14"/>
  <c r="N32" i="14"/>
  <c r="B10" i="13"/>
  <c r="E13" i="15"/>
  <c r="G32" i="14"/>
  <c r="K32" i="14"/>
  <c r="O32" i="14"/>
  <c r="H32" i="14"/>
  <c r="L32" i="14"/>
  <c r="P32" i="14"/>
  <c r="E32" i="14"/>
  <c r="I32" i="14"/>
  <c r="M32" i="14"/>
  <c r="G69" i="30" l="1"/>
  <c r="G72" i="30" s="1"/>
  <c r="H38" i="30"/>
  <c r="G63" i="30"/>
  <c r="G65" i="30" s="1"/>
  <c r="G59" i="30"/>
  <c r="N51" i="25"/>
  <c r="N55" i="25" s="1"/>
  <c r="G36" i="26"/>
  <c r="G39" i="26" s="1"/>
  <c r="N29" i="29"/>
  <c r="F41" i="29"/>
  <c r="F8" i="27"/>
  <c r="H5" i="27"/>
  <c r="H8" i="27" s="1"/>
  <c r="F36" i="27"/>
  <c r="H29" i="27"/>
  <c r="H36" i="27" s="1"/>
  <c r="F22" i="27"/>
  <c r="H14" i="27"/>
  <c r="H22" i="27" s="1"/>
  <c r="H39" i="27" s="1"/>
  <c r="H41" i="27" s="1"/>
  <c r="F27" i="27"/>
  <c r="H27" i="27"/>
  <c r="O8" i="20"/>
  <c r="B15" i="21" s="1"/>
  <c r="Q8" i="20"/>
  <c r="K48" i="20"/>
  <c r="L48" i="20"/>
  <c r="O48" i="25"/>
  <c r="O36" i="25"/>
  <c r="O35" i="25"/>
  <c r="G64" i="24"/>
  <c r="G67" i="24" s="1"/>
  <c r="G56" i="24"/>
  <c r="G58" i="24"/>
  <c r="G60" i="24" s="1"/>
  <c r="H35" i="24"/>
  <c r="Q37" i="17"/>
  <c r="G48" i="20"/>
  <c r="H36" i="20"/>
  <c r="C82" i="20"/>
  <c r="C84" i="20" s="1"/>
  <c r="C86" i="20" s="1"/>
  <c r="D32" i="22"/>
  <c r="D47" i="20" s="1"/>
  <c r="D48" i="20" s="1"/>
  <c r="Q37" i="16"/>
  <c r="D9" i="15"/>
  <c r="O35" i="20"/>
  <c r="B16" i="21" s="1"/>
  <c r="C47" i="20"/>
  <c r="E44" i="11"/>
  <c r="Q11" i="11"/>
  <c r="J34" i="11"/>
  <c r="Q9" i="11"/>
  <c r="Q8" i="11"/>
  <c r="Q12" i="10"/>
  <c r="R12" i="10" s="1"/>
  <c r="Q8" i="10"/>
  <c r="Q6" i="10"/>
  <c r="P34" i="11"/>
  <c r="P35" i="11" s="1"/>
  <c r="O34" i="11"/>
  <c r="O35" i="11" s="1"/>
  <c r="N34" i="11"/>
  <c r="N35" i="11" s="1"/>
  <c r="M34" i="11"/>
  <c r="M35" i="11" s="1"/>
  <c r="L34" i="11"/>
  <c r="K34" i="11"/>
  <c r="K35" i="11" s="1"/>
  <c r="I34" i="11"/>
  <c r="H34" i="11"/>
  <c r="H35" i="11" s="1"/>
  <c r="G34" i="11"/>
  <c r="G35" i="11" s="1"/>
  <c r="F34" i="11"/>
  <c r="F35" i="11" s="1"/>
  <c r="E34" i="11"/>
  <c r="Q32" i="11"/>
  <c r="Q31" i="11"/>
  <c r="Q30" i="11"/>
  <c r="Q29" i="11"/>
  <c r="Q28" i="11"/>
  <c r="Q27" i="11"/>
  <c r="Q26" i="11"/>
  <c r="Q19" i="11"/>
  <c r="Q18" i="11"/>
  <c r="U17" i="11"/>
  <c r="Q17" i="11"/>
  <c r="Q16" i="11"/>
  <c r="Q15" i="11"/>
  <c r="Q14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Q20" i="10"/>
  <c r="K9" i="10"/>
  <c r="Q11" i="10"/>
  <c r="Q13" i="10"/>
  <c r="R13" i="10" s="1"/>
  <c r="Q14" i="10"/>
  <c r="R14" i="10" s="1"/>
  <c r="Q15" i="10"/>
  <c r="R15" i="10" s="1"/>
  <c r="Q16" i="10"/>
  <c r="B9" i="21" s="1"/>
  <c r="Q17" i="10"/>
  <c r="Q18" i="10"/>
  <c r="R18" i="10" s="1"/>
  <c r="Q19" i="10"/>
  <c r="Q21" i="10"/>
  <c r="Q22" i="10"/>
  <c r="R22" i="10" s="1"/>
  <c r="Q23" i="10"/>
  <c r="R23" i="10" s="1"/>
  <c r="Q24" i="10"/>
  <c r="R24" i="10" s="1"/>
  <c r="Q25" i="10"/>
  <c r="R25" i="10" s="1"/>
  <c r="Q26" i="10"/>
  <c r="R26" i="10" s="1"/>
  <c r="Q27" i="10"/>
  <c r="R27" i="10" s="1"/>
  <c r="Q28" i="10"/>
  <c r="R28" i="10" s="1"/>
  <c r="Q29" i="10"/>
  <c r="R29" i="10" s="1"/>
  <c r="P9" i="10"/>
  <c r="O9" i="10"/>
  <c r="N9" i="10"/>
  <c r="M9" i="10"/>
  <c r="L9" i="10"/>
  <c r="L31" i="10"/>
  <c r="K31" i="10"/>
  <c r="J9" i="10"/>
  <c r="I9" i="10"/>
  <c r="I31" i="10"/>
  <c r="H9" i="10"/>
  <c r="H31" i="10"/>
  <c r="G9" i="10"/>
  <c r="G31" i="10"/>
  <c r="F9" i="10"/>
  <c r="F31" i="10"/>
  <c r="E9" i="10"/>
  <c r="E31" i="10"/>
  <c r="X14" i="10"/>
  <c r="T12" i="5"/>
  <c r="Q6" i="5"/>
  <c r="Q7" i="5"/>
  <c r="Q25" i="5"/>
  <c r="Q34" i="5"/>
  <c r="Q14" i="5"/>
  <c r="Q10" i="5"/>
  <c r="Q15" i="5"/>
  <c r="Q16" i="5"/>
  <c r="Q17" i="5"/>
  <c r="Q18" i="5"/>
  <c r="Q19" i="5"/>
  <c r="Q20" i="5"/>
  <c r="Q21" i="5"/>
  <c r="Q24" i="5"/>
  <c r="Q23" i="5"/>
  <c r="Q11" i="5"/>
  <c r="Q12" i="5"/>
  <c r="Q31" i="5"/>
  <c r="Q32" i="5"/>
  <c r="Q13" i="5"/>
  <c r="Q22" i="5"/>
  <c r="Q26" i="5"/>
  <c r="Q27" i="5"/>
  <c r="Q28" i="5"/>
  <c r="Q29" i="5"/>
  <c r="Q30" i="5"/>
  <c r="Q33" i="5"/>
  <c r="U13" i="5"/>
  <c r="D13" i="8"/>
  <c r="D18" i="8" s="1"/>
  <c r="D32" i="8"/>
  <c r="J32" i="8" s="1"/>
  <c r="D39" i="8"/>
  <c r="J39" i="8" s="1"/>
  <c r="L39" i="8" s="1"/>
  <c r="F42" i="8"/>
  <c r="F44" i="8"/>
  <c r="J38" i="8"/>
  <c r="L38" i="8" s="1"/>
  <c r="F13" i="8"/>
  <c r="F18" i="8" s="1"/>
  <c r="F32" i="8"/>
  <c r="J30" i="8"/>
  <c r="L30" i="8" s="1"/>
  <c r="J29" i="8"/>
  <c r="L29" i="8" s="1"/>
  <c r="J28" i="8"/>
  <c r="L28" i="8" s="1"/>
  <c r="J27" i="8"/>
  <c r="L27" i="8" s="1"/>
  <c r="J26" i="8"/>
  <c r="L26" i="8" s="1"/>
  <c r="J25" i="8"/>
  <c r="L25" i="8" s="1"/>
  <c r="J24" i="8"/>
  <c r="L24" i="8" s="1"/>
  <c r="J23" i="8"/>
  <c r="L23" i="8" s="1"/>
  <c r="J22" i="8"/>
  <c r="L22" i="8" s="1"/>
  <c r="J16" i="8"/>
  <c r="L16" i="8" s="1"/>
  <c r="J11" i="8"/>
  <c r="L11" i="8" s="1"/>
  <c r="H42" i="8"/>
  <c r="H44" i="8" s="1"/>
  <c r="H13" i="8"/>
  <c r="H18" i="8" s="1"/>
  <c r="H32" i="8"/>
  <c r="H8" i="5"/>
  <c r="H35" i="5"/>
  <c r="G35" i="5"/>
  <c r="E35" i="5"/>
  <c r="F8" i="5"/>
  <c r="F35" i="5"/>
  <c r="I8" i="5"/>
  <c r="J8" i="5"/>
  <c r="K35" i="5"/>
  <c r="P8" i="5"/>
  <c r="I35" i="5"/>
  <c r="J35" i="5"/>
  <c r="L35" i="5"/>
  <c r="M35" i="5"/>
  <c r="N35" i="5"/>
  <c r="O35" i="5"/>
  <c r="P35" i="5"/>
  <c r="M8" i="5"/>
  <c r="N8" i="5"/>
  <c r="G8" i="5"/>
  <c r="L8" i="5"/>
  <c r="L37" i="5" s="1"/>
  <c r="O8" i="5"/>
  <c r="K8" i="5"/>
  <c r="E8" i="5"/>
  <c r="G41" i="26" l="1"/>
  <c r="I38" i="30"/>
  <c r="H59" i="30"/>
  <c r="F39" i="27"/>
  <c r="F41" i="27" s="1"/>
  <c r="B17" i="21"/>
  <c r="H56" i="24"/>
  <c r="I35" i="24"/>
  <c r="B12" i="21"/>
  <c r="P37" i="5"/>
  <c r="H37" i="5"/>
  <c r="O36" i="20"/>
  <c r="H48" i="20"/>
  <c r="E37" i="5"/>
  <c r="F37" i="5"/>
  <c r="F34" i="8"/>
  <c r="O32" i="22"/>
  <c r="O47" i="20"/>
  <c r="H34" i="8"/>
  <c r="R20" i="10"/>
  <c r="B10" i="21"/>
  <c r="R16" i="22"/>
  <c r="J37" i="5"/>
  <c r="R19" i="10"/>
  <c r="S19" i="10" s="1"/>
  <c r="B11" i="21"/>
  <c r="O37" i="5"/>
  <c r="I37" i="11"/>
  <c r="R25" i="20"/>
  <c r="C48" i="20"/>
  <c r="E35" i="11"/>
  <c r="E36" i="11" s="1"/>
  <c r="E37" i="11" s="1"/>
  <c r="L32" i="8"/>
  <c r="I37" i="5"/>
  <c r="K37" i="5"/>
  <c r="N37" i="5"/>
  <c r="M37" i="5"/>
  <c r="R17" i="10"/>
  <c r="S17" i="10" s="1"/>
  <c r="S22" i="10"/>
  <c r="R21" i="10"/>
  <c r="C8" i="13"/>
  <c r="R16" i="10"/>
  <c r="S16" i="10" s="1"/>
  <c r="S25" i="10"/>
  <c r="S26" i="10"/>
  <c r="S20" i="10"/>
  <c r="Q32" i="14"/>
  <c r="B4" i="13"/>
  <c r="E8" i="15"/>
  <c r="J7" i="15"/>
  <c r="Q5" i="11"/>
  <c r="Q31" i="10"/>
  <c r="C9" i="13"/>
  <c r="D9" i="13" s="1"/>
  <c r="C10" i="13"/>
  <c r="D10" i="13" s="1"/>
  <c r="E10" i="13" s="1"/>
  <c r="R11" i="10"/>
  <c r="J35" i="11"/>
  <c r="J36" i="11" s="1"/>
  <c r="J37" i="11" s="1"/>
  <c r="L35" i="11"/>
  <c r="L36" i="11" s="1"/>
  <c r="L37" i="11" s="1"/>
  <c r="I35" i="11"/>
  <c r="I36" i="11" s="1"/>
  <c r="Q9" i="10"/>
  <c r="B2" i="21" s="1"/>
  <c r="G33" i="10"/>
  <c r="I33" i="10"/>
  <c r="F33" i="10"/>
  <c r="Q6" i="11"/>
  <c r="I7" i="15" s="1"/>
  <c r="Q7" i="11"/>
  <c r="Q10" i="11"/>
  <c r="G7" i="15" s="1"/>
  <c r="P36" i="11"/>
  <c r="P37" i="11" s="1"/>
  <c r="F36" i="11"/>
  <c r="F37" i="11" s="1"/>
  <c r="N36" i="11"/>
  <c r="N37" i="11" s="1"/>
  <c r="M36" i="11"/>
  <c r="M37" i="11" s="1"/>
  <c r="H36" i="11"/>
  <c r="H37" i="11" s="1"/>
  <c r="O36" i="11"/>
  <c r="O37" i="11" s="1"/>
  <c r="K36" i="11"/>
  <c r="K37" i="11" s="1"/>
  <c r="G36" i="11"/>
  <c r="G37" i="11" s="1"/>
  <c r="Q34" i="11"/>
  <c r="E33" i="10"/>
  <c r="P33" i="10"/>
  <c r="N33" i="10"/>
  <c r="M33" i="10"/>
  <c r="M34" i="10" s="1"/>
  <c r="L33" i="10"/>
  <c r="O33" i="10"/>
  <c r="D34" i="8"/>
  <c r="Q8" i="5"/>
  <c r="Q35" i="5"/>
  <c r="G37" i="5"/>
  <c r="J18" i="8"/>
  <c r="L18" i="8" s="1"/>
  <c r="J13" i="8"/>
  <c r="L13" i="8" s="1"/>
  <c r="H33" i="10"/>
  <c r="K33" i="10"/>
  <c r="J33" i="10"/>
  <c r="I59" i="30" l="1"/>
  <c r="J38" i="30"/>
  <c r="O48" i="20"/>
  <c r="I56" i="24"/>
  <c r="J35" i="24"/>
  <c r="Q37" i="11"/>
  <c r="E45" i="11"/>
  <c r="R31" i="10"/>
  <c r="B3" i="21"/>
  <c r="B4" i="21" s="1"/>
  <c r="S27" i="10"/>
  <c r="S21" i="10"/>
  <c r="S24" i="10"/>
  <c r="S18" i="10"/>
  <c r="E9" i="15"/>
  <c r="E14" i="15"/>
  <c r="N34" i="10"/>
  <c r="H7" i="15"/>
  <c r="K7" i="15"/>
  <c r="K8" i="15"/>
  <c r="J8" i="15"/>
  <c r="J9" i="15" s="1"/>
  <c r="C4" i="13"/>
  <c r="D4" i="13" s="1"/>
  <c r="R9" i="10"/>
  <c r="S9" i="10" s="1"/>
  <c r="F7" i="15"/>
  <c r="F13" i="15" s="1"/>
  <c r="C3" i="13"/>
  <c r="D3" i="13" s="1"/>
  <c r="D8" i="13"/>
  <c r="D11" i="13" s="1"/>
  <c r="F8" i="15"/>
  <c r="Q35" i="11"/>
  <c r="Q36" i="11" s="1"/>
  <c r="J34" i="8"/>
  <c r="L34" i="8" s="1"/>
  <c r="D40" i="8"/>
  <c r="Q37" i="5"/>
  <c r="J59" i="30" l="1"/>
  <c r="K38" i="30"/>
  <c r="K35" i="24"/>
  <c r="J56" i="24"/>
  <c r="O34" i="10"/>
  <c r="O39" i="10" s="1"/>
  <c r="K9" i="15"/>
  <c r="G8" i="15"/>
  <c r="G9" i="15" s="1"/>
  <c r="I8" i="15"/>
  <c r="I9" i="15" s="1"/>
  <c r="H8" i="15"/>
  <c r="H9" i="15" s="1"/>
  <c r="E3" i="13"/>
  <c r="D5" i="13"/>
  <c r="R32" i="10"/>
  <c r="S38" i="10" s="1"/>
  <c r="Q33" i="10"/>
  <c r="R33" i="10" s="1"/>
  <c r="F14" i="15"/>
  <c r="F9" i="15"/>
  <c r="Q42" i="11"/>
  <c r="Q41" i="11"/>
  <c r="Q40" i="11"/>
  <c r="J40" i="8"/>
  <c r="L40" i="8" s="1"/>
  <c r="D42" i="8"/>
  <c r="L38" i="30" l="1"/>
  <c r="K59" i="30"/>
  <c r="L35" i="24"/>
  <c r="K56" i="24"/>
  <c r="P34" i="10"/>
  <c r="D44" i="8"/>
  <c r="J44" i="8" s="1"/>
  <c r="L44" i="8" s="1"/>
  <c r="J42" i="8"/>
  <c r="L42" i="8" s="1"/>
  <c r="M38" i="30" l="1"/>
  <c r="L59" i="30"/>
  <c r="M35" i="24"/>
  <c r="L56" i="24"/>
  <c r="P39" i="10"/>
  <c r="B6" i="21"/>
  <c r="B36" i="22"/>
  <c r="C34" i="22" s="1"/>
  <c r="B40" i="20"/>
  <c r="F10" i="15"/>
  <c r="D39" i="11"/>
  <c r="E39" i="11" s="1"/>
  <c r="F39" i="11" s="1"/>
  <c r="G39" i="11" s="1"/>
  <c r="H39" i="11" s="1"/>
  <c r="I39" i="11" s="1"/>
  <c r="J39" i="11" s="1"/>
  <c r="K39" i="11" s="1"/>
  <c r="L39" i="11" s="1"/>
  <c r="M39" i="11" s="1"/>
  <c r="N39" i="11" s="1"/>
  <c r="O39" i="11" s="1"/>
  <c r="P39" i="11" s="1"/>
  <c r="G10" i="15" s="1"/>
  <c r="H10" i="15" s="1"/>
  <c r="I10" i="15" s="1"/>
  <c r="N38" i="30" l="1"/>
  <c r="M59" i="30"/>
  <c r="N35" i="24"/>
  <c r="O64" i="24" s="1"/>
  <c r="O67" i="24" s="1"/>
  <c r="O71" i="24" s="1"/>
  <c r="M56" i="24"/>
  <c r="D34" i="22"/>
  <c r="E34" i="22" s="1"/>
  <c r="F34" i="22" s="1"/>
  <c r="G34" i="22" s="1"/>
  <c r="C35" i="22"/>
  <c r="C38" i="20"/>
  <c r="F15" i="15"/>
  <c r="J10" i="15"/>
  <c r="K10" i="15"/>
  <c r="N59" i="30" l="1"/>
  <c r="O69" i="30"/>
  <c r="O72" i="30" s="1"/>
  <c r="O76" i="30" s="1"/>
  <c r="H34" i="22"/>
  <c r="G69" i="20"/>
  <c r="D38" i="20"/>
  <c r="C42" i="22"/>
  <c r="I34" i="22" l="1"/>
  <c r="J34" i="22" s="1"/>
  <c r="K34" i="22" s="1"/>
  <c r="L34" i="22" s="1"/>
  <c r="M34" i="22" s="1"/>
  <c r="N34" i="22" s="1"/>
  <c r="O69" i="20" s="1"/>
  <c r="H69" i="20"/>
  <c r="E38" i="20"/>
  <c r="D42" i="22"/>
  <c r="F38" i="20" l="1"/>
  <c r="G38" i="20" s="1"/>
  <c r="F56" i="20"/>
  <c r="G51" i="20" s="1"/>
  <c r="G56" i="20" s="1"/>
  <c r="H51" i="20" s="1"/>
  <c r="H56" i="20" s="1"/>
  <c r="E42" i="22"/>
  <c r="E43" i="22" s="1"/>
  <c r="I51" i="20" l="1"/>
  <c r="I56" i="20" s="1"/>
  <c r="J51" i="20" s="1"/>
  <c r="J56" i="20" s="1"/>
  <c r="K51" i="20" s="1"/>
  <c r="K56" i="20" s="1"/>
  <c r="L51" i="20" s="1"/>
  <c r="L56" i="20" s="1"/>
  <c r="M51" i="20" s="1"/>
  <c r="M56" i="20" s="1"/>
  <c r="N51" i="20" s="1"/>
  <c r="N56" i="20" s="1"/>
  <c r="H67" i="20"/>
  <c r="H70" i="20" s="1"/>
  <c r="G67" i="20"/>
  <c r="G70" i="20" s="1"/>
  <c r="G61" i="20"/>
  <c r="G63" i="20" s="1"/>
  <c r="H38" i="20"/>
  <c r="G59" i="20"/>
  <c r="B40" i="25" l="1"/>
  <c r="C38" i="25" s="1"/>
  <c r="I38" i="20"/>
  <c r="J38" i="20" s="1"/>
  <c r="H59" i="20"/>
  <c r="C59" i="25" l="1"/>
  <c r="D38" i="25"/>
  <c r="K38" i="20"/>
  <c r="J59" i="20"/>
  <c r="I59" i="20"/>
  <c r="E38" i="25" l="1"/>
  <c r="D59" i="25"/>
  <c r="L38" i="20"/>
  <c r="K59" i="20"/>
  <c r="E59" i="25" l="1"/>
  <c r="F38" i="25"/>
  <c r="M38" i="20"/>
  <c r="L59" i="20"/>
  <c r="G38" i="25" l="1"/>
  <c r="F59" i="25"/>
  <c r="N38" i="20"/>
  <c r="M59" i="20"/>
  <c r="O67" i="20" l="1"/>
  <c r="O70" i="20" s="1"/>
  <c r="O74" i="20" s="1"/>
  <c r="B19" i="21"/>
  <c r="E19" i="21" s="1"/>
  <c r="N59" i="20"/>
  <c r="G69" i="25"/>
  <c r="G72" i="25" s="1"/>
  <c r="H38" i="25"/>
  <c r="G63" i="25"/>
  <c r="G65" i="25" s="1"/>
  <c r="G59" i="25"/>
  <c r="H59" i="25" l="1"/>
  <c r="I38" i="25"/>
  <c r="J38" i="25" l="1"/>
  <c r="I59" i="25"/>
  <c r="K38" i="25" l="1"/>
  <c r="J59" i="25"/>
  <c r="K59" i="25" l="1"/>
  <c r="L38" i="25"/>
  <c r="M38" i="25" l="1"/>
  <c r="M59" i="25" s="1"/>
  <c r="L59" i="25"/>
  <c r="N38" i="25" l="1"/>
  <c r="N59" i="25" s="1"/>
  <c r="O69" i="25" l="1"/>
  <c r="O72" i="25" s="1"/>
  <c r="O76" i="2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Freeston, Elza</author>
    <author>greg conlon</author>
  </authors>
  <commentList>
    <comment ref="C5" authorId="0" shapeId="0" xr:uid="{EEB2E157-5BB6-4843-846E-ABCF94B34F8A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$440 HOA dues (150 McKnights Trc)
$150 Property transfer (4805 Hearthstone Rd)</t>
        </r>
      </text>
    </comment>
    <comment ref="H5" authorId="0" shapeId="0" xr:uid="{2F0E2103-31B5-4C0A-A187-4A761D3B3FF8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David &amp; Amber Holton $440
</t>
        </r>
      </text>
    </comment>
    <comment ref="L5" authorId="0" shapeId="0" xr:uid="{3F5D4904-2928-42F7-96AD-8AA57AAE18FA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Greg Einstein $200 HOA payment</t>
        </r>
      </text>
    </comment>
    <comment ref="M7" authorId="0" shapeId="0" xr:uid="{E501C522-BE74-4817-A25B-9BFEB97FCB01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Sav. Interest earned</t>
        </r>
      </text>
    </comment>
    <comment ref="N7" authorId="0" shapeId="0" xr:uid="{618A2D9F-75F2-4D00-AE9E-97B9252287CC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Sav. Interest earned</t>
        </r>
      </text>
    </comment>
    <comment ref="H11" authorId="1" shapeId="0" xr:uid="{77FCCDE6-A72E-4A65-9A68-5F8380C96089}">
      <text>
        <r>
          <rPr>
            <sz val="9"/>
            <color indexed="81"/>
            <rFont val="Tahoma"/>
            <family val="2"/>
          </rPr>
          <t>Elza Freeston:
Philadephia Ins $1451
Cincinnati Ins $1036</t>
        </r>
      </text>
    </comment>
    <comment ref="J13" authorId="0" shapeId="0" xr:uid="{45190788-F42E-47D7-8065-A4ACD4AE23F5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Truist Comm Loan Fee</t>
        </r>
      </text>
    </comment>
    <comment ref="H14" authorId="0" shapeId="0" xr:uid="{C72D904C-1519-44E6-A395-DA8498E33DC4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Paid Tim for GoDaddy domain renewal</t>
        </r>
      </text>
    </comment>
    <comment ref="G17" authorId="0" shapeId="0" xr:uid="{01305296-BA54-49F4-91B8-EE3DE6D286AA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Memorial day pool party expenses paid: 
Sam Diamont $345</t>
        </r>
      </text>
    </comment>
    <comment ref="H17" authorId="0" shapeId="0" xr:uid="{F0D51BDC-3612-46CA-970D-C45D70D51412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Phil Parker $509.22
Sam $377.68
Tim $51.35</t>
        </r>
      </text>
    </comment>
    <comment ref="I17" authorId="0" shapeId="0" xr:uid="{37636B0A-7F39-4181-AD50-243ED6E2AA6D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Paid: Dbt card $15.60
Phil (4th July) $277.29</t>
        </r>
      </text>
    </comment>
    <comment ref="K17" authorId="0" shapeId="0" xr:uid="{9B8191A1-3486-4444-96F1-3D5969297158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Labor day cook-out (paid w/ dbt card)</t>
        </r>
      </text>
    </comment>
    <comment ref="K20" authorId="0" shapeId="0" xr:uid="{F77EA853-AEAA-4C5C-9461-B87E70EAC348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Forsyth County Tax Collector</t>
        </r>
      </text>
    </comment>
    <comment ref="C21" authorId="1" shapeId="0" xr:uid="{7588A7EB-61B1-4FEF-B798-FD6B97FB3FA8}">
      <text>
        <r>
          <rPr>
            <b/>
            <sz val="9"/>
            <color indexed="81"/>
            <rFont val="Tahoma"/>
            <family val="2"/>
          </rPr>
          <t>Elza Freeston:</t>
        </r>
        <r>
          <rPr>
            <sz val="9"/>
            <color indexed="81"/>
            <rFont val="Tahoma"/>
            <family val="2"/>
          </rPr>
          <t xml:space="preserve">
Lawyer service "Ruby Chase Taliercio"</t>
        </r>
      </text>
    </comment>
    <comment ref="C25" authorId="0" shapeId="0" xr:uid="{86E2FE45-DA84-4934-B4B9-98A8D48E185B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Invoice #3664006</t>
        </r>
      </text>
    </comment>
    <comment ref="D25" authorId="0" shapeId="0" xr:uid="{15C57B81-7A16-46E5-9C74-7FA82E4E94E8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Invoice #3006278</t>
        </r>
      </text>
    </comment>
    <comment ref="E25" authorId="0" shapeId="0" xr:uid="{E4BDF233-7585-40A1-95CF-89A8A5D7145F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$ 230 Pool permit #3069610
$3,904 Annual contract instalment #3058043</t>
        </r>
      </text>
    </comment>
    <comment ref="F25" authorId="0" shapeId="0" xr:uid="{627DD26C-3D15-4AF2-90CD-D51B7A665ECE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$3832.92 Invoice 3073300
$262.67 Invoice #3113775</t>
        </r>
      </text>
    </comment>
    <comment ref="G25" authorId="1" shapeId="0" xr:uid="{4A835B8F-BE5F-4DD2-B5AF-E2255E8429A7}">
      <text>
        <r>
          <rPr>
            <b/>
            <sz val="9"/>
            <color indexed="81"/>
            <rFont val="Tahoma"/>
            <family val="2"/>
          </rPr>
          <t>Elza Freeston:</t>
        </r>
        <r>
          <rPr>
            <sz val="9"/>
            <color indexed="81"/>
            <rFont val="Tahoma"/>
            <family val="2"/>
          </rPr>
          <t xml:space="preserve">
$7665.84 Invoice 3144588</t>
        </r>
      </text>
    </comment>
    <comment ref="H25" authorId="1" shapeId="0" xr:uid="{0258D358-9024-4189-9448-D3EAEE04F798}">
      <text>
        <r>
          <rPr>
            <b/>
            <sz val="9"/>
            <color indexed="81"/>
            <rFont val="Tahoma"/>
            <family val="2"/>
          </rPr>
          <t>Elza Freeston:</t>
        </r>
        <r>
          <rPr>
            <sz val="9"/>
            <color indexed="81"/>
            <rFont val="Tahoma"/>
            <family val="2"/>
          </rPr>
          <t xml:space="preserve">
AguaTech $7665.84 Invoice 3203288
AquaTech $1639.30 Invoice 3190573 (VGB, Diver instal, VGB cert.)</t>
        </r>
      </text>
    </comment>
    <comment ref="I25" authorId="1" shapeId="0" xr:uid="{252FA768-66C7-4862-98C8-DC476C9773FE}">
      <text>
        <r>
          <rPr>
            <b/>
            <sz val="9"/>
            <color indexed="81"/>
            <rFont val="Tahoma"/>
            <family val="2"/>
          </rPr>
          <t>Elza Freeston:</t>
        </r>
        <r>
          <rPr>
            <sz val="9"/>
            <color indexed="81"/>
            <rFont val="Tahoma"/>
            <family val="2"/>
          </rPr>
          <t xml:space="preserve">
$7665.84 Invoice 3245240
$200 #3285735 (addt. Lifeguard hrs 5/24)</t>
        </r>
      </text>
    </comment>
    <comment ref="J25" authorId="0" shapeId="0" xr:uid="{209E37F4-0D66-40C3-9354-A06FE4250A55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#3305206</t>
        </r>
      </text>
    </comment>
    <comment ref="L25" authorId="0" shapeId="0" xr:uid="{40AC4E0F-3A04-49B3-B796-76BD659A7DF4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#3375263</t>
        </r>
      </text>
    </comment>
    <comment ref="K26" authorId="0" shapeId="0" xr:uid="{8BFF000F-7CDD-4BDE-8458-365E3F4CFE97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Maytronics "Defective Motor Unit" - reimbursed Phil Parker</t>
        </r>
      </text>
    </comment>
    <comment ref="L27" authorId="0" shapeId="0" xr:uid="{6C2B06E1-4FC3-4BD3-B966-81130A779CDB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#9191 applied mosquito barrier (invoice date 9/1/24)</t>
        </r>
      </text>
    </comment>
    <comment ref="I29" authorId="0" shapeId="0" xr:uid="{83C5E3C4-C63E-4E50-85EC-88F6603FC35A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#0685-002423087</t>
        </r>
      </text>
    </comment>
    <comment ref="I30" authorId="0" shapeId="0" xr:uid="{F2D5AFEA-3BC8-43C5-91C6-9EC77D0D86E0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Paid Felton Services $1,750 mulch kid area #9147</t>
        </r>
      </text>
    </comment>
    <comment ref="I31" authorId="0" shapeId="0" xr:uid="{0C688C27-5E4C-413C-972E-433BA935D838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Porter Lawn for backflow test $285</t>
        </r>
      </text>
    </comment>
    <comment ref="J31" authorId="0" shapeId="0" xr:uid="{A12CBC43-ABD0-4D8F-B990-B3BEFB52427A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New grill for pool (paid w/ dbt card</t>
        </r>
      </text>
    </comment>
    <comment ref="E34" authorId="1" shapeId="0" xr:uid="{B51975F7-8023-4382-865C-EAE59CEC312C}">
      <text>
        <r>
          <rPr>
            <b/>
            <sz val="9"/>
            <color indexed="81"/>
            <rFont val="Tahoma"/>
            <family val="2"/>
          </rPr>
          <t>Elza Freeston:</t>
        </r>
        <r>
          <rPr>
            <sz val="9"/>
            <color indexed="81"/>
            <rFont val="Tahoma"/>
            <family val="2"/>
          </rPr>
          <t xml:space="preserve">
Greg prepared tax</t>
        </r>
      </text>
    </comment>
    <comment ref="C43" authorId="1" shapeId="0" xr:uid="{90A55A20-DC13-4CD7-AB70-C2EDBBE066AE}">
      <text>
        <r>
          <rPr>
            <b/>
            <sz val="9"/>
            <color indexed="81"/>
            <rFont val="Tahoma"/>
            <family val="2"/>
          </rPr>
          <t>greg conlon:</t>
        </r>
        <r>
          <rPr>
            <sz val="9"/>
            <color indexed="81"/>
            <rFont val="Tahoma"/>
            <family val="2"/>
          </rPr>
          <t xml:space="preserve">
$6.02 in more exp than I can acct for
</t>
        </r>
      </text>
    </comment>
    <comment ref="F43" authorId="1" shapeId="0" xr:uid="{595DCDD3-6270-4716-A5EF-EBFF4EACE466}">
      <text>
        <r>
          <rPr>
            <b/>
            <sz val="9"/>
            <color indexed="81"/>
            <rFont val="Tahoma"/>
            <family val="2"/>
          </rPr>
          <t>greg conlon:</t>
        </r>
        <r>
          <rPr>
            <sz val="9"/>
            <color indexed="81"/>
            <rFont val="Tahoma"/>
            <family val="2"/>
          </rPr>
          <t xml:space="preserve">
difference is $173 credit from ATT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Freeston, Elza</author>
    <author>greg conlon</author>
  </authors>
  <commentList>
    <comment ref="C5" authorId="0" shapeId="0" xr:uid="{ED8D6AFF-685A-45AE-9885-AB11B5EC16E8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$1585.20 insurance check</t>
        </r>
      </text>
    </comment>
    <comment ref="H5" authorId="0" shapeId="0" xr:uid="{01718919-B046-4C7F-8531-C2B708671436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David &amp; Amber Holton $440
</t>
        </r>
      </text>
    </comment>
    <comment ref="L5" authorId="0" shapeId="0" xr:uid="{274157F9-5167-4D47-9B12-782A49A73E0B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Greg Einstein $200 HOA payment</t>
        </r>
      </text>
    </comment>
    <comment ref="M7" authorId="0" shapeId="0" xr:uid="{01328687-1BF2-420C-95FE-0F9B2DFC4928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Sav. Interest earned</t>
        </r>
      </text>
    </comment>
    <comment ref="N7" authorId="0" shapeId="0" xr:uid="{A94546C1-3CDB-4803-BA2B-1AD3EA72A02D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Sav. Interest earned</t>
        </r>
      </text>
    </comment>
    <comment ref="H11" authorId="1" shapeId="0" xr:uid="{F0155D00-5593-4F82-AD0E-5476565152EB}">
      <text>
        <r>
          <rPr>
            <sz val="9"/>
            <color indexed="81"/>
            <rFont val="Tahoma"/>
            <family val="2"/>
          </rPr>
          <t>Elza Freeston:
Philadephia Ins $1451
Cincinnati Ins $1036</t>
        </r>
      </text>
    </comment>
    <comment ref="J13" authorId="0" shapeId="0" xr:uid="{EBB145DC-8524-488D-883B-E6509C0BBE21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Truist Comm Loan Fee</t>
        </r>
      </text>
    </comment>
    <comment ref="H14" authorId="0" shapeId="0" xr:uid="{536DC424-3658-4D6E-96B7-7207A4AC1D49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Paid Tim for GoDaddy domain renewal</t>
        </r>
      </text>
    </comment>
    <comment ref="G17" authorId="0" shapeId="0" xr:uid="{D1065686-9364-4526-A489-57C3301A505F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Memorial day pool party expenses paid: 
Sam Diamont $345</t>
        </r>
      </text>
    </comment>
    <comment ref="H17" authorId="0" shapeId="0" xr:uid="{B8A9BC34-EDDB-4827-9AD7-1185028BDDC7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Phil Parker $509.22
Sam $377.68
Tim $51.35</t>
        </r>
      </text>
    </comment>
    <comment ref="I17" authorId="0" shapeId="0" xr:uid="{FB296125-9D84-4264-8169-B0882F202328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Paid: Dbt card $15.60
Phil (4th July) $277.29</t>
        </r>
      </text>
    </comment>
    <comment ref="K17" authorId="0" shapeId="0" xr:uid="{3E2DD1A0-26F6-411C-AA2A-76B0D343CD31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Labor day cook-out (paid w/ dbt card)</t>
        </r>
      </text>
    </comment>
    <comment ref="K20" authorId="0" shapeId="0" xr:uid="{BF83A562-3F85-419A-84BA-9E2D794B35A4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Forsyth County Tax Collector</t>
        </r>
      </text>
    </comment>
    <comment ref="C21" authorId="1" shapeId="0" xr:uid="{7C994658-2946-4974-8822-D169AED0D075}">
      <text>
        <r>
          <rPr>
            <b/>
            <sz val="9"/>
            <color indexed="81"/>
            <rFont val="Tahoma"/>
            <family val="2"/>
          </rPr>
          <t>Elza Freeston:</t>
        </r>
        <r>
          <rPr>
            <sz val="9"/>
            <color indexed="81"/>
            <rFont val="Tahoma"/>
            <family val="2"/>
          </rPr>
          <t xml:space="preserve">
Lawyer service at HOA meeting</t>
        </r>
      </text>
    </comment>
    <comment ref="D21" authorId="0" shapeId="0" xr:uid="{A856FCEE-F8B6-490A-BFB7-63B4F78F734A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Lawyer refund overpayment</t>
        </r>
      </text>
    </comment>
    <comment ref="C25" authorId="0" shapeId="0" xr:uid="{35C264F0-1751-4122-9BF9-2FA4ECF425D5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Invoice #3003425</t>
        </r>
      </text>
    </comment>
    <comment ref="D25" authorId="0" shapeId="0" xr:uid="{4AD92D20-3D1C-44D1-92B3-9FFE6BA533B1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Invoice #3006278</t>
        </r>
      </text>
    </comment>
    <comment ref="E25" authorId="0" shapeId="0" xr:uid="{6DC2BBC7-FB34-4447-87E0-88AC1E3ADBEB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$ 230 Pool permit #3069610
$3,904 Annual contract instalment #3058043</t>
        </r>
      </text>
    </comment>
    <comment ref="F25" authorId="0" shapeId="0" xr:uid="{22BC9EAD-15C9-4A31-A726-87F20A7842B9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$3832.92 Invoice 3073300
$262.67 Invoice #3113775</t>
        </r>
      </text>
    </comment>
    <comment ref="G25" authorId="1" shapeId="0" xr:uid="{D9C38DB6-8CB8-45D9-940E-A7CBA70503DA}">
      <text>
        <r>
          <rPr>
            <b/>
            <sz val="9"/>
            <color indexed="81"/>
            <rFont val="Tahoma"/>
            <family val="2"/>
          </rPr>
          <t>Elza Freeston:</t>
        </r>
        <r>
          <rPr>
            <sz val="9"/>
            <color indexed="81"/>
            <rFont val="Tahoma"/>
            <family val="2"/>
          </rPr>
          <t xml:space="preserve">
$7665.84 Invoice 3144588</t>
        </r>
      </text>
    </comment>
    <comment ref="H25" authorId="1" shapeId="0" xr:uid="{3D635B20-1891-45EB-9D88-028421316AF9}">
      <text>
        <r>
          <rPr>
            <b/>
            <sz val="9"/>
            <color indexed="81"/>
            <rFont val="Tahoma"/>
            <family val="2"/>
          </rPr>
          <t>Elza Freeston:</t>
        </r>
        <r>
          <rPr>
            <sz val="9"/>
            <color indexed="81"/>
            <rFont val="Tahoma"/>
            <family val="2"/>
          </rPr>
          <t xml:space="preserve">
AguaTech $7665.84 Invoice 3203288
AquaTech $1639.30 Invoice 3190573 (VGB, Diver instal, VGB cert.)</t>
        </r>
      </text>
    </comment>
    <comment ref="I25" authorId="1" shapeId="0" xr:uid="{C76D3A5B-16DE-4141-95C4-14E09F6D70B7}">
      <text>
        <r>
          <rPr>
            <b/>
            <sz val="9"/>
            <color indexed="81"/>
            <rFont val="Tahoma"/>
            <family val="2"/>
          </rPr>
          <t>Elza Freeston:</t>
        </r>
        <r>
          <rPr>
            <sz val="9"/>
            <color indexed="81"/>
            <rFont val="Tahoma"/>
            <family val="2"/>
          </rPr>
          <t xml:space="preserve">
$7665.84 Invoice 3245240
$200 #3285735 (addt. Lifeguard hrs 5/24)</t>
        </r>
      </text>
    </comment>
    <comment ref="J25" authorId="0" shapeId="0" xr:uid="{C51FA7B7-03B2-4745-9594-A90707615765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#3305206</t>
        </r>
      </text>
    </comment>
    <comment ref="L25" authorId="0" shapeId="0" xr:uid="{904C4357-58A1-4BA4-93F0-A1BBBD09A3DA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#3375263</t>
        </r>
      </text>
    </comment>
    <comment ref="K26" authorId="0" shapeId="0" xr:uid="{F81392A0-914E-4FA9-8269-C2D8D9F5408E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Maytronics "Defective Motor Unit" - reimbursed Phil Parker</t>
        </r>
      </text>
    </comment>
    <comment ref="L27" authorId="0" shapeId="0" xr:uid="{42D709CD-7970-4292-98B4-02F6906ADBED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#9191 applied mosquito barrier (invoice date 9/1/24)</t>
        </r>
      </text>
    </comment>
    <comment ref="I29" authorId="0" shapeId="0" xr:uid="{78780579-C166-4827-AE90-BD8204370B7E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#0685-002423087</t>
        </r>
      </text>
    </comment>
    <comment ref="I30" authorId="0" shapeId="0" xr:uid="{63273E9C-B697-415D-BFEE-F0127326E49B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Paid Felton Services $1,750 mulch kid area #9147</t>
        </r>
      </text>
    </comment>
    <comment ref="I31" authorId="0" shapeId="0" xr:uid="{2C8FC381-C992-4BA6-9C26-1D198F2827B3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Porter Lawn for backflow test $285</t>
        </r>
      </text>
    </comment>
    <comment ref="J31" authorId="0" shapeId="0" xr:uid="{E75EB3CE-15C6-4EFF-8E48-95AB2C828536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New grill for pool (paid w/ dbt card</t>
        </r>
      </text>
    </comment>
    <comment ref="E34" authorId="1" shapeId="0" xr:uid="{7A4C64D1-0C2F-4234-AE6A-579011ADA6B2}">
      <text>
        <r>
          <rPr>
            <b/>
            <sz val="9"/>
            <color indexed="81"/>
            <rFont val="Tahoma"/>
            <family val="2"/>
          </rPr>
          <t>Elza Freeston:</t>
        </r>
        <r>
          <rPr>
            <sz val="9"/>
            <color indexed="81"/>
            <rFont val="Tahoma"/>
            <family val="2"/>
          </rPr>
          <t xml:space="preserve">
Greg prepared tax</t>
        </r>
      </text>
    </comment>
    <comment ref="C43" authorId="1" shapeId="0" xr:uid="{A56FC5AD-C8AF-4ED8-AC04-A15BB7695C7E}">
      <text>
        <r>
          <rPr>
            <b/>
            <sz val="9"/>
            <color indexed="81"/>
            <rFont val="Tahoma"/>
            <family val="2"/>
          </rPr>
          <t>greg conlon:</t>
        </r>
        <r>
          <rPr>
            <sz val="9"/>
            <color indexed="81"/>
            <rFont val="Tahoma"/>
            <family val="2"/>
          </rPr>
          <t xml:space="preserve">
$6.02 in more exp than I can acct for
</t>
        </r>
      </text>
    </comment>
    <comment ref="F43" authorId="1" shapeId="0" xr:uid="{FB04F75A-C895-40DB-8443-6F76CA71B25B}">
      <text>
        <r>
          <rPr>
            <b/>
            <sz val="9"/>
            <color indexed="81"/>
            <rFont val="Tahoma"/>
            <family val="2"/>
          </rPr>
          <t>greg conlon:</t>
        </r>
        <r>
          <rPr>
            <sz val="9"/>
            <color indexed="81"/>
            <rFont val="Tahoma"/>
            <family val="2"/>
          </rPr>
          <t xml:space="preserve">
difference is $173 credit from ATT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Freeston, Elza</author>
    <author>greg conlon</author>
  </authors>
  <commentList>
    <comment ref="L5" authorId="0" shapeId="0" xr:uid="{C7BD3F10-A707-416A-B6AF-7F43DE4AF345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150 McKnights Trace</t>
        </r>
      </text>
    </comment>
    <comment ref="N5" authorId="0" shapeId="0" xr:uid="{A69D40FE-C602-42C8-A3C1-741D469C6DC5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145 McKnight Trace</t>
        </r>
      </text>
    </comment>
    <comment ref="N7" authorId="0" shapeId="0" xr:uid="{61836C65-5065-4684-BE89-0E246AF5AEC8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145 McKnight Trace</t>
        </r>
      </text>
    </comment>
    <comment ref="F13" authorId="1" shapeId="0" xr:uid="{594C8FE7-D198-422E-B491-0D4605DA87F2}">
      <text>
        <r>
          <rPr>
            <b/>
            <sz val="9"/>
            <color indexed="81"/>
            <rFont val="Tahoma"/>
            <family val="2"/>
          </rPr>
          <t>greg conlon:</t>
        </r>
        <r>
          <rPr>
            <sz val="9"/>
            <color indexed="81"/>
            <rFont val="Tahoma"/>
            <family val="2"/>
          </rPr>
          <t xml:space="preserve">
Cinti Ins $926</t>
        </r>
      </text>
    </comment>
    <comment ref="G13" authorId="1" shapeId="0" xr:uid="{BEB3004B-4CB7-4569-9452-70E340880519}">
      <text>
        <r>
          <rPr>
            <b/>
            <sz val="9"/>
            <color indexed="81"/>
            <rFont val="Tahoma"/>
            <family val="2"/>
          </rPr>
          <t>greg conlon:</t>
        </r>
        <r>
          <rPr>
            <sz val="9"/>
            <color indexed="81"/>
            <rFont val="Tahoma"/>
            <family val="2"/>
          </rPr>
          <t xml:space="preserve">
Philadephia Ins $1269
</t>
        </r>
      </text>
    </comment>
    <comment ref="G16" authorId="1" shapeId="0" xr:uid="{DB457860-3A49-46BA-B188-EF69A8856BD2}">
      <text>
        <r>
          <rPr>
            <b/>
            <sz val="9"/>
            <color indexed="81"/>
            <rFont val="Tahoma"/>
            <family val="2"/>
          </rPr>
          <t>greg conlon:</t>
        </r>
        <r>
          <rPr>
            <sz val="9"/>
            <color indexed="81"/>
            <rFont val="Tahoma"/>
            <family val="2"/>
          </rPr>
          <t xml:space="preserve">
2 AquaTech installments in May</t>
        </r>
      </text>
    </comment>
    <comment ref="L16" authorId="0" shapeId="0" xr:uid="{F1F6CD62-B7F1-4698-9695-DF43DB27F347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Aqua Tech - Install Chlorine Drip</t>
        </r>
      </text>
    </comment>
    <comment ref="H17" authorId="1" shapeId="0" xr:uid="{6A3C644B-8981-4E7B-B798-7D79512FE773}">
      <text>
        <r>
          <rPr>
            <b/>
            <sz val="9"/>
            <color indexed="81"/>
            <rFont val="Tahoma"/>
            <family val="2"/>
          </rPr>
          <t>greg conlon:</t>
        </r>
        <r>
          <rPr>
            <sz val="9"/>
            <color indexed="81"/>
            <rFont val="Tahoma"/>
            <family val="2"/>
          </rPr>
          <t xml:space="preserve">
ck to Phil P, L&amp;J, maytronics, Pro wash</t>
        </r>
      </text>
    </comment>
    <comment ref="I17" authorId="1" shapeId="0" xr:uid="{F5BC520B-491E-4288-9AE8-457CAC17035D}">
      <text>
        <r>
          <rPr>
            <b/>
            <sz val="9"/>
            <color indexed="81"/>
            <rFont val="Tahoma"/>
            <family val="2"/>
          </rPr>
          <t>greg conlon:</t>
        </r>
        <r>
          <rPr>
            <sz val="9"/>
            <color indexed="81"/>
            <rFont val="Tahoma"/>
            <family val="2"/>
          </rPr>
          <t xml:space="preserve">
to Brian for speaker $583.10, 210.01 Sir Speedy for sign</t>
        </r>
      </text>
    </comment>
    <comment ref="J18" authorId="1" shapeId="0" xr:uid="{6F37A3A0-B209-498B-8BFE-A134B96A694E}">
      <text>
        <r>
          <rPr>
            <b/>
            <sz val="9"/>
            <color indexed="81"/>
            <rFont val="Tahoma"/>
            <family val="2"/>
          </rPr>
          <t>greg conlon:</t>
        </r>
        <r>
          <rPr>
            <sz val="9"/>
            <color indexed="81"/>
            <rFont val="Tahoma"/>
            <family val="2"/>
          </rPr>
          <t xml:space="preserve">
faucet repair and toilet repairs - Smith Plumbing</t>
        </r>
      </text>
    </comment>
    <comment ref="L18" authorId="0" shapeId="0" xr:uid="{22E91015-4AF6-4F5F-976F-238D113D7EC4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Roof insurance</t>
        </r>
      </text>
    </comment>
    <comment ref="M18" authorId="0" shapeId="0" xr:uid="{41902F0A-E9AB-4D67-8D51-F9A27024A0A1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Roofing service pool, by Matt Brintnall</t>
        </r>
      </text>
    </comment>
    <comment ref="N18" authorId="0" shapeId="0" xr:uid="{7B181C86-50E3-4EB4-AA3A-04C7097716D3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Roof insurance money</t>
        </r>
      </text>
    </comment>
    <comment ref="C20" authorId="1" shapeId="0" xr:uid="{7BC8DBA4-0287-48ED-B86F-2FC24EE5B4A2}">
      <text>
        <r>
          <rPr>
            <b/>
            <sz val="9"/>
            <color indexed="81"/>
            <rFont val="Tahoma"/>
            <family val="2"/>
          </rPr>
          <t>greg conlon:</t>
        </r>
        <r>
          <rPr>
            <sz val="9"/>
            <color indexed="81"/>
            <rFont val="Tahoma"/>
            <family val="2"/>
          </rPr>
          <t xml:space="preserve">
invoice 8788
</t>
        </r>
      </text>
    </comment>
    <comment ref="H20" authorId="1" shapeId="0" xr:uid="{3AD96D59-B334-4C3D-983F-E5ADA9E13D98}">
      <text>
        <r>
          <rPr>
            <b/>
            <sz val="9"/>
            <color indexed="81"/>
            <rFont val="Tahoma"/>
            <family val="2"/>
          </rPr>
          <t>greg conlon:</t>
        </r>
        <r>
          <rPr>
            <sz val="9"/>
            <color indexed="81"/>
            <rFont val="Tahoma"/>
            <family val="2"/>
          </rPr>
          <t xml:space="preserve">
no Felton invoice in June</t>
        </r>
      </text>
    </comment>
    <comment ref="N20" authorId="0" shapeId="0" xr:uid="{A4100B84-9D92-49D1-9B50-9B3E388FCEC0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Invoices #8996 &amp; 9019
Paid June invoice $14,000</t>
        </r>
      </text>
    </comment>
    <comment ref="J24" authorId="0" shapeId="0" xr:uid="{7198D601-6E65-4591-9439-66615E06786E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Kona Ice</t>
        </r>
      </text>
    </comment>
    <comment ref="E27" authorId="1" shapeId="0" xr:uid="{B6644C90-9DD8-4F4B-B682-9ADA1D4F4CD7}">
      <text>
        <r>
          <rPr>
            <b/>
            <sz val="9"/>
            <color indexed="81"/>
            <rFont val="Tahoma"/>
            <family val="2"/>
          </rPr>
          <t>greg conlon:</t>
        </r>
        <r>
          <rPr>
            <sz val="9"/>
            <color indexed="81"/>
            <rFont val="Tahoma"/>
            <family val="2"/>
          </rPr>
          <t xml:space="preserve">
Greg prepered tax</t>
        </r>
      </text>
    </comment>
    <comment ref="C30" authorId="1" shapeId="0" xr:uid="{6A367DB7-7F81-48DF-A993-DDECAD05D18E}">
      <text>
        <r>
          <rPr>
            <b/>
            <sz val="9"/>
            <color indexed="81"/>
            <rFont val="Tahoma"/>
            <family val="2"/>
          </rPr>
          <t>greg conlon:</t>
        </r>
        <r>
          <rPr>
            <sz val="9"/>
            <color indexed="81"/>
            <rFont val="Tahoma"/>
            <family val="2"/>
          </rPr>
          <t xml:space="preserve">
Alanna Gray soap for new resident bags 
+$6.02 to make balance with ck acct</t>
        </r>
      </text>
    </comment>
    <comment ref="I30" authorId="1" shapeId="0" xr:uid="{6241A33B-7445-4F73-AD5E-6ED8FC794C2E}">
      <text>
        <r>
          <rPr>
            <b/>
            <sz val="9"/>
            <color indexed="81"/>
            <rFont val="Tahoma"/>
            <family val="2"/>
          </rPr>
          <t>greg conlon:</t>
        </r>
        <r>
          <rPr>
            <sz val="9"/>
            <color indexed="81"/>
            <rFont val="Tahoma"/>
            <family val="2"/>
          </rPr>
          <t xml:space="preserve">
inv date 7/4/2023
$2200 to J Therrington cut trees</t>
        </r>
      </text>
    </comment>
    <comment ref="J30" authorId="0" shapeId="0" xr:uid="{1304222D-AE6D-47A7-A3B2-C9567ECC0818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Professional Printing = $345.50
Porter Lawn = $95</t>
        </r>
      </text>
    </comment>
    <comment ref="K30" authorId="0" shapeId="0" xr:uid="{57D04B79-F357-4648-AD06-8526229D78D0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Forsyth County Tax Collector</t>
        </r>
      </text>
    </comment>
    <comment ref="M30" authorId="0" shapeId="0" xr:uid="{EC73C3EC-8207-45F1-AC07-6C4D0C408CC3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Lawer service at HOA meeting</t>
        </r>
      </text>
    </comment>
    <comment ref="C40" authorId="1" shapeId="0" xr:uid="{B2B8B02F-776E-47DB-812F-2E82DB36CB2A}">
      <text>
        <r>
          <rPr>
            <b/>
            <sz val="9"/>
            <color indexed="81"/>
            <rFont val="Tahoma"/>
            <family val="2"/>
          </rPr>
          <t>greg conlon:</t>
        </r>
        <r>
          <rPr>
            <sz val="9"/>
            <color indexed="81"/>
            <rFont val="Tahoma"/>
            <family val="2"/>
          </rPr>
          <t xml:space="preserve">
$6.02 in more exp than I can acct for
</t>
        </r>
      </text>
    </comment>
    <comment ref="F40" authorId="1" shapeId="0" xr:uid="{EB297E7E-0B57-43DD-9217-107EAD479C91}">
      <text>
        <r>
          <rPr>
            <b/>
            <sz val="9"/>
            <color indexed="81"/>
            <rFont val="Tahoma"/>
            <family val="2"/>
          </rPr>
          <t>greg conlon:</t>
        </r>
        <r>
          <rPr>
            <sz val="9"/>
            <color indexed="81"/>
            <rFont val="Tahoma"/>
            <family val="2"/>
          </rPr>
          <t xml:space="preserve">
difference is $173 credit from ATT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Freeston, Elza</author>
    <author>greg conlon</author>
  </authors>
  <commentList>
    <comment ref="L5" authorId="0" shapeId="0" xr:uid="{E79FF96F-CC1C-4C2F-9DB9-CDA8B97E3281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150 McKnights Trace</t>
        </r>
      </text>
    </comment>
    <comment ref="N5" authorId="0" shapeId="0" xr:uid="{59CF96E0-2573-4C9E-89DF-417EF672556C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145 McKnight Trace</t>
        </r>
      </text>
    </comment>
    <comment ref="N7" authorId="0" shapeId="0" xr:uid="{305AC461-1B88-41AF-BC68-CA48BCC0F698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145 McKnight Trace</t>
        </r>
      </text>
    </comment>
    <comment ref="F11" authorId="1" shapeId="0" xr:uid="{DEBD31CC-EAA3-4409-943C-B4D000E09CAA}">
      <text>
        <r>
          <rPr>
            <b/>
            <sz val="9"/>
            <color indexed="81"/>
            <rFont val="Tahoma"/>
            <family val="2"/>
          </rPr>
          <t>greg conlon:</t>
        </r>
        <r>
          <rPr>
            <sz val="9"/>
            <color indexed="81"/>
            <rFont val="Tahoma"/>
            <family val="2"/>
          </rPr>
          <t xml:space="preserve">
Cinti Ins $926</t>
        </r>
      </text>
    </comment>
    <comment ref="G11" authorId="1" shapeId="0" xr:uid="{87AC3587-5B4E-4BB3-817F-FFC2B2B42B17}">
      <text>
        <r>
          <rPr>
            <b/>
            <sz val="9"/>
            <color indexed="81"/>
            <rFont val="Tahoma"/>
            <family val="2"/>
          </rPr>
          <t>greg conlon:</t>
        </r>
        <r>
          <rPr>
            <sz val="9"/>
            <color indexed="81"/>
            <rFont val="Tahoma"/>
            <family val="2"/>
          </rPr>
          <t xml:space="preserve">
Philadephia Ins $1269
</t>
        </r>
      </text>
    </comment>
    <comment ref="C17" authorId="1" shapeId="0" xr:uid="{D20FCB2B-0D3B-4958-B9B0-506D5D372560}">
      <text>
        <r>
          <rPr>
            <b/>
            <sz val="9"/>
            <color indexed="81"/>
            <rFont val="Tahoma"/>
            <family val="2"/>
          </rPr>
          <t>greg conlon:</t>
        </r>
        <r>
          <rPr>
            <sz val="9"/>
            <color indexed="81"/>
            <rFont val="Tahoma"/>
            <family val="2"/>
          </rPr>
          <t xml:space="preserve">
Alanna Gray soap for new resident bags 
+$6.02 to make balance with ck acct</t>
        </r>
      </text>
    </comment>
    <comment ref="J17" authorId="0" shapeId="0" xr:uid="{4ECD9648-E3F0-4428-A732-7773995CB8AE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Kona Ice</t>
        </r>
      </text>
    </comment>
    <comment ref="K20" authorId="0" shapeId="0" xr:uid="{57900A66-860B-4158-A1D7-CCE322AA8299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Forsyth County Tax Collector</t>
        </r>
      </text>
    </comment>
    <comment ref="M21" authorId="0" shapeId="0" xr:uid="{863EE309-B414-4290-98DE-CBEC9D38FF3A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Lawyer service at HOA meeting</t>
        </r>
      </text>
    </comment>
    <comment ref="G25" authorId="1" shapeId="0" xr:uid="{5A838B2D-879E-4E01-AF31-6FCEDEBB3FF2}">
      <text>
        <r>
          <rPr>
            <b/>
            <sz val="9"/>
            <color indexed="81"/>
            <rFont val="Tahoma"/>
            <family val="2"/>
          </rPr>
          <t>greg conlon:</t>
        </r>
        <r>
          <rPr>
            <sz val="9"/>
            <color indexed="81"/>
            <rFont val="Tahoma"/>
            <family val="2"/>
          </rPr>
          <t xml:space="preserve">
2 AquaTech installments in May</t>
        </r>
      </text>
    </comment>
    <comment ref="L25" authorId="0" shapeId="0" xr:uid="{05824695-5700-4FE9-9C95-A39B4A5305FC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Aqua Tech - Install Chlorine Drip</t>
        </r>
      </text>
    </comment>
    <comment ref="H26" authorId="1" shapeId="0" xr:uid="{3D130069-8246-4BF3-A928-AD5D1E6AAE5F}">
      <text>
        <r>
          <rPr>
            <b/>
            <sz val="9"/>
            <color indexed="81"/>
            <rFont val="Tahoma"/>
            <family val="2"/>
          </rPr>
          <t>greg conlon:</t>
        </r>
        <r>
          <rPr>
            <sz val="9"/>
            <color indexed="81"/>
            <rFont val="Tahoma"/>
            <family val="2"/>
          </rPr>
          <t xml:space="preserve">
ck to Phil P, L&amp;J, maytronics, Pro wash</t>
        </r>
      </text>
    </comment>
    <comment ref="I26" authorId="1" shapeId="0" xr:uid="{4BE73A48-D0DF-4EE0-BA48-2D9668596BC9}">
      <text>
        <r>
          <rPr>
            <b/>
            <sz val="9"/>
            <color indexed="81"/>
            <rFont val="Tahoma"/>
            <family val="2"/>
          </rPr>
          <t>greg conlon:</t>
        </r>
        <r>
          <rPr>
            <sz val="9"/>
            <color indexed="81"/>
            <rFont val="Tahoma"/>
            <family val="2"/>
          </rPr>
          <t xml:space="preserve">
to Brian for speaker $583.10, 210.01 Sir Speedy for sign</t>
        </r>
      </text>
    </comment>
    <comment ref="C27" authorId="1" shapeId="0" xr:uid="{68472413-0151-4873-930A-51C4073C57F9}">
      <text>
        <r>
          <rPr>
            <b/>
            <sz val="9"/>
            <color indexed="81"/>
            <rFont val="Tahoma"/>
            <family val="2"/>
          </rPr>
          <t>greg conlon:</t>
        </r>
        <r>
          <rPr>
            <sz val="9"/>
            <color indexed="81"/>
            <rFont val="Tahoma"/>
            <family val="2"/>
          </rPr>
          <t xml:space="preserve">
invoice 8788
</t>
        </r>
      </text>
    </comment>
    <comment ref="H27" authorId="1" shapeId="0" xr:uid="{4D628F81-0F87-4B03-AC33-8AA5265884A3}">
      <text>
        <r>
          <rPr>
            <b/>
            <sz val="9"/>
            <color indexed="81"/>
            <rFont val="Tahoma"/>
            <family val="2"/>
          </rPr>
          <t>greg conlon:</t>
        </r>
        <r>
          <rPr>
            <sz val="9"/>
            <color indexed="81"/>
            <rFont val="Tahoma"/>
            <family val="2"/>
          </rPr>
          <t xml:space="preserve">
no Felton invoice in June</t>
        </r>
      </text>
    </comment>
    <comment ref="N27" authorId="0" shapeId="0" xr:uid="{0E815DCC-9CFF-42F1-8D16-EEDA6256DC4F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Invoices #8996 &amp; 9019
Paid June invoice $14,000</t>
        </r>
      </text>
    </comment>
    <comment ref="I30" authorId="1" shapeId="0" xr:uid="{D7999F50-D786-4D44-94DD-271DC3E5D3E0}">
      <text>
        <r>
          <rPr>
            <b/>
            <sz val="9"/>
            <color indexed="81"/>
            <rFont val="Tahoma"/>
            <family val="2"/>
          </rPr>
          <t>greg conlon:</t>
        </r>
        <r>
          <rPr>
            <sz val="9"/>
            <color indexed="81"/>
            <rFont val="Tahoma"/>
            <family val="2"/>
          </rPr>
          <t xml:space="preserve">
inv date 7/4/2023
$2200 to J Therrington cut trees</t>
        </r>
      </text>
    </comment>
    <comment ref="J30" authorId="1" shapeId="0" xr:uid="{59691BE5-5EE7-4B44-9421-0E97BA7F8BD2}">
      <text>
        <r>
          <rPr>
            <b/>
            <sz val="9"/>
            <color indexed="81"/>
            <rFont val="Tahoma"/>
            <family val="2"/>
          </rPr>
          <t>greg conlon:</t>
        </r>
        <r>
          <rPr>
            <sz val="9"/>
            <color indexed="81"/>
            <rFont val="Tahoma"/>
            <family val="2"/>
          </rPr>
          <t xml:space="preserve">
faucet repair and toilet repairs - Smith Plumbing</t>
        </r>
      </text>
    </comment>
    <comment ref="L30" authorId="0" shapeId="0" xr:uid="{08C4BD95-9204-462C-8857-526BC57A1B98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Roof insurance</t>
        </r>
      </text>
    </comment>
    <comment ref="M30" authorId="0" shapeId="0" xr:uid="{C14D4A71-2728-433B-AD04-6E36ADA2DFB0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Roofing service pool, by Matt Brintnall</t>
        </r>
      </text>
    </comment>
    <comment ref="E31" authorId="1" shapeId="0" xr:uid="{BDA8CF61-D9C6-4835-8E18-D1D2D36C253D}">
      <text>
        <r>
          <rPr>
            <b/>
            <sz val="9"/>
            <color indexed="81"/>
            <rFont val="Tahoma"/>
            <family val="2"/>
          </rPr>
          <t>greg conlon:</t>
        </r>
        <r>
          <rPr>
            <sz val="9"/>
            <color indexed="81"/>
            <rFont val="Tahoma"/>
            <family val="2"/>
          </rPr>
          <t xml:space="preserve">
Norma Ramirez</t>
        </r>
      </text>
    </comment>
    <comment ref="J31" authorId="0" shapeId="0" xr:uid="{3924270F-985D-455E-B2E0-B6F35048D8F0}">
      <text>
        <r>
          <rPr>
            <b/>
            <sz val="9"/>
            <color indexed="81"/>
            <rFont val="Tahoma"/>
            <family val="2"/>
          </rPr>
          <t>Freeston, Elza:</t>
        </r>
        <r>
          <rPr>
            <sz val="9"/>
            <color indexed="81"/>
            <rFont val="Tahoma"/>
            <family val="2"/>
          </rPr>
          <t xml:space="preserve">
Professional Printing = $345.50
Porter Lawn = $95</t>
        </r>
      </text>
    </comment>
    <comment ref="C43" authorId="1" shapeId="0" xr:uid="{BF07A467-F1A3-4752-B414-E461FA95B6E9}">
      <text>
        <r>
          <rPr>
            <b/>
            <sz val="9"/>
            <color indexed="81"/>
            <rFont val="Tahoma"/>
            <family val="2"/>
          </rPr>
          <t>greg conlon:</t>
        </r>
        <r>
          <rPr>
            <sz val="9"/>
            <color indexed="81"/>
            <rFont val="Tahoma"/>
            <family val="2"/>
          </rPr>
          <t xml:space="preserve">
$6.02 in more exp than I can acct for
</t>
        </r>
      </text>
    </comment>
    <comment ref="F43" authorId="1" shapeId="0" xr:uid="{4C69B8F1-EA38-4DC1-B1DA-A1F0E680DAB2}">
      <text>
        <r>
          <rPr>
            <b/>
            <sz val="9"/>
            <color indexed="81"/>
            <rFont val="Tahoma"/>
            <family val="2"/>
          </rPr>
          <t>greg conlon:</t>
        </r>
        <r>
          <rPr>
            <sz val="9"/>
            <color indexed="81"/>
            <rFont val="Tahoma"/>
            <family val="2"/>
          </rPr>
          <t xml:space="preserve">
difference is $173 credit from ATT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 conlon</author>
  </authors>
  <commentList>
    <comment ref="C20" authorId="0" shapeId="0" xr:uid="{D6A4724E-BF85-479E-A63F-F401EC1C9396}">
      <text>
        <r>
          <rPr>
            <b/>
            <sz val="9"/>
            <color indexed="81"/>
            <rFont val="Tahoma"/>
            <family val="2"/>
          </rPr>
          <t>greg conlon:</t>
        </r>
        <r>
          <rPr>
            <sz val="9"/>
            <color indexed="81"/>
            <rFont val="Tahoma"/>
            <family val="2"/>
          </rPr>
          <t xml:space="preserve">
invoice 8788
</t>
        </r>
      </text>
    </comment>
    <comment ref="C30" authorId="0" shapeId="0" xr:uid="{415BA179-A1B5-46FE-9E20-B0983544856D}">
      <text>
        <r>
          <rPr>
            <b/>
            <sz val="9"/>
            <color indexed="81"/>
            <rFont val="Tahoma"/>
            <family val="2"/>
          </rPr>
          <t>greg conlon:</t>
        </r>
        <r>
          <rPr>
            <sz val="9"/>
            <color indexed="81"/>
            <rFont val="Tahoma"/>
            <family val="2"/>
          </rPr>
          <t xml:space="preserve">
Alanna Gray soap for new resident bags 
+$6.02 to make balance with ck acct</t>
        </r>
      </text>
    </comment>
    <comment ref="C39" authorId="0" shapeId="0" xr:uid="{8A05E12E-9589-4AD1-A865-F194CFE5A2E6}">
      <text>
        <r>
          <rPr>
            <b/>
            <sz val="9"/>
            <color indexed="81"/>
            <rFont val="Tahoma"/>
            <family val="2"/>
          </rPr>
          <t>greg conlon:</t>
        </r>
        <r>
          <rPr>
            <sz val="9"/>
            <color indexed="81"/>
            <rFont val="Tahoma"/>
            <family val="2"/>
          </rPr>
          <t xml:space="preserve">
$6.02 in more exp than I can acct for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 conlon</author>
  </authors>
  <commentList>
    <comment ref="S7" authorId="0" shapeId="0" xr:uid="{455E1ADC-99AE-42E8-8F7D-DF6626468403}">
      <text>
        <r>
          <rPr>
            <b/>
            <sz val="9"/>
            <color indexed="81"/>
            <rFont val="Tahoma"/>
            <family val="2"/>
          </rPr>
          <t>greg conlon:</t>
        </r>
        <r>
          <rPr>
            <sz val="9"/>
            <color indexed="81"/>
            <rFont val="Tahoma"/>
            <family val="2"/>
          </rPr>
          <t xml:space="preserve">
186 homes x $400
</t>
        </r>
      </text>
    </comment>
    <comment ref="D11" authorId="0" shapeId="0" xr:uid="{FA789CF7-2D93-496E-A68D-3EE845DF4EDE}">
      <text>
        <r>
          <rPr>
            <b/>
            <sz val="9"/>
            <color indexed="81"/>
            <rFont val="Tahoma"/>
            <family val="2"/>
          </rPr>
          <t>greg conlon:</t>
        </r>
        <r>
          <rPr>
            <sz val="9"/>
            <color indexed="81"/>
            <rFont val="Tahoma"/>
            <family val="2"/>
          </rPr>
          <t xml:space="preserve">
Assume 163 payers, 5 non-payers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 conlon</author>
  </authors>
  <commentList>
    <comment ref="O17" authorId="0" shapeId="0" xr:uid="{AF390A15-268C-4F2D-8DF6-08455E45D7FF}">
      <text>
        <r>
          <rPr>
            <b/>
            <sz val="9"/>
            <color indexed="81"/>
            <rFont val="Tahoma"/>
            <family val="2"/>
          </rPr>
          <t>greg conlon:</t>
        </r>
        <r>
          <rPr>
            <sz val="9"/>
            <color indexed="81"/>
            <rFont val="Tahoma"/>
            <family val="2"/>
          </rPr>
          <t xml:space="preserve">
ck to P Parker.  Reimbuse for bill from Maytronics.  Receipt in invoice e-folder.</t>
        </r>
      </text>
    </comment>
    <comment ref="M30" authorId="0" shapeId="0" xr:uid="{6C891404-E09B-497E-896F-64A09FCE20CD}">
      <text>
        <r>
          <rPr>
            <b/>
            <sz val="9"/>
            <color indexed="81"/>
            <rFont val="Tahoma"/>
            <family val="2"/>
          </rPr>
          <t>greg conlon:</t>
        </r>
        <r>
          <rPr>
            <sz val="9"/>
            <color indexed="81"/>
            <rFont val="Tahoma"/>
            <family val="2"/>
          </rPr>
          <t xml:space="preserve">
Jeff-Staples cpies for meeting</t>
        </r>
      </text>
    </comment>
    <comment ref="O30" authorId="0" shapeId="0" xr:uid="{BD222314-7366-4422-B8F3-78CA7F24E018}">
      <text>
        <r>
          <rPr>
            <b/>
            <sz val="9"/>
            <color indexed="81"/>
            <rFont val="Tahoma"/>
            <family val="2"/>
          </rPr>
          <t>greg conlon:</t>
        </r>
        <r>
          <rPr>
            <sz val="9"/>
            <color indexed="81"/>
            <rFont val="Tahoma"/>
            <family val="2"/>
          </rPr>
          <t xml:space="preserve">
$150 Jeff Lippow gift for yrs of service.  Approved by Mark Kendall; $14.96 for address lable maker.
$27.50 for entrance holiday décor
</t>
        </r>
      </text>
    </comment>
    <comment ref="P30" authorId="0" shapeId="0" xr:uid="{AE07548E-7114-457C-9D47-D6098A6B8743}">
      <text>
        <r>
          <rPr>
            <b/>
            <sz val="9"/>
            <color indexed="81"/>
            <rFont val="Tahoma"/>
            <family val="2"/>
          </rPr>
          <t>greg conlon:</t>
        </r>
        <r>
          <rPr>
            <sz val="9"/>
            <color indexed="81"/>
            <rFont val="Tahoma"/>
            <family val="2"/>
          </rPr>
          <t xml:space="preserve">
to GC for stamps for dun mailing and other.</t>
        </r>
      </text>
    </comment>
  </commentList>
</comments>
</file>

<file path=xl/sharedStrings.xml><?xml version="1.0" encoding="utf-8"?>
<sst xmlns="http://schemas.openxmlformats.org/spreadsheetml/2006/main" count="1313" uniqueCount="408">
  <si>
    <t>Jan</t>
  </si>
  <si>
    <t>Feb</t>
  </si>
  <si>
    <t>Mar</t>
  </si>
  <si>
    <t>Apr</t>
  </si>
  <si>
    <t>May</t>
  </si>
  <si>
    <t>Aug</t>
  </si>
  <si>
    <t>Sep</t>
  </si>
  <si>
    <t>Oct</t>
  </si>
  <si>
    <t>Nov</t>
  </si>
  <si>
    <t>Dec</t>
  </si>
  <si>
    <t>Grand Total</t>
  </si>
  <si>
    <t>Category</t>
  </si>
  <si>
    <t>AT&amp;T</t>
  </si>
  <si>
    <t>HOA Fee</t>
  </si>
  <si>
    <t>Website</t>
  </si>
  <si>
    <t>Duke Energy</t>
  </si>
  <si>
    <t>Fire - Ade</t>
  </si>
  <si>
    <t>Felton Srvcs</t>
  </si>
  <si>
    <t>City of Winston</t>
  </si>
  <si>
    <t>BBT Srvce Fee</t>
  </si>
  <si>
    <t>Forsyth County Pool Permit</t>
  </si>
  <si>
    <t>CPM - Misc Repairs</t>
  </si>
  <si>
    <t>Waste Industries</t>
  </si>
  <si>
    <t>Mosquito Authority</t>
  </si>
  <si>
    <t>Tax Prep</t>
  </si>
  <si>
    <t>Pool Snacks</t>
  </si>
  <si>
    <t>Auto Owners Insur</t>
  </si>
  <si>
    <t>CPM - 1</t>
  </si>
  <si>
    <t>CPM - 2</t>
  </si>
  <si>
    <t>CPM - 3</t>
  </si>
  <si>
    <t>CPM - 4</t>
  </si>
  <si>
    <t>CPM - 5</t>
  </si>
  <si>
    <t>CPM - 6</t>
  </si>
  <si>
    <t>CPM - 7</t>
  </si>
  <si>
    <t>Income</t>
  </si>
  <si>
    <t>Expenses</t>
  </si>
  <si>
    <t>Jun</t>
  </si>
  <si>
    <t>Jul</t>
  </si>
  <si>
    <t>PO Box</t>
  </si>
  <si>
    <t>Total</t>
  </si>
  <si>
    <t>New HOA Dues</t>
  </si>
  <si>
    <t>Old HOA Dues</t>
  </si>
  <si>
    <t>Dues Increase</t>
  </si>
  <si>
    <t>Houses</t>
  </si>
  <si>
    <t>C/House</t>
  </si>
  <si>
    <t>Halloween Police Patrol</t>
  </si>
  <si>
    <t>Guest Fee/Snack Bar</t>
  </si>
  <si>
    <t>Net Income</t>
  </si>
  <si>
    <t>Asbury Place HOA Inc</t>
  </si>
  <si>
    <t>Balance Sheet Prev Year Comparison</t>
  </si>
  <si>
    <t>$ Change</t>
  </si>
  <si>
    <t>% Change</t>
  </si>
  <si>
    <t>ASSETS</t>
  </si>
  <si>
    <t>Current Assets</t>
  </si>
  <si>
    <t>Checking/Savings</t>
  </si>
  <si>
    <t>BB &amp; T</t>
  </si>
  <si>
    <t>Total Checking/Savings</t>
  </si>
  <si>
    <t>Accounts Receivable</t>
  </si>
  <si>
    <t>Total Current Assets</t>
  </si>
  <si>
    <t>Fixed Assets</t>
  </si>
  <si>
    <t>Playground Equipment</t>
  </si>
  <si>
    <t>Accounting Software</t>
  </si>
  <si>
    <t>Grounds Equipment</t>
  </si>
  <si>
    <t>Paving</t>
  </si>
  <si>
    <t>Pool</t>
  </si>
  <si>
    <t>Pool Cover</t>
  </si>
  <si>
    <t>Pool Furniture</t>
  </si>
  <si>
    <t>Signs</t>
  </si>
  <si>
    <t>Less Accumulated Depreciation</t>
  </si>
  <si>
    <t>Total Fixed Assets</t>
  </si>
  <si>
    <t>TOTAL ASSETS</t>
  </si>
  <si>
    <t>LIABILITIES &amp; EQUITY</t>
  </si>
  <si>
    <t>Equity</t>
  </si>
  <si>
    <t>Opening Bal Equity</t>
  </si>
  <si>
    <t>Retained Earnings</t>
  </si>
  <si>
    <t>Total Equity</t>
  </si>
  <si>
    <t>TOTAL LIABILITIES &amp; EQUITY</t>
  </si>
  <si>
    <t>Total Exp</t>
  </si>
  <si>
    <t>Repairs &amp; Maintance</t>
  </si>
  <si>
    <t>Capital Investments</t>
  </si>
  <si>
    <t>Inflation</t>
  </si>
  <si>
    <t>FY BUDGET 2016</t>
  </si>
  <si>
    <t>Insurance HOA</t>
  </si>
  <si>
    <t>BBT INTEREST</t>
  </si>
  <si>
    <t>WINSTON-SALEM WATER</t>
  </si>
  <si>
    <t>BBT CREDIT LINE</t>
  </si>
  <si>
    <t>HOA ENTERTAINMENT</t>
  </si>
  <si>
    <t>AQUATECH</t>
  </si>
  <si>
    <t>AQUATECH REPAIRS</t>
  </si>
  <si>
    <t xml:space="preserve">  </t>
  </si>
  <si>
    <t>ASBURY PLACE 2023 (Proforma)</t>
  </si>
  <si>
    <t>based on 2022 income and expenses plus 10% inflation</t>
  </si>
  <si>
    <t>Expense</t>
  </si>
  <si>
    <t>Surplus (Deficit)</t>
  </si>
  <si>
    <t>EOM Cash on Hand (Act-Est)</t>
  </si>
  <si>
    <t>Total Expense</t>
  </si>
  <si>
    <t>Total Exp w/Inflation</t>
  </si>
  <si>
    <t>Assume 10% dues increase</t>
  </si>
  <si>
    <t>No dues increase</t>
  </si>
  <si>
    <t>=186*400</t>
  </si>
  <si>
    <t>12% increase - $450</t>
  </si>
  <si>
    <t>10% increase - $440</t>
  </si>
  <si>
    <t>Net Income w/ 10% increase</t>
  </si>
  <si>
    <t>Net Income w/ 12% increase</t>
  </si>
  <si>
    <t>Net Income w/ 20% increase</t>
  </si>
  <si>
    <t>ASBURY 2021 BILLS PAID</t>
  </si>
  <si>
    <t>2021-22 compare</t>
  </si>
  <si>
    <t>Plus Inflation 6%</t>
  </si>
  <si>
    <t>Yr-end CASH BOH</t>
  </si>
  <si>
    <t>Cash BOH</t>
  </si>
  <si>
    <t>15% increase - $460</t>
  </si>
  <si>
    <t>Year over year comparison (2021-2022)</t>
  </si>
  <si>
    <t>Expense- all</t>
  </si>
  <si>
    <t>Aquatech</t>
  </si>
  <si>
    <t>Felton</t>
  </si>
  <si>
    <t>% change</t>
  </si>
  <si>
    <t>Aquatech repairs</t>
  </si>
  <si>
    <t>Change</t>
  </si>
  <si>
    <t>%</t>
  </si>
  <si>
    <t>Major contributors:</t>
  </si>
  <si>
    <t>2022 (est)</t>
  </si>
  <si>
    <t>$440 (10%)</t>
  </si>
  <si>
    <t xml:space="preserve"> @ $400</t>
  </si>
  <si>
    <t xml:space="preserve">ASBURY 2019 BILLS PAID </t>
  </si>
  <si>
    <t>Total (Net Deficit/Surplus)</t>
  </si>
  <si>
    <t>Compiled by Jeffery Lippow, Asbury Place HOA Treasurer</t>
  </si>
  <si>
    <t>ASBURY 2020 BILLS PAID</t>
  </si>
  <si>
    <t>No dues increase, inflation of 6% over 2022</t>
  </si>
  <si>
    <t>Assumptions:</t>
  </si>
  <si>
    <t>10% dues increase, inflation at 6%</t>
  </si>
  <si>
    <t>12% dues increase, inflation at 6%</t>
  </si>
  <si>
    <t>No dues increase, costs same as 2022</t>
  </si>
  <si>
    <t>10% dues increase,  costs same as 2022</t>
  </si>
  <si>
    <t>$450 (12%)</t>
  </si>
  <si>
    <t>@$400</t>
  </si>
  <si>
    <t>@$440</t>
  </si>
  <si>
    <t>(0/6%)</t>
  </si>
  <si>
    <t>(10/6%)</t>
  </si>
  <si>
    <t>(12/6%)</t>
  </si>
  <si>
    <t>(0/0%)</t>
  </si>
  <si>
    <t>(10/0%)</t>
  </si>
  <si>
    <t>Cashflow Historical</t>
  </si>
  <si>
    <t>Year</t>
  </si>
  <si>
    <t>?</t>
  </si>
  <si>
    <t>2023 Cashflow Projections</t>
  </si>
  <si>
    <t>(est 1)</t>
  </si>
  <si>
    <t>(est 2)</t>
  </si>
  <si>
    <t>(est 3)</t>
  </si>
  <si>
    <t>(est 4)</t>
  </si>
  <si>
    <t>(est 5)</t>
  </si>
  <si>
    <t>1. How much of the inflationary costs are already baked-in for 2023?  In other words, will inflation be lower in 2023.  I've estimated 6%.</t>
  </si>
  <si>
    <t>2. Are the Aquatech repairs non-reoccuring?  Can we expect a lower number next year and years after that?  If so, we may be able to reduce our expense projection for 2023.</t>
  </si>
  <si>
    <t>3. Are there other capital or non-reoccuring costs that should be budgeted for?</t>
  </si>
  <si>
    <t>4. What can we do to reduce operating costs, v. raising dues?</t>
  </si>
  <si>
    <t>Comments/Questions:</t>
  </si>
  <si>
    <t>TOTAL</t>
  </si>
  <si>
    <t>Sum of 2020</t>
  </si>
  <si>
    <t>Sum of 2021</t>
  </si>
  <si>
    <t>Sum of 2022 (est)</t>
  </si>
  <si>
    <t>Sum of 2019</t>
  </si>
  <si>
    <t>Column Labels</t>
  </si>
  <si>
    <t>Values</t>
  </si>
  <si>
    <t>Total Income - Expense</t>
  </si>
  <si>
    <t>TOTAL of the 3</t>
  </si>
  <si>
    <t>Other</t>
  </si>
  <si>
    <t>Truist Srvce Fee</t>
  </si>
  <si>
    <t>Expense Check Acct</t>
  </si>
  <si>
    <t>Transfer Fees</t>
  </si>
  <si>
    <t>Check</t>
  </si>
  <si>
    <t>Ch Acct Balance</t>
  </si>
  <si>
    <t xml:space="preserve">2023 HOA Fee </t>
  </si>
  <si>
    <t>Net Income/Loss</t>
  </si>
  <si>
    <t>Ending balance 2022</t>
  </si>
  <si>
    <t>Ending Balance Cash On-hand</t>
  </si>
  <si>
    <t>180 payers of 186 @ $440</t>
  </si>
  <si>
    <t>186 =</t>
  </si>
  <si>
    <t>per contract</t>
  </si>
  <si>
    <t>ASBURY PLACE HOA 2023 (Proforma Budget)</t>
  </si>
  <si>
    <t>Pool Repairs</t>
  </si>
  <si>
    <t>Other R&amp;M</t>
  </si>
  <si>
    <t>Winston Salem Water</t>
  </si>
  <si>
    <t xml:space="preserve">  half of 2022</t>
  </si>
  <si>
    <t xml:space="preserve">  similar to 2022</t>
  </si>
  <si>
    <t>Notes</t>
  </si>
  <si>
    <t>= +10% over last year</t>
  </si>
  <si>
    <t>Duke</t>
  </si>
  <si>
    <t>2022 FINAL</t>
  </si>
  <si>
    <t>Net Income (Loss)</t>
  </si>
  <si>
    <t>Ending balance on-hand</t>
  </si>
  <si>
    <t xml:space="preserve">   Pool (icnludes life guards)</t>
  </si>
  <si>
    <t xml:space="preserve">   Common areas maintenance</t>
  </si>
  <si>
    <t xml:space="preserve">   Street lighting</t>
  </si>
  <si>
    <t xml:space="preserve">   Repairs and maintenance</t>
  </si>
  <si>
    <t>Year 2022 ACTUALS</t>
  </si>
  <si>
    <t>Year 2023 PRO FORMA Budget</t>
  </si>
  <si>
    <t>Major Expenditures 2022</t>
  </si>
  <si>
    <t>Dues History</t>
  </si>
  <si>
    <t>Checks</t>
  </si>
  <si>
    <t>Other withdl, credits, serv chg</t>
  </si>
  <si>
    <t>total</t>
  </si>
  <si>
    <t>Actual net income</t>
  </si>
  <si>
    <t>Actual v. projection</t>
  </si>
  <si>
    <t>2023 Est HOA Fee @ $440</t>
  </si>
  <si>
    <t>Projected Net Income/Loss</t>
  </si>
  <si>
    <t>Difference</t>
  </si>
  <si>
    <t>Due date</t>
  </si>
  <si>
    <t>plus tax</t>
  </si>
  <si>
    <t>AquaTech</t>
  </si>
  <si>
    <t>Paid</t>
  </si>
  <si>
    <t>Base</t>
  </si>
  <si>
    <t>increase</t>
  </si>
  <si>
    <t>Previous balance</t>
  </si>
  <si>
    <t>Other withdls, debits ans svc chgs</t>
  </si>
  <si>
    <t>Checks written</t>
  </si>
  <si>
    <t>Deposits, credits, interest</t>
  </si>
  <si>
    <t>Ending BOH</t>
  </si>
  <si>
    <t>Bank statement (check)</t>
  </si>
  <si>
    <t>Expense, row 48+49</t>
  </si>
  <si>
    <t>Returned check NSF</t>
  </si>
  <si>
    <t># of units 2023 Dues Paid to date</t>
  </si>
  <si>
    <t xml:space="preserve"> HOA Fees</t>
  </si>
  <si>
    <t>ASBURY PLACE HOA 2023 Budget (shaded months are Actual)</t>
  </si>
  <si>
    <t>Actual v. Projected</t>
  </si>
  <si>
    <t>Cummulative</t>
  </si>
  <si>
    <t>2023 units unpaid</t>
  </si>
  <si>
    <t>Waste Service</t>
  </si>
  <si>
    <t>Pool Maint &amp; Operation</t>
  </si>
  <si>
    <t>Balance check</t>
  </si>
  <si>
    <t>Aqua 2x payment</t>
  </si>
  <si>
    <t>Net BOH</t>
  </si>
  <si>
    <t>PD Jun 20</t>
  </si>
  <si>
    <t>Send on</t>
  </si>
  <si>
    <t>Deliver by</t>
  </si>
  <si>
    <t>Frequency</t>
  </si>
  <si>
    <t>Duration</t>
  </si>
  <si>
    <t>Status</t>
  </si>
  <si>
    <t>Payee</t>
  </si>
  <si>
    <t>From</t>
  </si>
  <si>
    <t>Amount</t>
  </si>
  <si>
    <t>Confirmation Number</t>
  </si>
  <si>
    <t>Memo</t>
  </si>
  <si>
    <t>06/13/2023</t>
  </si>
  <si>
    <t>06/21/2023</t>
  </si>
  <si>
    <t>One Time</t>
  </si>
  <si>
    <t/>
  </si>
  <si>
    <t>Scheduled</t>
  </si>
  <si>
    <t>AQUA TECH POOL MANAGEMENT</t>
  </si>
  <si>
    <t>Checking 4913</t>
  </si>
  <si>
    <t>0000000274</t>
  </si>
  <si>
    <t>Jul 1 invoice</t>
  </si>
  <si>
    <t>05/08/2023</t>
  </si>
  <si>
    <t>05/15/2023</t>
  </si>
  <si>
    <t>Processed</t>
  </si>
  <si>
    <t>0000000268</t>
  </si>
  <si>
    <t>04/18/2023</t>
  </si>
  <si>
    <t>04/25/2023</t>
  </si>
  <si>
    <t>0000000262</t>
  </si>
  <si>
    <t>03/24/2023</t>
  </si>
  <si>
    <t>03/31/2023</t>
  </si>
  <si>
    <t>0000000255</t>
  </si>
  <si>
    <t>invoice 2588038</t>
  </si>
  <si>
    <t>03/15/2023</t>
  </si>
  <si>
    <t>03/22/2023</t>
  </si>
  <si>
    <t>0000000260</t>
  </si>
  <si>
    <t>balance due on 2523051, 1/2/2023</t>
  </si>
  <si>
    <t>02/17/2023</t>
  </si>
  <si>
    <t>02/27/2023</t>
  </si>
  <si>
    <t>0000000253</t>
  </si>
  <si>
    <t>0000000254</t>
  </si>
  <si>
    <t>Pool permitting</t>
  </si>
  <si>
    <t>01/30/2023</t>
  </si>
  <si>
    <t>02/06/2023</t>
  </si>
  <si>
    <t>0000000250</t>
  </si>
  <si>
    <t>5% payment 2023</t>
  </si>
  <si>
    <t>PD to date</t>
  </si>
  <si>
    <t>June 2023 update</t>
  </si>
  <si>
    <t>Audit of past due accounts</t>
  </si>
  <si>
    <t>Key Factors</t>
  </si>
  <si>
    <t>Spending less than projected</t>
  </si>
  <si>
    <t>Pool Mgt Company</t>
  </si>
  <si>
    <t>Actual</t>
  </si>
  <si>
    <t>Budgeted</t>
  </si>
  <si>
    <t>AquaTech early pay</t>
  </si>
  <si>
    <t>Net</t>
  </si>
  <si>
    <t xml:space="preserve">Other factor is timing of payments &amp; receipts </t>
  </si>
  <si>
    <t>Net Income Effectivly Favoable</t>
  </si>
  <si>
    <t>Received</t>
  </si>
  <si>
    <t>PO Box, postage</t>
  </si>
  <si>
    <t>Actual BOH</t>
  </si>
  <si>
    <t>Budgeted projection BOH</t>
  </si>
  <si>
    <t>Missing Felton invoice for June</t>
  </si>
  <si>
    <t>Year 2023 Projection</t>
  </si>
  <si>
    <t>Projected Yr-End BOH</t>
  </si>
  <si>
    <t>Budgeted Yr-End BOH</t>
  </si>
  <si>
    <t>Landscape Svcs</t>
  </si>
  <si>
    <t>Extras</t>
  </si>
  <si>
    <t xml:space="preserve">Total </t>
  </si>
  <si>
    <t>Billed to date</t>
  </si>
  <si>
    <t>Contract amount</t>
  </si>
  <si>
    <t>contract</t>
  </si>
  <si>
    <t>Tax</t>
  </si>
  <si>
    <t>Truist Line of Credit</t>
  </si>
  <si>
    <t>Items billed that are not covered by the contract</t>
  </si>
  <si>
    <t>Guest Fee/Snack Bar/Misc.</t>
  </si>
  <si>
    <t>Ending balance 2023</t>
  </si>
  <si>
    <t>Year 2023 ACTUALS</t>
  </si>
  <si>
    <t>Year 2024 PRO FORMA Budget</t>
  </si>
  <si>
    <t>Major Expenditures 2023</t>
  </si>
  <si>
    <t xml:space="preserve">   Pool (includes life guards)</t>
  </si>
  <si>
    <t>ASBURY PLACE HOA 2024 Budget (shaded months are Actual)</t>
  </si>
  <si>
    <t># of units 2024 Dues Paid to date</t>
  </si>
  <si>
    <t>AquaTech 2024-2026 contract</t>
  </si>
  <si>
    <t>+applicable taxes</t>
  </si>
  <si>
    <t>Payment schedule</t>
  </si>
  <si>
    <t>2024 units unpaid</t>
  </si>
  <si>
    <t>Dues not paid</t>
  </si>
  <si>
    <t>Interest/arreas payment</t>
  </si>
  <si>
    <t>Invoice #3305206</t>
  </si>
  <si>
    <t>2/1/24 = 5%</t>
  </si>
  <si>
    <t>3/1/24 = 10%</t>
  </si>
  <si>
    <t>4/1/24 = 10%</t>
  </si>
  <si>
    <t>5/1/24 = 20%</t>
  </si>
  <si>
    <t>6/1/24 = 20%</t>
  </si>
  <si>
    <t>7/1/24 = 20%</t>
  </si>
  <si>
    <t>8/1/24 = 10%</t>
  </si>
  <si>
    <t>9/1/24 = 5%</t>
  </si>
  <si>
    <t>Invoice #3245240</t>
  </si>
  <si>
    <t>Invoice #3203288</t>
  </si>
  <si>
    <t>Invoice #3144588</t>
  </si>
  <si>
    <t>Invoice #3073300</t>
  </si>
  <si>
    <t>Invoice #3058043</t>
  </si>
  <si>
    <t>Invoice #3006278</t>
  </si>
  <si>
    <t>Calendar Year 2024</t>
  </si>
  <si>
    <t>OPERATING BUDGET</t>
  </si>
  <si>
    <t>PROJECED BUDGET</t>
  </si>
  <si>
    <t>MONTHLY BUDGET</t>
  </si>
  <si>
    <t>INCOME</t>
  </si>
  <si>
    <t>HOA Assessments - 186 units @ $440 = $81,840</t>
  </si>
  <si>
    <t>Miscellaneous Income</t>
  </si>
  <si>
    <t>TOTAL INCOME</t>
  </si>
  <si>
    <t>EXPENSES</t>
  </si>
  <si>
    <t>Administrative Expenses</t>
  </si>
  <si>
    <t>HOA Insurance</t>
  </si>
  <si>
    <t>Bank Service Fees</t>
  </si>
  <si>
    <t>Office Supplies</t>
  </si>
  <si>
    <t>HOA Entertainment (based on previous year)</t>
  </si>
  <si>
    <t>HOA Accounting Software</t>
  </si>
  <si>
    <t>Returned Check NSF</t>
  </si>
  <si>
    <t>Forsyth County Taxes</t>
  </si>
  <si>
    <t>Attorney Fees (Incurred in 2023 paid in Jan. 2024)</t>
  </si>
  <si>
    <t>Total Administrative Expenses</t>
  </si>
  <si>
    <t>Utilities</t>
  </si>
  <si>
    <t>Water</t>
  </si>
  <si>
    <t>Phone - AT&amp;T</t>
  </si>
  <si>
    <t>Total Fixed Costs</t>
  </si>
  <si>
    <t>Services</t>
  </si>
  <si>
    <t>AquaTech - contract</t>
  </si>
  <si>
    <t>Pool Repairs &amp; Maintenance</t>
  </si>
  <si>
    <t>Landscaping Services</t>
  </si>
  <si>
    <t>Fire-Ade</t>
  </si>
  <si>
    <t>Other Repairs &amp; Maintenance (Mulch for Playground)</t>
  </si>
  <si>
    <t>Miscellaneous</t>
  </si>
  <si>
    <t>Total Operating Costs</t>
  </si>
  <si>
    <t>Reserve Contribution/Loss</t>
  </si>
  <si>
    <t>TOTAL OPERATING EXPENSES</t>
  </si>
  <si>
    <t>NET INCOME</t>
  </si>
  <si>
    <t>HOA RESERVE</t>
  </si>
  <si>
    <t>Previous Balance</t>
  </si>
  <si>
    <t>2024 Reserve Contribution</t>
  </si>
  <si>
    <t>New Reserve Balance</t>
  </si>
  <si>
    <t>ACTUAL  BUDGET</t>
  </si>
  <si>
    <t>ASBURY PLACE HOA - ANNUAL BUDGET</t>
  </si>
  <si>
    <t>Dumpster/Waste Service</t>
  </si>
  <si>
    <t>Attorney Fees</t>
  </si>
  <si>
    <t>Other/Miscellaneous</t>
  </si>
  <si>
    <t>Actual Balance Jan. - July</t>
  </si>
  <si>
    <t>ACTUAL   JAN - DEC</t>
  </si>
  <si>
    <t xml:space="preserve">ESTIMATED   </t>
  </si>
  <si>
    <t>Invoice #3375263</t>
  </si>
  <si>
    <t>2023 ACTUAL  BUDGET</t>
  </si>
  <si>
    <t>Guest Fee/Sav. Interest earned</t>
  </si>
  <si>
    <t>ACTUAL   JAN - NOV</t>
  </si>
  <si>
    <t>ESTIMATED   DEC</t>
  </si>
  <si>
    <t>ESTIMATED</t>
  </si>
  <si>
    <t>2024 ACTUAL  BUDGET</t>
  </si>
  <si>
    <t>2025 ACTUAL  BUDGET</t>
  </si>
  <si>
    <t>Calendar Year 2025</t>
  </si>
  <si>
    <t>ASBURY PLACE HOA 2025 Budget (shaded months are Actual)</t>
  </si>
  <si>
    <t>2025 units unpaid</t>
  </si>
  <si>
    <t>2/1/25 = 5%</t>
  </si>
  <si>
    <t>3/1/25 = 10%</t>
  </si>
  <si>
    <t>4/1/25 = 10%</t>
  </si>
  <si>
    <t>5/1/25 = 20%</t>
  </si>
  <si>
    <t>6/1/25 = 20%</t>
  </si>
  <si>
    <t>7/1/25 = 20%</t>
  </si>
  <si>
    <t>8/1/25 = 10%</t>
  </si>
  <si>
    <t>9/1/25 = 5%</t>
  </si>
  <si>
    <t>Invoice #3664006</t>
  </si>
  <si>
    <t># of units 2025 Dues Paid to date</t>
  </si>
  <si>
    <t>Other Repairs &amp; Maintenance</t>
  </si>
  <si>
    <t>HOA Entertainment</t>
  </si>
  <si>
    <t>New HOA $</t>
  </si>
  <si>
    <t>Projected Budget</t>
  </si>
  <si>
    <t>Projected Income</t>
  </si>
  <si>
    <t>Reserve</t>
  </si>
  <si>
    <t>No Increase HOA $</t>
  </si>
  <si>
    <t>% Reserve</t>
  </si>
  <si>
    <t>No Increase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</si>
</sst>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0.0%"/>
    <numFmt numFmtId="167" formatCode="_(&quot;$&quot;* #,##0_);_(&quot;$&quot;* \(#,##0\);_(&quot;$&quot;* &quot;-&quot;??_);_(@_)"/>
    <numFmt numFmtId="168" formatCode="&quot;$&quot;#,##0.00"/>
  </numFmts>
  <fonts count="35" x14ac:knownFonts="1">
    <font>
      <sz val="12"/>
      <color theme="1"/>
      <name val="Calibri"/>
      <family val="2"/>
      <scheme val="minor"/>
    </font>
    <font>
      <sz val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theme="4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326">
    <xf numFmtId="0" fontId="0" fillId="0" borderId="0" applyBorder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14" fillId="0" borderId="0"/>
    <xf numFmtId="0" fontId="23" fillId="0" borderId="0"/>
  </cellStyleXfs>
  <cellXfs count="261">
    <xf numFmtId="0" fontId="0" fillId="0" borderId="0" xfId="0"/>
    <xf numFmtId="0" fontId="0" fillId="0" borderId="0" xfId="0" pivotButton="1"/>
    <xf numFmtId="16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0" xfId="0" applyNumberFormat="1" applyFont="1"/>
    <xf numFmtId="43" fontId="2" fillId="0" borderId="0" xfId="1"/>
    <xf numFmtId="165" fontId="2" fillId="0" borderId="0" xfId="1" applyNumberFormat="1"/>
    <xf numFmtId="9" fontId="2" fillId="0" borderId="0" xfId="2"/>
    <xf numFmtId="0" fontId="3" fillId="0" borderId="0" xfId="0" applyFont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0" fillId="0" borderId="2" xfId="0" applyNumberFormat="1" applyBorder="1"/>
    <xf numFmtId="164" fontId="3" fillId="0" borderId="2" xfId="0" applyNumberFormat="1" applyFont="1" applyBorder="1"/>
    <xf numFmtId="0" fontId="4" fillId="0" borderId="2" xfId="0" applyFont="1" applyBorder="1" applyAlignment="1">
      <alignment horizontal="center"/>
    </xf>
    <xf numFmtId="164" fontId="4" fillId="0" borderId="2" xfId="0" applyNumberFormat="1" applyFont="1" applyBorder="1"/>
    <xf numFmtId="164" fontId="5" fillId="0" borderId="2" xfId="0" applyNumberFormat="1" applyFont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43" fontId="0" fillId="0" borderId="0" xfId="1" applyFont="1"/>
    <xf numFmtId="43" fontId="0" fillId="0" borderId="0" xfId="0" applyNumberFormat="1"/>
    <xf numFmtId="166" fontId="0" fillId="0" borderId="0" xfId="2" applyNumberFormat="1" applyFont="1"/>
    <xf numFmtId="0" fontId="0" fillId="0" borderId="0" xfId="0" applyAlignment="1">
      <alignment horizontal="left" indent="1"/>
    </xf>
    <xf numFmtId="9" fontId="0" fillId="0" borderId="0" xfId="0" applyNumberFormat="1"/>
    <xf numFmtId="165" fontId="0" fillId="0" borderId="0" xfId="1" applyNumberFormat="1" applyFont="1"/>
    <xf numFmtId="0" fontId="0" fillId="2" borderId="0" xfId="0" applyFill="1"/>
    <xf numFmtId="164" fontId="0" fillId="4" borderId="2" xfId="0" applyNumberFormat="1" applyFill="1" applyBorder="1"/>
    <xf numFmtId="164" fontId="4" fillId="4" borderId="2" xfId="0" applyNumberFormat="1" applyFont="1" applyFill="1" applyBorder="1"/>
    <xf numFmtId="164" fontId="3" fillId="4" borderId="2" xfId="0" applyNumberFormat="1" applyFont="1" applyFill="1" applyBorder="1"/>
    <xf numFmtId="0" fontId="0" fillId="4" borderId="0" xfId="0" applyFill="1"/>
    <xf numFmtId="164" fontId="0" fillId="4" borderId="0" xfId="0" applyNumberFormat="1" applyFill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left"/>
    </xf>
    <xf numFmtId="0" fontId="0" fillId="0" borderId="0" xfId="0" quotePrefix="1"/>
    <xf numFmtId="0" fontId="0" fillId="0" borderId="0" xfId="0" applyAlignment="1">
      <alignment horizontal="left"/>
    </xf>
    <xf numFmtId="0" fontId="3" fillId="2" borderId="0" xfId="0" applyFont="1" applyFill="1"/>
    <xf numFmtId="0" fontId="0" fillId="0" borderId="0" xfId="0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164" fontId="5" fillId="0" borderId="0" xfId="0" applyNumberFormat="1" applyFont="1" applyBorder="1"/>
    <xf numFmtId="9" fontId="3" fillId="0" borderId="0" xfId="0" applyNumberFormat="1" applyFont="1" applyBorder="1"/>
    <xf numFmtId="0" fontId="3" fillId="2" borderId="0" xfId="0" applyFont="1" applyFill="1" applyBorder="1" applyAlignment="1">
      <alignment horizontal="center"/>
    </xf>
    <xf numFmtId="0" fontId="0" fillId="5" borderId="0" xfId="0" applyFill="1"/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0" fillId="4" borderId="0" xfId="0" quotePrefix="1" applyFill="1" applyAlignment="1">
      <alignment horizontal="center"/>
    </xf>
    <xf numFmtId="0" fontId="0" fillId="4" borderId="0" xfId="0" applyFill="1" applyAlignment="1">
      <alignment horizontal="center"/>
    </xf>
    <xf numFmtId="0" fontId="3" fillId="4" borderId="0" xfId="0" quotePrefix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2" borderId="0" xfId="0" applyFont="1" applyFill="1" applyBorder="1"/>
    <xf numFmtId="6" fontId="0" fillId="4" borderId="0" xfId="0" quotePrefix="1" applyNumberFormat="1" applyFill="1" applyAlignment="1">
      <alignment horizontal="center"/>
    </xf>
    <xf numFmtId="39" fontId="0" fillId="0" borderId="0" xfId="0" applyNumberFormat="1" applyBorder="1"/>
    <xf numFmtId="39" fontId="0" fillId="0" borderId="0" xfId="0" applyNumberFormat="1"/>
    <xf numFmtId="39" fontId="0" fillId="4" borderId="0" xfId="0" applyNumberFormat="1" applyFill="1"/>
    <xf numFmtId="39" fontId="0" fillId="0" borderId="9" xfId="0" applyNumberFormat="1" applyBorder="1"/>
    <xf numFmtId="0" fontId="3" fillId="2" borderId="0" xfId="0" applyFont="1" applyFill="1" applyBorder="1" applyAlignment="1">
      <alignment horizontal="left"/>
    </xf>
    <xf numFmtId="10" fontId="0" fillId="0" borderId="0" xfId="0" applyNumberFormat="1"/>
    <xf numFmtId="5" fontId="0" fillId="0" borderId="0" xfId="0" applyNumberFormat="1" applyBorder="1" applyAlignment="1">
      <alignment horizontal="center"/>
    </xf>
    <xf numFmtId="5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10" xfId="0" applyBorder="1"/>
    <xf numFmtId="0" fontId="3" fillId="2" borderId="11" xfId="0" applyFont="1" applyFill="1" applyBorder="1"/>
    <xf numFmtId="0" fontId="3" fillId="0" borderId="11" xfId="0" applyFont="1" applyBorder="1"/>
    <xf numFmtId="0" fontId="3" fillId="0" borderId="11" xfId="0" applyFont="1" applyBorder="1" applyAlignment="1">
      <alignment horizontal="center"/>
    </xf>
    <xf numFmtId="5" fontId="0" fillId="0" borderId="11" xfId="0" applyNumberFormat="1" applyBorder="1" applyAlignment="1">
      <alignment horizontal="center"/>
    </xf>
    <xf numFmtId="39" fontId="0" fillId="0" borderId="11" xfId="0" applyNumberFormat="1" applyBorder="1"/>
    <xf numFmtId="0" fontId="0" fillId="0" borderId="11" xfId="0" applyBorder="1"/>
    <xf numFmtId="0" fontId="3" fillId="2" borderId="11" xfId="0" applyFont="1" applyFill="1" applyBorder="1" applyAlignment="1">
      <alignment horizontal="center"/>
    </xf>
    <xf numFmtId="9" fontId="0" fillId="0" borderId="11" xfId="0" applyNumberFormat="1" applyBorder="1" applyAlignment="1">
      <alignment horizontal="center"/>
    </xf>
    <xf numFmtId="0" fontId="0" fillId="0" borderId="12" xfId="0" applyBorder="1"/>
    <xf numFmtId="39" fontId="0" fillId="0" borderId="13" xfId="0" applyNumberFormat="1" applyBorder="1"/>
    <xf numFmtId="164" fontId="0" fillId="0" borderId="9" xfId="0" applyNumberFormat="1" applyBorder="1"/>
    <xf numFmtId="0" fontId="0" fillId="0" borderId="0" xfId="0" applyAlignment="1">
      <alignment wrapText="1"/>
    </xf>
    <xf numFmtId="0" fontId="0" fillId="0" borderId="5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4" borderId="11" xfId="0" quotePrefix="1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39" fontId="0" fillId="4" borderId="11" xfId="0" applyNumberFormat="1" applyFill="1" applyBorder="1"/>
    <xf numFmtId="10" fontId="3" fillId="0" borderId="0" xfId="0" quotePrefix="1" applyNumberFormat="1" applyFont="1"/>
    <xf numFmtId="166" fontId="0" fillId="0" borderId="0" xfId="0" applyNumberFormat="1"/>
    <xf numFmtId="0" fontId="0" fillId="0" borderId="0" xfId="0" applyAlignment="1">
      <alignment horizontal="right"/>
    </xf>
    <xf numFmtId="167" fontId="0" fillId="0" borderId="0" xfId="323" applyNumberFormat="1" applyFont="1"/>
    <xf numFmtId="6" fontId="0" fillId="0" borderId="0" xfId="0" applyNumberFormat="1"/>
    <xf numFmtId="164" fontId="0" fillId="0" borderId="15" xfId="0" applyNumberFormat="1" applyBorder="1"/>
    <xf numFmtId="164" fontId="3" fillId="0" borderId="2" xfId="0" applyNumberFormat="1" applyFont="1" applyBorder="1" applyAlignment="1">
      <alignment horizontal="right"/>
    </xf>
    <xf numFmtId="0" fontId="0" fillId="0" borderId="9" xfId="0" applyBorder="1"/>
    <xf numFmtId="168" fontId="0" fillId="0" borderId="0" xfId="0" applyNumberFormat="1"/>
    <xf numFmtId="0" fontId="3" fillId="4" borderId="0" xfId="0" applyFont="1" applyFill="1"/>
    <xf numFmtId="6" fontId="0" fillId="4" borderId="0" xfId="0" applyNumberFormat="1" applyFill="1"/>
    <xf numFmtId="6" fontId="0" fillId="0" borderId="9" xfId="0" applyNumberFormat="1" applyBorder="1"/>
    <xf numFmtId="0" fontId="3" fillId="2" borderId="2" xfId="0" applyFont="1" applyFill="1" applyBorder="1" applyAlignment="1">
      <alignment horizontal="center"/>
    </xf>
    <xf numFmtId="164" fontId="0" fillId="2" borderId="2" xfId="0" applyNumberFormat="1" applyFill="1" applyBorder="1"/>
    <xf numFmtId="9" fontId="0" fillId="0" borderId="15" xfId="0" applyNumberFormat="1" applyBorder="1"/>
    <xf numFmtId="16" fontId="0" fillId="0" borderId="0" xfId="0" applyNumberFormat="1"/>
    <xf numFmtId="164" fontId="0" fillId="2" borderId="15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2" xfId="0" applyNumberFormat="1" applyFont="1" applyFill="1" applyBorder="1"/>
    <xf numFmtId="164" fontId="3" fillId="2" borderId="0" xfId="0" applyNumberFormat="1" applyFont="1" applyFill="1" applyBorder="1"/>
    <xf numFmtId="168" fontId="0" fillId="2" borderId="0" xfId="0" applyNumberFormat="1" applyFill="1"/>
    <xf numFmtId="164" fontId="0" fillId="2" borderId="0" xfId="0" applyNumberFormat="1" applyFill="1"/>
    <xf numFmtId="4" fontId="0" fillId="0" borderId="0" xfId="0" applyNumberFormat="1"/>
    <xf numFmtId="0" fontId="14" fillId="0" borderId="0" xfId="324"/>
    <xf numFmtId="168" fontId="14" fillId="0" borderId="0" xfId="324" applyNumberFormat="1"/>
    <xf numFmtId="168" fontId="15" fillId="0" borderId="0" xfId="324" applyNumberFormat="1" applyFont="1"/>
    <xf numFmtId="0" fontId="16" fillId="0" borderId="0" xfId="324" applyFont="1"/>
    <xf numFmtId="164" fontId="0" fillId="0" borderId="0" xfId="0" applyNumberFormat="1" applyBorder="1"/>
    <xf numFmtId="164" fontId="3" fillId="0" borderId="9" xfId="0" applyNumberFormat="1" applyFont="1" applyBorder="1"/>
    <xf numFmtId="8" fontId="14" fillId="0" borderId="0" xfId="324" applyNumberFormat="1"/>
    <xf numFmtId="16" fontId="14" fillId="0" borderId="0" xfId="324" applyNumberFormat="1"/>
    <xf numFmtId="14" fontId="14" fillId="0" borderId="0" xfId="324" applyNumberFormat="1"/>
    <xf numFmtId="8" fontId="15" fillId="0" borderId="0" xfId="324" applyNumberFormat="1" applyFont="1"/>
    <xf numFmtId="164" fontId="0" fillId="0" borderId="15" xfId="0" applyNumberFormat="1" applyBorder="1" applyAlignment="1">
      <alignment horizontal="center"/>
    </xf>
    <xf numFmtId="4" fontId="17" fillId="2" borderId="0" xfId="0" applyNumberFormat="1" applyFont="1" applyFill="1"/>
    <xf numFmtId="164" fontId="17" fillId="2" borderId="2" xfId="0" applyNumberFormat="1" applyFont="1" applyFill="1" applyBorder="1"/>
    <xf numFmtId="164" fontId="17" fillId="0" borderId="2" xfId="0" applyNumberFormat="1" applyFont="1" applyBorder="1"/>
    <xf numFmtId="164" fontId="17" fillId="2" borderId="0" xfId="0" applyNumberFormat="1" applyFont="1" applyFill="1"/>
    <xf numFmtId="0" fontId="17" fillId="0" borderId="0" xfId="0" applyFont="1"/>
    <xf numFmtId="164" fontId="17" fillId="0" borderId="0" xfId="0" applyNumberFormat="1" applyFont="1"/>
    <xf numFmtId="4" fontId="17" fillId="0" borderId="0" xfId="0" applyNumberFormat="1" applyFont="1"/>
    <xf numFmtId="4" fontId="18" fillId="2" borderId="0" xfId="0" applyNumberFormat="1" applyFont="1" applyFill="1"/>
    <xf numFmtId="4" fontId="18" fillId="0" borderId="0" xfId="0" applyNumberFormat="1" applyFont="1"/>
    <xf numFmtId="164" fontId="19" fillId="2" borderId="2" xfId="0" applyNumberFormat="1" applyFont="1" applyFill="1" applyBorder="1"/>
    <xf numFmtId="164" fontId="19" fillId="0" borderId="2" xfId="0" applyNumberFormat="1" applyFont="1" applyBorder="1"/>
    <xf numFmtId="168" fontId="17" fillId="0" borderId="0" xfId="0" applyNumberFormat="1" applyFont="1"/>
    <xf numFmtId="164" fontId="18" fillId="2" borderId="2" xfId="0" applyNumberFormat="1" applyFont="1" applyFill="1" applyBorder="1"/>
    <xf numFmtId="4" fontId="18" fillId="2" borderId="9" xfId="0" applyNumberFormat="1" applyFont="1" applyFill="1" applyBorder="1"/>
    <xf numFmtId="0" fontId="18" fillId="0" borderId="0" xfId="0" applyFont="1"/>
    <xf numFmtId="4" fontId="20" fillId="2" borderId="0" xfId="0" applyNumberFormat="1" applyFont="1" applyFill="1"/>
    <xf numFmtId="4" fontId="20" fillId="0" borderId="0" xfId="0" applyNumberFormat="1" applyFont="1"/>
    <xf numFmtId="8" fontId="0" fillId="0" borderId="0" xfId="0" applyNumberFormat="1"/>
    <xf numFmtId="164" fontId="0" fillId="0" borderId="1" xfId="0" applyNumberFormat="1" applyBorder="1"/>
    <xf numFmtId="0" fontId="2" fillId="0" borderId="0" xfId="2" applyNumberFormat="1"/>
    <xf numFmtId="0" fontId="23" fillId="0" borderId="0" xfId="325"/>
    <xf numFmtId="0" fontId="24" fillId="0" borderId="0" xfId="325" applyFont="1" applyAlignment="1">
      <alignment horizontal="right"/>
    </xf>
    <xf numFmtId="0" fontId="26" fillId="0" borderId="0" xfId="325" applyFont="1" applyAlignment="1">
      <alignment horizontal="center" vertical="center" wrapText="1"/>
    </xf>
    <xf numFmtId="0" fontId="26" fillId="0" borderId="0" xfId="325" applyFont="1"/>
    <xf numFmtId="4" fontId="24" fillId="0" borderId="0" xfId="325" applyNumberFormat="1" applyFont="1" applyAlignment="1">
      <alignment horizontal="right"/>
    </xf>
    <xf numFmtId="0" fontId="23" fillId="0" borderId="2" xfId="325" applyBorder="1"/>
    <xf numFmtId="0" fontId="27" fillId="0" borderId="3" xfId="325" applyFont="1" applyBorder="1"/>
    <xf numFmtId="0" fontId="23" fillId="0" borderId="5" xfId="325" applyBorder="1"/>
    <xf numFmtId="4" fontId="24" fillId="0" borderId="2" xfId="325" applyNumberFormat="1" applyFont="1" applyBorder="1" applyAlignment="1">
      <alignment horizontal="right"/>
    </xf>
    <xf numFmtId="0" fontId="28" fillId="7" borderId="0" xfId="325" applyFont="1" applyFill="1"/>
    <xf numFmtId="0" fontId="29" fillId="7" borderId="16" xfId="325" applyFont="1" applyFill="1" applyBorder="1"/>
    <xf numFmtId="4" fontId="29" fillId="7" borderId="16" xfId="325" applyNumberFormat="1" applyFont="1" applyFill="1" applyBorder="1" applyAlignment="1">
      <alignment horizontal="right"/>
    </xf>
    <xf numFmtId="0" fontId="30" fillId="0" borderId="0" xfId="325" applyFont="1"/>
    <xf numFmtId="0" fontId="31" fillId="2" borderId="0" xfId="325" applyFont="1" applyFill="1"/>
    <xf numFmtId="0" fontId="32" fillId="2" borderId="17" xfId="325" applyFont="1" applyFill="1" applyBorder="1"/>
    <xf numFmtId="4" fontId="33" fillId="2" borderId="17" xfId="325" applyNumberFormat="1" applyFont="1" applyFill="1" applyBorder="1" applyAlignment="1">
      <alignment horizontal="right"/>
    </xf>
    <xf numFmtId="0" fontId="29" fillId="7" borderId="0" xfId="325" applyFont="1" applyFill="1"/>
    <xf numFmtId="0" fontId="23" fillId="8" borderId="0" xfId="325" applyFill="1"/>
    <xf numFmtId="0" fontId="26" fillId="9" borderId="16" xfId="325" applyFont="1" applyFill="1" applyBorder="1"/>
    <xf numFmtId="4" fontId="26" fillId="9" borderId="16" xfId="325" applyNumberFormat="1" applyFont="1" applyFill="1" applyBorder="1" applyAlignment="1">
      <alignment horizontal="right"/>
    </xf>
    <xf numFmtId="0" fontId="24" fillId="0" borderId="0" xfId="325" applyFont="1"/>
    <xf numFmtId="164" fontId="24" fillId="0" borderId="0" xfId="325" applyNumberFormat="1" applyFont="1" applyAlignment="1">
      <alignment horizontal="right"/>
    </xf>
    <xf numFmtId="0" fontId="27" fillId="0" borderId="17" xfId="325" applyFont="1" applyBorder="1"/>
    <xf numFmtId="164" fontId="24" fillId="0" borderId="17" xfId="325" applyNumberFormat="1" applyFont="1" applyBorder="1" applyAlignment="1">
      <alignment horizontal="right"/>
    </xf>
    <xf numFmtId="164" fontId="26" fillId="9" borderId="16" xfId="325" applyNumberFormat="1" applyFont="1" applyFill="1" applyBorder="1" applyAlignment="1">
      <alignment horizontal="right"/>
    </xf>
    <xf numFmtId="0" fontId="26" fillId="0" borderId="0" xfId="325" applyFont="1" applyAlignment="1">
      <alignment horizontal="right"/>
    </xf>
    <xf numFmtId="0" fontId="24" fillId="0" borderId="0" xfId="325" applyFont="1" applyAlignment="1">
      <alignment horizontal="center"/>
    </xf>
    <xf numFmtId="9" fontId="0" fillId="0" borderId="0" xfId="0" applyNumberFormat="1" applyBorder="1"/>
    <xf numFmtId="0" fontId="22" fillId="6" borderId="0" xfId="325" applyFont="1" applyFill="1"/>
    <xf numFmtId="0" fontId="21" fillId="6" borderId="0" xfId="325" applyFont="1" applyFill="1"/>
    <xf numFmtId="0" fontId="23" fillId="0" borderId="6" xfId="325" applyBorder="1"/>
    <xf numFmtId="0" fontId="23" fillId="0" borderId="7" xfId="325" applyBorder="1"/>
    <xf numFmtId="0" fontId="23" fillId="0" borderId="8" xfId="325" applyBorder="1"/>
    <xf numFmtId="0" fontId="23" fillId="10" borderId="0" xfId="325" applyFill="1"/>
    <xf numFmtId="0" fontId="26" fillId="11" borderId="0" xfId="325" applyFont="1" applyFill="1" applyAlignment="1">
      <alignment horizontal="center" vertical="center" wrapText="1"/>
    </xf>
    <xf numFmtId="0" fontId="24" fillId="11" borderId="0" xfId="325" applyFont="1" applyFill="1" applyAlignment="1">
      <alignment horizontal="right"/>
    </xf>
    <xf numFmtId="4" fontId="24" fillId="11" borderId="2" xfId="325" applyNumberFormat="1" applyFont="1" applyFill="1" applyBorder="1" applyAlignment="1">
      <alignment horizontal="right"/>
    </xf>
    <xf numFmtId="4" fontId="24" fillId="11" borderId="0" xfId="325" applyNumberFormat="1" applyFont="1" applyFill="1" applyAlignment="1">
      <alignment horizontal="right"/>
    </xf>
    <xf numFmtId="0" fontId="26" fillId="12" borderId="0" xfId="325" applyFont="1" applyFill="1" applyAlignment="1">
      <alignment horizontal="center" vertical="center" wrapText="1"/>
    </xf>
    <xf numFmtId="0" fontId="24" fillId="12" borderId="0" xfId="325" applyFont="1" applyFill="1" applyAlignment="1">
      <alignment horizontal="right"/>
    </xf>
    <xf numFmtId="4" fontId="24" fillId="12" borderId="2" xfId="325" applyNumberFormat="1" applyFont="1" applyFill="1" applyBorder="1" applyAlignment="1">
      <alignment horizontal="right"/>
    </xf>
    <xf numFmtId="4" fontId="24" fillId="12" borderId="0" xfId="325" applyNumberFormat="1" applyFont="1" applyFill="1" applyAlignment="1">
      <alignment horizontal="right"/>
    </xf>
    <xf numFmtId="0" fontId="23" fillId="12" borderId="0" xfId="325" applyFill="1"/>
    <xf numFmtId="0" fontId="23" fillId="13" borderId="0" xfId="325" applyFill="1"/>
    <xf numFmtId="4" fontId="28" fillId="0" borderId="0" xfId="325" applyNumberFormat="1" applyFont="1"/>
    <xf numFmtId="0" fontId="33" fillId="0" borderId="0" xfId="325" applyFont="1" applyAlignment="1">
      <alignment horizontal="center" vertical="center" wrapText="1"/>
    </xf>
    <xf numFmtId="0" fontId="26" fillId="14" borderId="0" xfId="325" applyFont="1" applyFill="1" applyAlignment="1">
      <alignment horizontal="center" vertical="center" wrapText="1"/>
    </xf>
    <xf numFmtId="0" fontId="24" fillId="14" borderId="0" xfId="325" applyFont="1" applyFill="1" applyAlignment="1">
      <alignment horizontal="right"/>
    </xf>
    <xf numFmtId="4" fontId="24" fillId="14" borderId="2" xfId="325" applyNumberFormat="1" applyFont="1" applyFill="1" applyBorder="1" applyAlignment="1">
      <alignment horizontal="right"/>
    </xf>
    <xf numFmtId="0" fontId="22" fillId="15" borderId="0" xfId="325" applyFont="1" applyFill="1"/>
    <xf numFmtId="4" fontId="24" fillId="14" borderId="0" xfId="325" applyNumberFormat="1" applyFont="1" applyFill="1" applyAlignment="1">
      <alignment horizontal="right"/>
    </xf>
    <xf numFmtId="0" fontId="3" fillId="5" borderId="1" xfId="0" applyFont="1" applyFill="1" applyBorder="1" applyAlignment="1">
      <alignment horizontal="center"/>
    </xf>
    <xf numFmtId="164" fontId="0" fillId="5" borderId="2" xfId="0" applyNumberFormat="1" applyFill="1" applyBorder="1"/>
    <xf numFmtId="164" fontId="3" fillId="5" borderId="2" xfId="0" applyNumberFormat="1" applyFont="1" applyFill="1" applyBorder="1"/>
    <xf numFmtId="164" fontId="19" fillId="5" borderId="2" xfId="0" applyNumberFormat="1" applyFont="1" applyFill="1" applyBorder="1"/>
    <xf numFmtId="164" fontId="18" fillId="5" borderId="2" xfId="0" applyNumberFormat="1" applyFont="1" applyFill="1" applyBorder="1"/>
    <xf numFmtId="164" fontId="17" fillId="5" borderId="2" xfId="0" applyNumberFormat="1" applyFont="1" applyFill="1" applyBorder="1"/>
    <xf numFmtId="164" fontId="3" fillId="5" borderId="0" xfId="0" applyNumberFormat="1" applyFont="1" applyFill="1" applyBorder="1"/>
    <xf numFmtId="168" fontId="0" fillId="5" borderId="0" xfId="0" applyNumberFormat="1" applyFill="1"/>
    <xf numFmtId="164" fontId="0" fillId="5" borderId="0" xfId="0" applyNumberFormat="1" applyFill="1"/>
    <xf numFmtId="164" fontId="17" fillId="5" borderId="0" xfId="0" applyNumberFormat="1" applyFont="1" applyFill="1"/>
    <xf numFmtId="4" fontId="17" fillId="5" borderId="0" xfId="0" applyNumberFormat="1" applyFont="1" applyFill="1"/>
    <xf numFmtId="4" fontId="20" fillId="5" borderId="0" xfId="0" applyNumberFormat="1" applyFont="1" applyFill="1"/>
    <xf numFmtId="4" fontId="18" fillId="5" borderId="0" xfId="0" applyNumberFormat="1" applyFont="1" applyFill="1"/>
    <xf numFmtId="4" fontId="18" fillId="5" borderId="9" xfId="0" applyNumberFormat="1" applyFont="1" applyFill="1" applyBorder="1"/>
    <xf numFmtId="0" fontId="24" fillId="0" borderId="3" xfId="325" applyFont="1" applyBorder="1"/>
    <xf numFmtId="9" fontId="0" fillId="0" borderId="0" xfId="2" applyFont="1"/>
    <xf numFmtId="2" fontId="0" fillId="0" borderId="0" xfId="0" applyNumberFormat="1"/>
    <xf numFmtId="2" fontId="0" fillId="0" borderId="0" xfId="2" applyNumberFormat="1" applyFont="1"/>
    <xf numFmtId="2" fontId="2" fillId="0" borderId="0" xfId="2" applyNumberFormat="1"/>
    <xf numFmtId="44" fontId="0" fillId="0" borderId="0" xfId="323" applyFont="1"/>
    <xf numFmtId="9" fontId="0" fillId="5" borderId="0" xfId="2" applyFont="1" applyFill="1"/>
    <xf numFmtId="0" fontId="23" fillId="14" borderId="0" xfId="325" applyFill="1"/>
    <xf numFmtId="44" fontId="23" fillId="0" borderId="0" xfId="323" applyFont="1"/>
    <xf numFmtId="0" fontId="23" fillId="0" borderId="0" xfId="325" applyAlignment="1">
      <alignment horizontal="center" vertical="center"/>
    </xf>
    <xf numFmtId="44" fontId="23" fillId="0" borderId="0" xfId="325" applyNumberFormat="1"/>
    <xf numFmtId="9" fontId="23" fillId="0" borderId="0" xfId="2" applyFont="1"/>
    <xf numFmtId="9" fontId="24" fillId="0" borderId="0" xfId="2" applyFont="1" applyAlignment="1">
      <alignment horizontal="right"/>
    </xf>
    <xf numFmtId="168" fontId="23" fillId="0" borderId="0" xfId="323" applyNumberFormat="1" applyFont="1"/>
    <xf numFmtId="168" fontId="34" fillId="0" borderId="0" xfId="323" applyNumberFormat="1" applyFont="1"/>
    <xf numFmtId="0" fontId="28" fillId="0" borderId="0" xfId="325" applyFont="1"/>
    <xf numFmtId="4" fontId="24" fillId="14" borderId="3" xfId="325" applyNumberFormat="1" applyFont="1" applyFill="1" applyBorder="1" applyAlignment="1">
      <alignment horizontal="right"/>
    </xf>
    <xf numFmtId="44" fontId="23" fillId="0" borderId="2" xfId="323" applyFont="1" applyBorder="1"/>
    <xf numFmtId="44" fontId="23" fillId="0" borderId="2" xfId="325" applyNumberFormat="1" applyBorder="1"/>
    <xf numFmtId="9" fontId="23" fillId="0" borderId="2" xfId="2" applyFont="1" applyBorder="1"/>
    <xf numFmtId="0" fontId="31" fillId="0" borderId="2" xfId="325" applyFont="1" applyBorder="1" applyAlignment="1">
      <alignment horizontal="center" vertical="center"/>
    </xf>
    <xf numFmtId="0" fontId="31" fillId="0" borderId="2" xfId="325" applyFont="1" applyBorder="1"/>
    <xf numFmtId="0" fontId="31" fillId="2" borderId="4" xfId="325" applyFont="1" applyFill="1" applyBorder="1"/>
    <xf numFmtId="168" fontId="23" fillId="0" borderId="2" xfId="323" applyNumberFormat="1" applyFont="1" applyBorder="1"/>
    <xf numFmtId="168" fontId="34" fillId="0" borderId="2" xfId="323" applyNumberFormat="1" applyFont="1" applyBorder="1"/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3" fillId="0" borderId="0" xfId="325" applyFont="1"/>
    <xf numFmtId="0" fontId="23" fillId="0" borderId="0" xfId="325"/>
    <xf numFmtId="0" fontId="30" fillId="0" borderId="0" xfId="325" applyFont="1"/>
    <xf numFmtId="0" fontId="27" fillId="0" borderId="3" xfId="325" applyFont="1" applyBorder="1"/>
    <xf numFmtId="0" fontId="23" fillId="0" borderId="5" xfId="325" applyBorder="1"/>
    <xf numFmtId="0" fontId="24" fillId="0" borderId="3" xfId="325" applyFont="1" applyBorder="1"/>
    <xf numFmtId="0" fontId="5" fillId="0" borderId="0" xfId="325" applyFont="1" applyAlignment="1">
      <alignment vertical="center"/>
    </xf>
    <xf numFmtId="0" fontId="25" fillId="0" borderId="0" xfId="325" applyFont="1"/>
    <xf numFmtId="0" fontId="26" fillId="0" borderId="0" xfId="325" applyFont="1"/>
    <xf numFmtId="0" fontId="21" fillId="6" borderId="0" xfId="325" applyFont="1" applyFill="1" applyAlignment="1">
      <alignment horizontal="center"/>
    </xf>
    <xf numFmtId="0" fontId="22" fillId="6" borderId="0" xfId="325" applyFont="1" applyFill="1"/>
    <xf numFmtId="0" fontId="3" fillId="4" borderId="0" xfId="0" applyFont="1" applyFill="1" applyAlignment="1">
      <alignment horizont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</cellXfs>
  <cellStyles count="326">
    <cellStyle name="Comma" xfId="1" builtinId="3"/>
    <cellStyle name="Currency" xfId="323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Normal" xfId="0" builtinId="0" customBuiltin="1"/>
    <cellStyle name="Normal 2" xfId="324" xr:uid="{32EB61A9-49D6-4DE6-AE92-19A635BC1113}"/>
    <cellStyle name="Normal 3" xfId="325" xr:uid="{964EF4FF-3B45-4E01-8A1A-67991857A154}"/>
    <cellStyle name="Percent" xfId="2" builtin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10%</a:t>
            </a:r>
            <a:r>
              <a:rPr lang="en-US" baseline="0"/>
              <a:t> Increase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'YTD 2024 '!$P$4</c:f>
              <c:strCache>
                <c:ptCount val="1"/>
                <c:pt idx="0">
                  <c:v>Net Income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'YTD 2024 '!$L$5:$L$9</c:f>
              <c:numCache>
                <c:formatCode>General</c:formatCod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</c:numCache>
            </c:numRef>
          </c:cat>
          <c:val>
            <c:numRef>
              <c:f>'YTD 2024 '!$P$5:$P$9</c:f>
              <c:numCache>
                <c:formatCode>_("$"* #,##0.00_);_("$"* \(#,##0.00\);_("$"* "-"??_);_(@_)</c:formatCode>
                <c:ptCount val="5"/>
                <c:pt idx="0">
                  <c:v>2039</c:v>
                </c:pt>
                <c:pt idx="1">
                  <c:v>6642.1499999999942</c:v>
                </c:pt>
                <c:pt idx="2">
                  <c:v>11925.577499999999</c:v>
                </c:pt>
                <c:pt idx="3">
                  <c:v>17968.308374999993</c:v>
                </c:pt>
                <c:pt idx="4">
                  <c:v>24857.820993750007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A8-4838-8FAA-F179468D455B}"/>
            </c:ext>
          </c:extLst>
        </c:ser>
        <c:ser>
          <c:idx val="1"/>
          <c:order val="1"/>
          <c:tx>
            <c:strRef>
              <c:f>'YTD 2024 '!$Q$4</c:f>
              <c:strCache>
                <c:ptCount val="1"/>
                <c:pt idx="0">
                  <c:v>Reserve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'YTD 2024 '!$L$5:$L$9</c:f>
              <c:numCache>
                <c:formatCode>General</c:formatCod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</c:numCache>
            </c:numRef>
          </c:cat>
          <c:val>
            <c:numRef>
              <c:f>'YTD 2024 '!$Q$5:$Q$9</c:f>
              <c:numCache>
                <c:formatCode>_("$"* #,##0.00_);_("$"* \(#,##0.00\);_("$"* "-"??_);_(@_)</c:formatCode>
                <c:ptCount val="5"/>
                <c:pt idx="0">
                  <c:v>23039</c:v>
                </c:pt>
                <c:pt idx="1">
                  <c:v>29681.149999999994</c:v>
                </c:pt>
                <c:pt idx="2">
                  <c:v>41606.727499999994</c:v>
                </c:pt>
                <c:pt idx="3">
                  <c:v>59575.035874999987</c:v>
                </c:pt>
                <c:pt idx="4">
                  <c:v>84432.856868749994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A8-4838-8FAA-F179468D4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6407568"/>
        <c:axId val="1016409728"/>
      </c:lineChart>
      <c:catAx>
        <c:axId val="101640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6409728"/>
        <c:crosses val="autoZero"/>
        <c:auto val="1"/>
        <c:lblAlgn val="ctr"/>
        <c:lblOffset val="100"/>
        <c:noMultiLvlLbl val="0"/>
      </c:catAx>
      <c:valAx>
        <c:axId val="101640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6407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</a:t>
            </a:r>
            <a:r>
              <a:rPr lang="en-US" baseline="0"/>
              <a:t> Increase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307335755216029"/>
          <c:y val="0.30076443569553807"/>
          <c:w val="0.78983319138087871"/>
          <c:h val="0.61498432487605714"/>
        </c:manualLayout>
      </c:layout>
      <c:lineChart>
        <c:grouping val="standard"/>
        <c:varyColors val="0"/>
        <c:ser>
          <c:idx val="0"/>
          <c:order val="0"/>
          <c:tx>
            <c:strRef>
              <c:f>'YTD 2024 '!$N$29</c:f>
              <c:strCache>
                <c:ptCount val="1"/>
                <c:pt idx="0">
                  <c:v>Projected Income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'YTD 2024 '!$L$30:$L$35</c:f>
              <c:numCache>
                <c:formatCode>General</c:formatCod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</c:numCache>
            </c:numRef>
          </c:cat>
          <c:val>
            <c:numRef>
              <c:f>'YTD 2024 '!$N$30:$N$35</c:f>
              <c:numCache>
                <c:formatCode>"$"#,##0.00</c:formatCode>
                <c:ptCount val="6"/>
                <c:pt idx="0">
                  <c:v>81840</c:v>
                </c:pt>
                <c:pt idx="1">
                  <c:v>81840</c:v>
                </c:pt>
                <c:pt idx="2">
                  <c:v>81840</c:v>
                </c:pt>
                <c:pt idx="3">
                  <c:v>81840</c:v>
                </c:pt>
                <c:pt idx="4">
                  <c:v>81840</c:v>
                </c:pt>
                <c:pt idx="5">
                  <c:v>81840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58-43A3-AE54-E3AE1414B441}"/>
            </c:ext>
          </c:extLst>
        </c:ser>
        <c:ser>
          <c:idx val="1"/>
          <c:order val="1"/>
          <c:tx>
            <c:strRef>
              <c:f>'YTD 2024 '!$O$29</c:f>
              <c:strCache>
                <c:ptCount val="1"/>
                <c:pt idx="0">
                  <c:v>Projected Budget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'YTD 2024 '!$L$30:$L$35</c:f>
              <c:numCache>
                <c:formatCode>General</c:formatCod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</c:numCache>
            </c:numRef>
          </c:cat>
          <c:val>
            <c:numRef>
              <c:f>'YTD 2024 '!$O$30:$O$35</c:f>
              <c:numCache>
                <c:formatCode>"$"#,##0.00</c:formatCode>
                <c:ptCount val="6"/>
                <c:pt idx="0">
                  <c:v>87985</c:v>
                </c:pt>
                <c:pt idx="1">
                  <c:v>90624.55</c:v>
                </c:pt>
                <c:pt idx="2">
                  <c:v>93343.286500000002</c:v>
                </c:pt>
                <c:pt idx="3">
                  <c:v>96143.585095000002</c:v>
                </c:pt>
                <c:pt idx="4">
                  <c:v>99027.892647850007</c:v>
                </c:pt>
                <c:pt idx="5">
                  <c:v>101998.72942728551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58-43A3-AE54-E3AE1414B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6800664"/>
        <c:axId val="1276801744"/>
      </c:lineChart>
      <c:catAx>
        <c:axId val="1276800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6801744"/>
        <c:crosses val="autoZero"/>
        <c:auto val="1"/>
        <c:lblAlgn val="ctr"/>
        <c:lblOffset val="100"/>
        <c:noMultiLvlLbl val="0"/>
      </c:catAx>
      <c:valAx>
        <c:axId val="1276801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6800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'YTD 2024 '!$O$29</c:f>
              <c:strCache>
                <c:ptCount val="1"/>
                <c:pt idx="0">
                  <c:v>Projected Budget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'YTD 2024 '!$L$30:$L$35</c:f>
              <c:numCache>
                <c:formatCode>General</c:formatCod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</c:numCache>
            </c:numRef>
          </c:cat>
          <c:val>
            <c:numRef>
              <c:f>'YTD 2024 '!$O$30:$O$35</c:f>
              <c:numCache>
                <c:formatCode>"$"#,##0.00</c:formatCode>
                <c:ptCount val="6"/>
                <c:pt idx="0">
                  <c:v>87985</c:v>
                </c:pt>
                <c:pt idx="1">
                  <c:v>90624.55</c:v>
                </c:pt>
                <c:pt idx="2">
                  <c:v>93343.286500000002</c:v>
                </c:pt>
                <c:pt idx="3">
                  <c:v>96143.585095000002</c:v>
                </c:pt>
                <c:pt idx="4">
                  <c:v>99027.892647850007</c:v>
                </c:pt>
                <c:pt idx="5">
                  <c:v>101998.72942728551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B1-4E40-9ED8-835BFD837C14}"/>
            </c:ext>
          </c:extLst>
        </c:ser>
        <c:ser>
          <c:idx val="1"/>
          <c:order val="1"/>
          <c:tx>
            <c:strRef>
              <c:f>'YTD 2024 '!$Q$29</c:f>
              <c:strCache>
                <c:ptCount val="1"/>
                <c:pt idx="0">
                  <c:v>Reserve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'YTD 2024 '!$L$30:$L$35</c:f>
              <c:numCache>
                <c:formatCode>General</c:formatCod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</c:numCache>
            </c:numRef>
          </c:cat>
          <c:val>
            <c:numRef>
              <c:f>'YTD 2024 '!$Q$30:$Q$35</c:f>
              <c:numCache>
                <c:formatCode>"$"#,##0.00</c:formatCode>
                <c:ptCount val="6"/>
                <c:pt idx="0">
                  <c:v>-6145</c:v>
                </c:pt>
                <c:pt idx="1">
                  <c:v>-14929.550000000003</c:v>
                </c:pt>
                <c:pt idx="2">
                  <c:v>-26432.836500000005</c:v>
                </c:pt>
                <c:pt idx="3">
                  <c:v>-40736.421595000007</c:v>
                </c:pt>
                <c:pt idx="4">
                  <c:v>-57924.314242850014</c:v>
                </c:pt>
                <c:pt idx="5">
                  <c:v>-78083.043670135521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B1-4E40-9ED8-835BFD837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4220879"/>
        <c:axId val="284221239"/>
      </c:barChart>
      <c:catAx>
        <c:axId val="284220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221239"/>
        <c:crosses val="autoZero"/>
        <c:auto val="1"/>
        <c:lblAlgn val="ctr"/>
        <c:lblOffset val="100"/>
        <c:noMultiLvlLbl val="0"/>
      </c:catAx>
      <c:valAx>
        <c:axId val="284221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220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10%</a:t>
            </a:r>
            <a:r>
              <a:rPr lang="en-US" baseline="0"/>
              <a:t> Increase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'YTD 2024  (2)'!$P$4</c:f>
              <c:strCache>
                <c:ptCount val="1"/>
                <c:pt idx="0">
                  <c:v>Net Income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'YTD 2024  (2)'!$P$5:$P$9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'YTD 2024  (2)'!$L$5:$L$9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BEB-44E3-A491-7E19914F32EA}"/>
            </c:ext>
          </c:extLst>
        </c:ser>
        <c:ser>
          <c:idx val="1"/>
          <c:order val="1"/>
          <c:tx>
            <c:strRef>
              <c:f>'YTD 2024  (2)'!$Q$4</c:f>
              <c:strCache>
                <c:ptCount val="1"/>
                <c:pt idx="0">
                  <c:v>Reserve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'YTD 2024  (2)'!$Q$5:$Q$9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'YTD 2024  (2)'!$L$5:$L$9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BEB-44E3-A491-7E19914F3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6407568"/>
        <c:axId val="1016409728"/>
      </c:lineChart>
      <c:catAx>
        <c:axId val="101640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6409728"/>
        <c:crosses val="autoZero"/>
        <c:auto val="1"/>
        <c:lblAlgn val="ctr"/>
        <c:lblOffset val="100"/>
        <c:noMultiLvlLbl val="0"/>
      </c:catAx>
      <c:valAx>
        <c:axId val="101640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6407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</a:t>
            </a:r>
            <a:r>
              <a:rPr lang="en-US" baseline="0"/>
              <a:t> Increase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307337849854225"/>
          <c:y val="0.22766809869534627"/>
          <c:w val="0.78983319138087871"/>
          <c:h val="0.56625358946454085"/>
        </c:manualLayout>
      </c:layout>
      <c:lineChart>
        <c:grouping val="standard"/>
        <c:varyColors val="0"/>
        <c:ser>
          <c:idx val="0"/>
          <c:order val="0"/>
          <c:tx>
            <c:strRef>
              <c:f>'YTD 2024  (2)'!$N$28</c:f>
              <c:strCache>
                <c:ptCount val="1"/>
                <c:pt idx="0">
                  <c:v>Projected Income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'YTD 2024  (2)'!$N$29:$N$34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'YTD 2024  (2)'!$L$29:$L$34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476-464E-B49C-58D9DA06C9DB}"/>
            </c:ext>
          </c:extLst>
        </c:ser>
        <c:ser>
          <c:idx val="1"/>
          <c:order val="1"/>
          <c:tx>
            <c:strRef>
              <c:f>'YTD 2024  (2)'!$O$28</c:f>
              <c:strCache>
                <c:ptCount val="1"/>
                <c:pt idx="0">
                  <c:v>Projected Budget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'YTD 2024  (2)'!$O$29:$O$34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'YTD 2024  (2)'!$L$29:$L$34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9476-464E-B49C-58D9DA06C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6800664"/>
        <c:axId val="1276801744"/>
      </c:lineChart>
      <c:catAx>
        <c:axId val="1276800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6801744"/>
        <c:crosses val="autoZero"/>
        <c:auto val="1"/>
        <c:lblAlgn val="ctr"/>
        <c:lblOffset val="100"/>
        <c:noMultiLvlLbl val="0"/>
      </c:catAx>
      <c:valAx>
        <c:axId val="1276801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6800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Budget vs. Reserve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'YTD 2024  (2)'!$O$28</c:f>
              <c:strCache>
                <c:ptCount val="1"/>
                <c:pt idx="0">
                  <c:v>Projected Budget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'YTD 2024  (2)'!$O$29:$O$34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'YTD 2024  (2)'!$L$29:$L$34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646-4CA9-8364-CE1AD4AB0A9A}"/>
            </c:ext>
          </c:extLst>
        </c:ser>
        <c:ser>
          <c:idx val="1"/>
          <c:order val="1"/>
          <c:tx>
            <c:strRef>
              <c:f>'YTD 2024  (2)'!$Q$28</c:f>
              <c:strCache>
                <c:ptCount val="1"/>
                <c:pt idx="0">
                  <c:v>Reserve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'YTD 2024  (2)'!$Q$29:$Q$34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'YTD 2024  (2)'!$L$29:$L$34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646-4CA9-8364-CE1AD4AB0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4220879"/>
        <c:axId val="284221239"/>
      </c:barChart>
      <c:catAx>
        <c:axId val="284220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221239"/>
        <c:crosses val="autoZero"/>
        <c:auto val="1"/>
        <c:lblAlgn val="ctr"/>
        <c:lblOffset val="100"/>
        <c:noMultiLvlLbl val="0"/>
      </c:catAx>
      <c:valAx>
        <c:axId val="284221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220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[HOA Budget_2024.xlsx]Pivot!PivotTable4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Pivot!$D$16:$D$17</c:f>
              <c:strCache>
                <c:ptCount val="1"/>
                <c:pt idx="0">
                  <c:v>Expense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Pivot!$C$18:$C$21</c:f>
              <c:strCache>
                <c:ptCount val="4"/>
                <c:pt idx="0">
                  <c:v>Sum of 2019</c:v>
                </c:pt>
                <c:pt idx="1">
                  <c:v>Sum of 2020</c:v>
                </c:pt>
                <c:pt idx="2">
                  <c:v>Sum of 2021</c:v>
                </c:pt>
                <c:pt idx="3">
                  <c:v>Sum of 2022 (est)</c:v>
                </c:pt>
              </c:strCache>
            </c:strRef>
          </c:cat>
          <c:val>
            <c:numRef>
              <c:f>Pivot!$D$18:$D$21</c:f>
              <c:numCache>
                <c:formatCode>General</c:formatCode>
                <c:ptCount val="4"/>
                <c:pt idx="0">
                  <c:v>68373.210000000006</c:v>
                </c:pt>
                <c:pt idx="1">
                  <c:v>60357.310000000005</c:v>
                </c:pt>
                <c:pt idx="2">
                  <c:v>67808.25</c:v>
                </c:pt>
                <c:pt idx="3">
                  <c:v>80682.049999999988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23-499F-A0F7-2ADE5FD73480}"/>
            </c:ext>
          </c:extLst>
        </c:ser>
        <c:ser>
          <c:idx val="1"/>
          <c:order val="1"/>
          <c:tx>
            <c:strRef>
              <c:f>Pivot!$E$16:$E$17</c:f>
              <c:strCache>
                <c:ptCount val="1"/>
                <c:pt idx="0">
                  <c:v>Income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Pivot!$C$18:$C$21</c:f>
              <c:strCache>
                <c:ptCount val="4"/>
                <c:pt idx="0">
                  <c:v>Sum of 2019</c:v>
                </c:pt>
                <c:pt idx="1">
                  <c:v>Sum of 2020</c:v>
                </c:pt>
                <c:pt idx="2">
                  <c:v>Sum of 2021</c:v>
                </c:pt>
                <c:pt idx="3">
                  <c:v>Sum of 2022 (est)</c:v>
                </c:pt>
              </c:strCache>
            </c:strRef>
          </c:cat>
          <c:val>
            <c:numRef>
              <c:f>Pivot!$E$18:$E$21</c:f>
              <c:numCache>
                <c:formatCode>General</c:formatCode>
                <c:ptCount val="4"/>
                <c:pt idx="0">
                  <c:v>75308</c:v>
                </c:pt>
                <c:pt idx="1">
                  <c:v>74438</c:v>
                </c:pt>
                <c:pt idx="2">
                  <c:v>74492</c:v>
                </c:pt>
                <c:pt idx="3">
                  <c:v>73174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523-499F-A0F7-2ADE5FD73480}"/>
            </c:ext>
          </c:extLst>
        </c:ser>
        <c:ser>
          <c:idx val="2"/>
          <c:order val="2"/>
          <c:tx>
            <c:strRef>
              <c:f>Pivot!$F$16:$F$17</c:f>
              <c:strCache>
                <c:ptCount val="1"/>
                <c:pt idx="0">
                  <c:v>Surplus (Deficit)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Pivot!$C$18:$C$21</c:f>
              <c:strCache>
                <c:ptCount val="4"/>
                <c:pt idx="0">
                  <c:v>Sum of 2019</c:v>
                </c:pt>
                <c:pt idx="1">
                  <c:v>Sum of 2020</c:v>
                </c:pt>
                <c:pt idx="2">
                  <c:v>Sum of 2021</c:v>
                </c:pt>
                <c:pt idx="3">
                  <c:v>Sum of 2022 (est)</c:v>
                </c:pt>
              </c:strCache>
            </c:strRef>
          </c:cat>
          <c:val>
            <c:numRef>
              <c:f>Pivot!$F$18:$F$21</c:f>
              <c:numCache>
                <c:formatCode>General</c:formatCode>
                <c:ptCount val="4"/>
                <c:pt idx="0">
                  <c:v>6934.7899999999936</c:v>
                </c:pt>
                <c:pt idx="1">
                  <c:v>14080.689999999995</c:v>
                </c:pt>
                <c:pt idx="2">
                  <c:v>6683.75</c:v>
                </c:pt>
                <c:pt idx="3">
                  <c:v>-7508.0499999999884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523-499F-A0F7-2ADE5FD73480}"/>
            </c:ext>
          </c:extLst>
        </c:ser>
        <c:ser>
          <c:idx val="3"/>
          <c:order val="3"/>
          <c:tx>
            <c:strRef>
              <c:f>Pivot!$G$16:$G$17</c:f>
              <c:strCache>
                <c:ptCount val="1"/>
                <c:pt idx="0">
                  <c:v>Yr-end CASH BOH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Pivot!$C$18:$C$21</c:f>
              <c:strCache>
                <c:ptCount val="4"/>
                <c:pt idx="0">
                  <c:v>Sum of 2019</c:v>
                </c:pt>
                <c:pt idx="1">
                  <c:v>Sum of 2020</c:v>
                </c:pt>
                <c:pt idx="2">
                  <c:v>Sum of 2021</c:v>
                </c:pt>
                <c:pt idx="3">
                  <c:v>Sum of 2022 (est)</c:v>
                </c:pt>
              </c:strCache>
            </c:strRef>
          </c:cat>
          <c:val>
            <c:numRef>
              <c:f>Pivot!$G$18:$G$21</c:f>
              <c:numCache>
                <c:formatCode>General</c:formatCode>
                <c:ptCount val="4"/>
                <c:pt idx="0">
                  <c:v>15617</c:v>
                </c:pt>
                <c:pt idx="1">
                  <c:v>23339</c:v>
                </c:pt>
                <c:pt idx="2">
                  <c:v>30140</c:v>
                </c:pt>
                <c:pt idx="3">
                  <c:v>22714.449999999997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523-499F-A0F7-2ADE5FD73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3900336"/>
        <c:axId val="503901648"/>
      </c:barChart>
      <c:catAx>
        <c:axId val="50390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901648"/>
        <c:crosses val="autoZero"/>
        <c:auto val="1"/>
        <c:lblAlgn val="ctr"/>
        <c:lblOffset val="100"/>
        <c:noMultiLvlLbl val="0"/>
      </c:catAx>
      <c:valAx>
        <c:axId val="50390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900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image" Target="../media/image2.emf"/><Relationship Id="rId4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252412</xdr:colOff>
      <xdr:row>9</xdr:row>
      <xdr:rowOff>57150</xdr:rowOff>
    </xdr:from>
    <xdr:to>
      <xdr:col>17</xdr:col>
      <xdr:colOff>61912</xdr:colOff>
      <xdr:row>26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8756FB1-EE44-C256-4F87-541E307DCD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242887</xdr:colOff>
      <xdr:row>35</xdr:row>
      <xdr:rowOff>85725</xdr:rowOff>
    </xdr:from>
    <xdr:to>
      <xdr:col>16</xdr:col>
      <xdr:colOff>633412</xdr:colOff>
      <xdr:row>50</xdr:row>
      <xdr:rowOff>28575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88D0228-C07A-29DC-4154-BBFCC3CB06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576262</xdr:colOff>
      <xdr:row>14</xdr:row>
      <xdr:rowOff>0</xdr:rowOff>
    </xdr:from>
    <xdr:to>
      <xdr:col>23</xdr:col>
      <xdr:colOff>138112</xdr:colOff>
      <xdr:row>30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F4A5266-63D9-CE63-6BFD-B80130A3DF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516991</xdr:colOff>
      <xdr:row>58</xdr:row>
      <xdr:rowOff>57140</xdr:rowOff>
    </xdr:from>
    <xdr:to>
      <xdr:col>6</xdr:col>
      <xdr:colOff>740829</xdr:colOff>
      <xdr:row>75</xdr:row>
      <xdr:rowOff>95240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F2F186F-5B80-48B6-A18F-610669F8ED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87</xdr:row>
      <xdr:rowOff>95245</xdr:rowOff>
    </xdr:from>
    <xdr:to>
      <xdr:col>2</xdr:col>
      <xdr:colOff>821268</xdr:colOff>
      <xdr:row>106</xdr:row>
      <xdr:rowOff>5075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27ECBD6-C53D-4371-BD50-AAF504FA08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84037</xdr:colOff>
      <xdr:row>87</xdr:row>
      <xdr:rowOff>79267</xdr:rowOff>
    </xdr:from>
    <xdr:to>
      <xdr:col>9</xdr:col>
      <xdr:colOff>439637</xdr:colOff>
      <xdr:row>105</xdr:row>
      <xdr:rowOff>147847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04A784D-F5BE-4034-9E5F-0825688057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518580</xdr:colOff>
      <xdr:row>50</xdr:row>
      <xdr:rowOff>148162</xdr:rowOff>
    </xdr:from>
    <xdr:to>
      <xdr:col>6</xdr:col>
      <xdr:colOff>766230</xdr:colOff>
      <xdr:row>57</xdr:row>
      <xdr:rowOff>135462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041A4E9-C631-A146-6A2E-D368D07FF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663" y="9419162"/>
          <a:ext cx="5285317" cy="1130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846666</xdr:colOff>
      <xdr:row>78</xdr:row>
      <xdr:rowOff>148167</xdr:rowOff>
    </xdr:from>
    <xdr:to>
      <xdr:col>6</xdr:col>
      <xdr:colOff>511174</xdr:colOff>
      <xdr:row>87</xdr:row>
      <xdr:rowOff>37042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6349E94-6651-2177-9A63-ADB15B76C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49" y="13895917"/>
          <a:ext cx="4702175" cy="131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1128712</xdr:colOff>
      <xdr:row>0</xdr:row>
      <xdr:rowOff>142875</xdr:rowOff>
    </xdr:from>
    <xdr:to>
      <xdr:col>9</xdr:col>
      <xdr:colOff>280987</xdr:colOff>
      <xdr:row>14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E739D66-DF39-0906-C46C-5B72C0497E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reg conlon" refreshedDate="43368.650450000001" createdVersion="8" refreshedVersion="8" minRefreshableVersion="3" recordCount="5" xr:uid="{21C4DA6A-D75E-46C6-B8DA-765F0ED01B61}">
  <cacheSource type="worksheet">
    <worksheetSource ref="B5:K10" sheet="Ann Calc"/>
  </cacheSource>
  <cacheFields count="10">
    <cacheField name="Year" numFmtId="0">
      <sharedItems count="5">
        <s v="HOA Fee"/>
        <s v="Income"/>
        <s v="Expense"/>
        <s v="Surplus (Deficit)"/>
        <s v="Yr-end CASH BOH"/>
      </sharedItems>
    </cacheField>
    <cacheField name="2019" numFmtId="0">
      <sharedItems containsMixedTypes="1" containsNumber="1" minValue="6934.7899999999936" maxValue="75308" count="5">
        <s v="?"/>
        <n v="75308"/>
        <n v="68373.210000000006"/>
        <n v="6934.7899999999936"/>
        <n v="15617"/>
      </sharedItems>
    </cacheField>
    <cacheField name="2020" numFmtId="0">
      <sharedItems containsSemiMixedTypes="0" containsString="0" containsNumber="1" minValue="400" maxValue="74438"/>
    </cacheField>
    <cacheField name="2021" numFmtId="0">
      <sharedItems containsSemiMixedTypes="0" containsString="0" containsNumber="1" minValue="400" maxValue="74492"/>
    </cacheField>
    <cacheField name="2022 (est)" numFmtId="0">
      <sharedItems containsSemiMixedTypes="0" containsString="0" containsNumber="1" minValue="-7508.0499999999884" maxValue="80682.049999999988"/>
    </cacheField>
    <cacheField name="(est 1)" numFmtId="0">
      <sharedItems containsMixedTypes="1" containsNumber="1" minValue="-12348.972999999998" maxValue="85522.972999999998" count="5">
        <s v=" @ $400"/>
        <n v="73174"/>
        <n v="85522.972999999998"/>
        <n v="-12348.972999999998"/>
        <n v="10365.476999999988"/>
      </sharedItems>
    </cacheField>
    <cacheField name="(est 2)" numFmtId="0">
      <sharedItems containsMixedTypes="1" containsNumber="1" minValue="-5255.9729999999981" maxValue="85522.972999999998"/>
    </cacheField>
    <cacheField name="(est 3)" numFmtId="0">
      <sharedItems containsMixedTypes="1" containsNumber="1" minValue="-3796.5729999999894" maxValue="85522.972999999998"/>
    </cacheField>
    <cacheField name="(est 4)" numFmtId="0">
      <sharedItems containsMixedTypes="1" containsNumber="1" minValue="-7712.0500000000029" maxValue="80682.05"/>
    </cacheField>
    <cacheField name="(est 5)" numFmtId="0">
      <sharedItems containsMixedTypes="1" containsNumber="1" minValue="-415.05000000000291" maxValue="80682.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">
  <r>
    <x v="0"/>
    <x v="0"/>
    <n v="400"/>
    <n v="400"/>
    <n v="400"/>
    <x v="0"/>
    <s v="$440 (10%)"/>
    <s v="$450 (12%)"/>
    <s v="@$400"/>
    <s v="@$440"/>
  </r>
  <r>
    <x v="1"/>
    <x v="1"/>
    <n v="74438"/>
    <n v="74492"/>
    <n v="73174"/>
    <x v="1"/>
    <n v="80267"/>
    <n v="81726.400000000009"/>
    <n v="72970"/>
    <n v="80267"/>
  </r>
  <r>
    <x v="2"/>
    <x v="2"/>
    <n v="60357.310000000005"/>
    <n v="67808.25"/>
    <n v="80682.049999999988"/>
    <x v="2"/>
    <n v="85522.972999999998"/>
    <n v="85522.972999999998"/>
    <n v="80682.05"/>
    <n v="80682.05"/>
  </r>
  <r>
    <x v="3"/>
    <x v="3"/>
    <n v="14080.689999999995"/>
    <n v="6683.75"/>
    <n v="-7508.0499999999884"/>
    <x v="3"/>
    <n v="-5255.9729999999981"/>
    <n v="-3796.5729999999894"/>
    <n v="-7712.0500000000029"/>
    <n v="-415.05000000000291"/>
  </r>
  <r>
    <x v="4"/>
    <x v="4"/>
    <n v="23339"/>
    <n v="30140"/>
    <n v="22714.449999999997"/>
    <x v="4"/>
    <n v="15621.449999999986"/>
    <n v="19418.022999999976"/>
    <n v="15002.399999999994"/>
    <n v="22299.39999999999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CC5AB6-6CE0-4F9A-A228-C911F81CF417}" name="PivotTable4" cacheId="0" dataOnRows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>
  <location ref="C16:H21" firstHeaderRow="1" firstDataRow="2" firstDataCol="1"/>
  <pivotFields count="10">
    <pivotField axis="axisCol" showAll="0">
      <items count="6">
        <item x="2"/>
        <item h="1" x="0"/>
        <item x="1"/>
        <item x="3"/>
        <item x="4"/>
        <item t="default"/>
      </items>
    </pivotField>
    <pivotField dataField="1" showAll="0">
      <items count="6">
        <item x="3"/>
        <item x="4"/>
        <item x="2"/>
        <item x="1"/>
        <item x="0"/>
        <item t="default"/>
      </items>
    </pivotField>
    <pivotField dataField="1" showAll="0"/>
    <pivotField dataField="1" showAll="0"/>
    <pivotField dataField="1" showAll="0"/>
    <pivotField showAll="0">
      <items count="6">
        <item x="3"/>
        <item x="4"/>
        <item x="1"/>
        <item x="2"/>
        <item x="0"/>
        <item t="default"/>
      </items>
    </pivotField>
    <pivotField showAll="0"/>
    <pivotField showAll="0"/>
    <pivotField showAll="0"/>
    <pivotField showAll="0"/>
  </pivotFields>
  <rowFields count="1">
    <field x="-2"/>
  </rowFields>
  <rowItems count="4">
    <i>
      <x/>
    </i>
    <i i="1">
      <x v="1"/>
    </i>
    <i i="2">
      <x v="2"/>
    </i>
    <i i="3">
      <x v="3"/>
    </i>
  </rowItems>
  <colFields count="1">
    <field x="0"/>
  </colFields>
  <colItems count="5">
    <i>
      <x/>
    </i>
    <i>
      <x v="2"/>
    </i>
    <i>
      <x v="3"/>
    </i>
    <i>
      <x v="4"/>
    </i>
    <i t="grand">
      <x/>
    </i>
  </colItems>
  <dataFields count="4">
    <dataField name="Sum of 2019" fld="1" baseField="0" baseItem="0"/>
    <dataField name="Sum of 2020" fld="2" baseField="0" baseItem="0"/>
    <dataField name="Sum of 2021" fld="3" baseField="0" baseItem="0"/>
    <dataField name="Sum of 2022 (est)" fld="4" baseField="0" baseItem="0"/>
  </dataFields>
  <chartFormats count="8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</chart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U37"/>
  <sheetViews>
    <sheetView showGridLines="0" topLeftCell="F1" zoomScale="85" zoomScaleNormal="85" zoomScalePageLayoutView="85" workbookViewId="0">
      <selection activeCell="N42" sqref="N42"/>
    </sheetView>
  </sheetViews>
  <sheetFormatPr baseColWidth="10" defaultColWidth="11" defaultRowHeight="16" x14ac:dyDescent="0.2"/>
  <cols>
    <col min="1" max="1" width="2.83203125" customWidth="1"/>
    <col min="2" max="2" width="23.83203125" style="3" customWidth="1"/>
    <col min="3" max="3" width="2.83203125" customWidth="1"/>
    <col min="4" max="4" width="24.5" style="3" bestFit="1" customWidth="1"/>
    <col min="5" max="17" width="11" customWidth="1"/>
    <col min="18" max="18" width="2.83203125" customWidth="1"/>
    <col min="19" max="19" width="13.6640625" bestFit="1" customWidth="1"/>
  </cols>
  <sheetData>
    <row r="1" spans="2:21" ht="8" customHeight="1" x14ac:dyDescent="0.2"/>
    <row r="2" spans="2:21" ht="21" customHeight="1" x14ac:dyDescent="0.2">
      <c r="D2" s="236" t="s">
        <v>81</v>
      </c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8"/>
      <c r="S2" t="s">
        <v>42</v>
      </c>
      <c r="T2" s="7"/>
    </row>
    <row r="3" spans="2:21" ht="8" customHeight="1" x14ac:dyDescent="0.2"/>
    <row r="4" spans="2:21" x14ac:dyDescent="0.2">
      <c r="D4" s="5" t="s">
        <v>11</v>
      </c>
      <c r="E4" s="5" t="s">
        <v>0</v>
      </c>
      <c r="F4" s="5" t="s">
        <v>1</v>
      </c>
      <c r="G4" s="5" t="s">
        <v>2</v>
      </c>
      <c r="H4" s="5" t="s">
        <v>3</v>
      </c>
      <c r="I4" s="5" t="s">
        <v>4</v>
      </c>
      <c r="J4" s="5" t="s">
        <v>36</v>
      </c>
      <c r="K4" s="5" t="s">
        <v>37</v>
      </c>
      <c r="L4" s="5" t="s">
        <v>5</v>
      </c>
      <c r="M4" s="5" t="s">
        <v>6</v>
      </c>
      <c r="N4" s="5" t="s">
        <v>7</v>
      </c>
      <c r="O4" s="5" t="s">
        <v>8</v>
      </c>
      <c r="P4" s="5" t="s">
        <v>9</v>
      </c>
      <c r="Q4" s="5" t="s">
        <v>39</v>
      </c>
    </row>
    <row r="5" spans="2:21" ht="8" customHeight="1" x14ac:dyDescent="0.2"/>
    <row r="6" spans="2:21" x14ac:dyDescent="0.2">
      <c r="B6" s="239" t="s">
        <v>34</v>
      </c>
      <c r="D6" s="11" t="s">
        <v>13</v>
      </c>
      <c r="E6" s="13">
        <v>700</v>
      </c>
      <c r="F6" s="13">
        <v>349.92980063379997</v>
      </c>
      <c r="G6" s="13">
        <v>20635.412571703637</v>
      </c>
      <c r="H6" s="13">
        <v>31165.949296000643</v>
      </c>
      <c r="I6" s="13">
        <v>5055.7021942316178</v>
      </c>
      <c r="J6" s="13">
        <v>1924.6139034859</v>
      </c>
      <c r="K6" s="13">
        <v>349.92980063379997</v>
      </c>
      <c r="L6" s="13">
        <v>2449.5086044365999</v>
      </c>
      <c r="M6" s="13">
        <v>2270.6265794857395</v>
      </c>
      <c r="N6" s="13">
        <v>104.45665690561194</v>
      </c>
      <c r="O6" s="13">
        <v>93</v>
      </c>
      <c r="P6" s="13">
        <v>0</v>
      </c>
      <c r="Q6" s="14">
        <f>T13</f>
        <v>65100</v>
      </c>
      <c r="S6" t="s">
        <v>40</v>
      </c>
    </row>
    <row r="7" spans="2:21" x14ac:dyDescent="0.2">
      <c r="B7" s="241"/>
      <c r="D7" s="15" t="s">
        <v>46</v>
      </c>
      <c r="E7" s="16"/>
      <c r="F7" s="16"/>
      <c r="G7" s="16"/>
      <c r="H7" s="16"/>
      <c r="I7" s="16"/>
      <c r="J7" s="16">
        <v>600</v>
      </c>
      <c r="K7" s="16">
        <v>500</v>
      </c>
      <c r="L7" s="16">
        <v>500</v>
      </c>
      <c r="M7" s="16">
        <v>200</v>
      </c>
      <c r="N7" s="16"/>
      <c r="O7" s="16"/>
      <c r="P7" s="16"/>
      <c r="Q7" s="17">
        <f>SUM(E7:P7)</f>
        <v>1800</v>
      </c>
      <c r="S7" t="s">
        <v>41</v>
      </c>
    </row>
    <row r="8" spans="2:21" x14ac:dyDescent="0.2">
      <c r="D8" s="12" t="s">
        <v>39</v>
      </c>
      <c r="E8" s="14">
        <f>SUM(E6:E7)</f>
        <v>700</v>
      </c>
      <c r="F8" s="14">
        <f t="shared" ref="F8:Q8" si="0">SUM(F6:F7)</f>
        <v>349.92980063379997</v>
      </c>
      <c r="G8" s="14">
        <f t="shared" si="0"/>
        <v>20635.412571703637</v>
      </c>
      <c r="H8" s="14">
        <f t="shared" si="0"/>
        <v>31165.949296000643</v>
      </c>
      <c r="I8" s="14">
        <f t="shared" si="0"/>
        <v>5055.7021942316178</v>
      </c>
      <c r="J8" s="14">
        <f t="shared" si="0"/>
        <v>2524.6139034858998</v>
      </c>
      <c r="K8" s="14">
        <f t="shared" si="0"/>
        <v>849.92980063379991</v>
      </c>
      <c r="L8" s="14">
        <f t="shared" si="0"/>
        <v>2949.5086044365999</v>
      </c>
      <c r="M8" s="14">
        <f t="shared" si="0"/>
        <v>2470.6265794857395</v>
      </c>
      <c r="N8" s="14">
        <f t="shared" si="0"/>
        <v>104.45665690561194</v>
      </c>
      <c r="O8" s="14">
        <f t="shared" si="0"/>
        <v>93</v>
      </c>
      <c r="P8" s="14">
        <f t="shared" si="0"/>
        <v>0</v>
      </c>
      <c r="Q8" s="14">
        <f t="shared" si="0"/>
        <v>66900</v>
      </c>
      <c r="T8" s="9"/>
    </row>
    <row r="9" spans="2:21" x14ac:dyDescent="0.2">
      <c r="D9"/>
    </row>
    <row r="10" spans="2:21" x14ac:dyDescent="0.2">
      <c r="B10" s="239" t="s">
        <v>35</v>
      </c>
      <c r="D10" s="11" t="s">
        <v>79</v>
      </c>
      <c r="E10" s="13">
        <v>0</v>
      </c>
      <c r="F10" s="13">
        <v>0</v>
      </c>
      <c r="G10" s="13">
        <v>-2500</v>
      </c>
      <c r="H10" s="13">
        <v>-100</v>
      </c>
      <c r="I10" s="13">
        <v>-100</v>
      </c>
      <c r="J10" s="13">
        <v>-100</v>
      </c>
      <c r="K10" s="13">
        <v>-100</v>
      </c>
      <c r="L10" s="13">
        <v>-100</v>
      </c>
      <c r="M10" s="13">
        <v>-100</v>
      </c>
      <c r="N10" s="13">
        <v>-100</v>
      </c>
      <c r="O10" s="13">
        <v>-100</v>
      </c>
      <c r="P10" s="13">
        <v>-100</v>
      </c>
      <c r="Q10" s="14">
        <f t="shared" ref="Q10:Q34" si="1">SUM(E10:P10)</f>
        <v>-3400</v>
      </c>
    </row>
    <row r="11" spans="2:21" x14ac:dyDescent="0.2">
      <c r="B11" s="240"/>
      <c r="D11" s="11" t="s">
        <v>12</v>
      </c>
      <c r="E11" s="13">
        <v>0</v>
      </c>
      <c r="F11" s="13">
        <v>0</v>
      </c>
      <c r="G11" s="13">
        <v>0</v>
      </c>
      <c r="H11" s="13">
        <v>0</v>
      </c>
      <c r="I11" s="13">
        <v>-200</v>
      </c>
      <c r="J11" s="13">
        <v>-110</v>
      </c>
      <c r="K11" s="13">
        <v>-110</v>
      </c>
      <c r="L11" s="13">
        <v>-110</v>
      </c>
      <c r="M11" s="13">
        <v>-110</v>
      </c>
      <c r="N11" s="13">
        <v>0</v>
      </c>
      <c r="O11" s="13">
        <v>0</v>
      </c>
      <c r="P11" s="13">
        <v>0</v>
      </c>
      <c r="Q11" s="14">
        <f t="shared" si="1"/>
        <v>-640</v>
      </c>
      <c r="S11" t="s">
        <v>43</v>
      </c>
    </row>
    <row r="12" spans="2:21" x14ac:dyDescent="0.2">
      <c r="B12" s="240"/>
      <c r="D12" s="11" t="s">
        <v>26</v>
      </c>
      <c r="E12" s="13">
        <v>0</v>
      </c>
      <c r="F12" s="13">
        <v>0</v>
      </c>
      <c r="G12" s="13">
        <v>0</v>
      </c>
      <c r="H12" s="13">
        <v>-2500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4">
        <f t="shared" si="1"/>
        <v>-2500</v>
      </c>
      <c r="S12" t="s">
        <v>44</v>
      </c>
      <c r="T12">
        <f>T6</f>
        <v>0</v>
      </c>
    </row>
    <row r="13" spans="2:21" x14ac:dyDescent="0.2">
      <c r="B13" s="240"/>
      <c r="D13" s="11" t="s">
        <v>19</v>
      </c>
      <c r="E13" s="13">
        <v>0</v>
      </c>
      <c r="F13" s="13">
        <v>0</v>
      </c>
      <c r="G13" s="13">
        <v>0</v>
      </c>
      <c r="H13" s="13">
        <v>-962.99850000000004</v>
      </c>
      <c r="I13" s="13">
        <v>-106.7698</v>
      </c>
      <c r="J13" s="13">
        <v>-15.3985</v>
      </c>
      <c r="K13" s="13">
        <v>-15.3985</v>
      </c>
      <c r="L13" s="13">
        <v>0</v>
      </c>
      <c r="M13" s="13">
        <v>-15.3985</v>
      </c>
      <c r="N13" s="13">
        <v>0</v>
      </c>
      <c r="O13" s="13">
        <v>0</v>
      </c>
      <c r="P13" s="13">
        <v>0</v>
      </c>
      <c r="Q13" s="14">
        <f t="shared" si="1"/>
        <v>-1115.9638</v>
      </c>
      <c r="S13" t="s">
        <v>39</v>
      </c>
      <c r="T13" s="8">
        <v>65100</v>
      </c>
      <c r="U13" s="28">
        <f>(T6-T7)*T11</f>
        <v>0</v>
      </c>
    </row>
    <row r="14" spans="2:21" x14ac:dyDescent="0.2">
      <c r="B14" s="240"/>
      <c r="D14" s="11" t="s">
        <v>18</v>
      </c>
      <c r="E14" s="13">
        <v>-58</v>
      </c>
      <c r="F14" s="13">
        <v>0</v>
      </c>
      <c r="G14" s="13">
        <v>-120</v>
      </c>
      <c r="H14" s="13">
        <v>0</v>
      </c>
      <c r="I14" s="13">
        <v>-40</v>
      </c>
      <c r="J14" s="13">
        <v>-50</v>
      </c>
      <c r="K14" s="13">
        <v>-430</v>
      </c>
      <c r="L14" s="13">
        <v>0</v>
      </c>
      <c r="M14" s="13">
        <v>0</v>
      </c>
      <c r="N14" s="13">
        <v>0</v>
      </c>
      <c r="O14" s="13">
        <v>-265</v>
      </c>
      <c r="P14" s="13">
        <v>0</v>
      </c>
      <c r="Q14" s="14">
        <f t="shared" si="1"/>
        <v>-963</v>
      </c>
    </row>
    <row r="15" spans="2:21" x14ac:dyDescent="0.2">
      <c r="B15" s="240"/>
      <c r="D15" s="11" t="s">
        <v>27</v>
      </c>
      <c r="E15" s="13">
        <v>0</v>
      </c>
      <c r="F15" s="13">
        <v>0</v>
      </c>
      <c r="G15" s="13">
        <v>-227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4">
        <f t="shared" si="1"/>
        <v>-227</v>
      </c>
    </row>
    <row r="16" spans="2:21" x14ac:dyDescent="0.2">
      <c r="B16" s="240"/>
      <c r="D16" s="11" t="s">
        <v>28</v>
      </c>
      <c r="E16" s="13">
        <v>0</v>
      </c>
      <c r="F16" s="13">
        <v>0</v>
      </c>
      <c r="G16" s="13">
        <v>-2043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4">
        <f t="shared" si="1"/>
        <v>-2043</v>
      </c>
      <c r="S16" t="s">
        <v>80</v>
      </c>
      <c r="T16" s="27"/>
    </row>
    <row r="17" spans="2:17" x14ac:dyDescent="0.2">
      <c r="B17" s="240"/>
      <c r="D17" s="11" t="s">
        <v>29</v>
      </c>
      <c r="E17" s="13">
        <v>0</v>
      </c>
      <c r="F17" s="13">
        <v>0</v>
      </c>
      <c r="G17" s="13">
        <v>0</v>
      </c>
      <c r="H17" s="13">
        <v>-3405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4">
        <f t="shared" si="1"/>
        <v>-3405</v>
      </c>
    </row>
    <row r="18" spans="2:17" x14ac:dyDescent="0.2">
      <c r="B18" s="240"/>
      <c r="D18" s="11" t="s">
        <v>30</v>
      </c>
      <c r="E18" s="13">
        <v>0</v>
      </c>
      <c r="F18" s="13">
        <v>0</v>
      </c>
      <c r="G18" s="13">
        <v>0</v>
      </c>
      <c r="H18" s="13">
        <v>0</v>
      </c>
      <c r="I18" s="13">
        <v>-5675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4">
        <f t="shared" si="1"/>
        <v>-5675</v>
      </c>
    </row>
    <row r="19" spans="2:17" x14ac:dyDescent="0.2">
      <c r="B19" s="240"/>
      <c r="D19" s="11" t="s">
        <v>31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-5675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4">
        <f t="shared" si="1"/>
        <v>-5675</v>
      </c>
    </row>
    <row r="20" spans="2:17" x14ac:dyDescent="0.2">
      <c r="B20" s="240"/>
      <c r="D20" s="11" t="s">
        <v>32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-4540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4">
        <f t="shared" si="1"/>
        <v>-4540</v>
      </c>
    </row>
    <row r="21" spans="2:17" x14ac:dyDescent="0.2">
      <c r="B21" s="240"/>
      <c r="D21" s="11" t="s">
        <v>33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-1135</v>
      </c>
      <c r="M21" s="13">
        <v>0</v>
      </c>
      <c r="N21" s="13">
        <v>0</v>
      </c>
      <c r="O21" s="13">
        <v>0</v>
      </c>
      <c r="P21" s="13">
        <v>0</v>
      </c>
      <c r="Q21" s="14">
        <f t="shared" si="1"/>
        <v>-1135</v>
      </c>
    </row>
    <row r="22" spans="2:17" x14ac:dyDescent="0.2">
      <c r="B22" s="240"/>
      <c r="D22" s="11" t="s">
        <v>21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-250</v>
      </c>
      <c r="K22" s="13">
        <v>-250</v>
      </c>
      <c r="L22" s="13">
        <v>-250</v>
      </c>
      <c r="M22" s="13">
        <v>-250</v>
      </c>
      <c r="N22" s="13">
        <v>0</v>
      </c>
      <c r="O22" s="13">
        <v>0</v>
      </c>
      <c r="P22" s="13">
        <v>0</v>
      </c>
      <c r="Q22" s="14">
        <f t="shared" si="1"/>
        <v>-1000</v>
      </c>
    </row>
    <row r="23" spans="2:17" x14ac:dyDescent="0.2">
      <c r="B23" s="240"/>
      <c r="D23" s="11" t="s">
        <v>78</v>
      </c>
      <c r="E23" s="13">
        <v>0</v>
      </c>
      <c r="F23" s="13">
        <v>0</v>
      </c>
      <c r="G23" s="13">
        <v>-1750</v>
      </c>
      <c r="H23" s="13">
        <v>-2000</v>
      </c>
      <c r="I23" s="13">
        <v>-2000</v>
      </c>
      <c r="J23" s="13">
        <v>-250</v>
      </c>
      <c r="K23" s="13">
        <v>-250</v>
      </c>
      <c r="L23" s="13">
        <v>-250</v>
      </c>
      <c r="M23" s="13">
        <v>-250</v>
      </c>
      <c r="N23" s="13">
        <v>0</v>
      </c>
      <c r="O23" s="13">
        <v>0</v>
      </c>
      <c r="P23" s="13">
        <v>0</v>
      </c>
      <c r="Q23" s="14">
        <f t="shared" si="1"/>
        <v>-6750</v>
      </c>
    </row>
    <row r="24" spans="2:17" x14ac:dyDescent="0.2">
      <c r="B24" s="240"/>
      <c r="D24" s="11" t="s">
        <v>15</v>
      </c>
      <c r="E24" s="13">
        <v>-922</v>
      </c>
      <c r="F24" s="13">
        <v>-902.38299999999992</v>
      </c>
      <c r="G24" s="13">
        <v>-900.4466000000001</v>
      </c>
      <c r="H24" s="13">
        <v>-901.79589999999996</v>
      </c>
      <c r="I24" s="13">
        <v>-981.53850000000011</v>
      </c>
      <c r="J24" s="13">
        <v>-1344.4795999999999</v>
      </c>
      <c r="K24" s="13">
        <v>-1253.3967</v>
      </c>
      <c r="L24" s="13">
        <v>-1287.7884000000001</v>
      </c>
      <c r="M24" s="13">
        <v>-1349.6090000000002</v>
      </c>
      <c r="N24" s="13">
        <v>-704.005</v>
      </c>
      <c r="O24" s="13">
        <v>-865.10730000000012</v>
      </c>
      <c r="P24" s="13">
        <v>-871.55509999999992</v>
      </c>
      <c r="Q24" s="14">
        <f t="shared" si="1"/>
        <v>-12284.105099999999</v>
      </c>
    </row>
    <row r="25" spans="2:17" x14ac:dyDescent="0.2">
      <c r="B25" s="240"/>
      <c r="D25" s="11" t="s">
        <v>17</v>
      </c>
      <c r="E25" s="13">
        <v>-1750</v>
      </c>
      <c r="F25" s="13">
        <v>-1000</v>
      </c>
      <c r="G25" s="13">
        <v>-2000</v>
      </c>
      <c r="H25" s="13">
        <v>-1000</v>
      </c>
      <c r="I25" s="13">
        <v>-1000</v>
      </c>
      <c r="J25" s="13">
        <v>-1000</v>
      </c>
      <c r="K25" s="13">
        <v>-1000</v>
      </c>
      <c r="L25" s="13">
        <v>-1000</v>
      </c>
      <c r="M25" s="13">
        <v>-1000</v>
      </c>
      <c r="N25" s="13">
        <v>-1000</v>
      </c>
      <c r="O25" s="13">
        <v>-2000</v>
      </c>
      <c r="P25" s="13">
        <v>-2000</v>
      </c>
      <c r="Q25" s="14">
        <f t="shared" si="1"/>
        <v>-15750</v>
      </c>
    </row>
    <row r="26" spans="2:17" x14ac:dyDescent="0.2">
      <c r="B26" s="240"/>
      <c r="D26" s="11" t="s">
        <v>16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-50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4">
        <f t="shared" si="1"/>
        <v>-50</v>
      </c>
    </row>
    <row r="27" spans="2:17" x14ac:dyDescent="0.2">
      <c r="B27" s="240"/>
      <c r="D27" s="11" t="s">
        <v>20</v>
      </c>
      <c r="E27" s="13">
        <v>0</v>
      </c>
      <c r="F27" s="13">
        <v>0</v>
      </c>
      <c r="G27" s="13">
        <v>0</v>
      </c>
      <c r="H27" s="13">
        <v>-111.24000000000001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4">
        <f t="shared" si="1"/>
        <v>-111.24000000000001</v>
      </c>
    </row>
    <row r="28" spans="2:17" x14ac:dyDescent="0.2">
      <c r="B28" s="240"/>
      <c r="D28" s="11" t="s">
        <v>45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-115.36</v>
      </c>
      <c r="P28" s="13">
        <v>0</v>
      </c>
      <c r="Q28" s="14">
        <f t="shared" si="1"/>
        <v>-115.36</v>
      </c>
    </row>
    <row r="29" spans="2:17" x14ac:dyDescent="0.2">
      <c r="B29" s="240"/>
      <c r="D29" s="11" t="s">
        <v>23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-339.90000000000003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4">
        <f t="shared" si="1"/>
        <v>-339.90000000000003</v>
      </c>
    </row>
    <row r="30" spans="2:17" x14ac:dyDescent="0.2">
      <c r="B30" s="240"/>
      <c r="D30" s="11" t="s">
        <v>38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-76.22</v>
      </c>
      <c r="O30" s="13">
        <v>0</v>
      </c>
      <c r="P30" s="13">
        <v>0</v>
      </c>
      <c r="Q30" s="14">
        <f t="shared" si="1"/>
        <v>-76.22</v>
      </c>
    </row>
    <row r="31" spans="2:17" x14ac:dyDescent="0.2">
      <c r="B31" s="240"/>
      <c r="D31" s="11" t="s">
        <v>25</v>
      </c>
      <c r="E31" s="13">
        <v>0</v>
      </c>
      <c r="F31" s="13">
        <v>0</v>
      </c>
      <c r="G31" s="13">
        <v>0</v>
      </c>
      <c r="H31" s="13">
        <v>0</v>
      </c>
      <c r="I31" s="13">
        <v>-300</v>
      </c>
      <c r="J31" s="13">
        <v>-200</v>
      </c>
      <c r="K31" s="13">
        <v>-200</v>
      </c>
      <c r="L31" s="13">
        <v>-400</v>
      </c>
      <c r="M31" s="13">
        <v>0</v>
      </c>
      <c r="N31" s="13">
        <v>0</v>
      </c>
      <c r="O31" s="13">
        <v>0</v>
      </c>
      <c r="P31" s="13">
        <v>0</v>
      </c>
      <c r="Q31" s="14">
        <f t="shared" si="1"/>
        <v>-1100</v>
      </c>
    </row>
    <row r="32" spans="2:17" x14ac:dyDescent="0.2">
      <c r="B32" s="240"/>
      <c r="D32" s="11" t="s">
        <v>24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-175</v>
      </c>
      <c r="N32" s="13">
        <v>0</v>
      </c>
      <c r="O32" s="13">
        <v>0</v>
      </c>
      <c r="P32" s="13">
        <v>0</v>
      </c>
      <c r="Q32" s="14">
        <f t="shared" si="1"/>
        <v>-175</v>
      </c>
    </row>
    <row r="33" spans="2:18" x14ac:dyDescent="0.2">
      <c r="B33" s="240"/>
      <c r="D33" s="11" t="s">
        <v>22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-227.84630000000001</v>
      </c>
      <c r="L33" s="13">
        <v>0</v>
      </c>
      <c r="M33" s="13">
        <v>-290.92349999999999</v>
      </c>
      <c r="N33" s="13">
        <v>0</v>
      </c>
      <c r="O33" s="13">
        <v>-288.99739999999997</v>
      </c>
      <c r="P33" s="13">
        <v>0</v>
      </c>
      <c r="Q33" s="14">
        <f t="shared" si="1"/>
        <v>-807.7672</v>
      </c>
    </row>
    <row r="34" spans="2:18" x14ac:dyDescent="0.2">
      <c r="B34" s="241"/>
      <c r="D34" s="15" t="s">
        <v>14</v>
      </c>
      <c r="E34" s="13">
        <v>97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7">
        <f t="shared" si="1"/>
        <v>97</v>
      </c>
    </row>
    <row r="35" spans="2:18" x14ac:dyDescent="0.2">
      <c r="D35" s="12" t="s">
        <v>39</v>
      </c>
      <c r="E35" s="14">
        <f t="shared" ref="E35:Q35" si="2">SUM(E10:E34)</f>
        <v>-2633</v>
      </c>
      <c r="F35" s="14">
        <f t="shared" si="2"/>
        <v>-1902.3829999999998</v>
      </c>
      <c r="G35" s="14">
        <f t="shared" si="2"/>
        <v>-9540.4465999999993</v>
      </c>
      <c r="H35" s="14">
        <f t="shared" si="2"/>
        <v>-10981.034399999999</v>
      </c>
      <c r="I35" s="14">
        <f t="shared" si="2"/>
        <v>-10403.308300000001</v>
      </c>
      <c r="J35" s="14">
        <f t="shared" si="2"/>
        <v>-9334.7780999999995</v>
      </c>
      <c r="K35" s="14">
        <f t="shared" si="2"/>
        <v>-8426.6414999999997</v>
      </c>
      <c r="L35" s="14">
        <f t="shared" si="2"/>
        <v>-4532.7884000000004</v>
      </c>
      <c r="M35" s="14">
        <f t="shared" si="2"/>
        <v>-3540.931</v>
      </c>
      <c r="N35" s="14">
        <f t="shared" si="2"/>
        <v>-1880.2250000000001</v>
      </c>
      <c r="O35" s="14">
        <f t="shared" si="2"/>
        <v>-3634.4647000000004</v>
      </c>
      <c r="P35" s="14">
        <f t="shared" si="2"/>
        <v>-2971.5551</v>
      </c>
      <c r="Q35" s="14">
        <f t="shared" si="2"/>
        <v>-69781.556100000002</v>
      </c>
    </row>
    <row r="36" spans="2:18" ht="8" customHeight="1" x14ac:dyDescent="0.2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x14ac:dyDescent="0.2">
      <c r="B37" s="12" t="s">
        <v>47</v>
      </c>
      <c r="D37" s="12" t="s">
        <v>39</v>
      </c>
      <c r="E37" s="14">
        <f t="shared" ref="E37:Q37" si="3">E8+E35</f>
        <v>-1933</v>
      </c>
      <c r="F37" s="14">
        <f t="shared" si="3"/>
        <v>-1552.4531993661999</v>
      </c>
      <c r="G37" s="14">
        <f t="shared" si="3"/>
        <v>11094.965971703637</v>
      </c>
      <c r="H37" s="14">
        <f t="shared" si="3"/>
        <v>20184.914896000642</v>
      </c>
      <c r="I37" s="14">
        <f t="shared" si="3"/>
        <v>-5347.6061057683828</v>
      </c>
      <c r="J37" s="14">
        <f t="shared" si="3"/>
        <v>-6810.1641965140998</v>
      </c>
      <c r="K37" s="14">
        <f t="shared" si="3"/>
        <v>-7576.7116993662003</v>
      </c>
      <c r="L37" s="14">
        <f t="shared" si="3"/>
        <v>-1583.2797955634005</v>
      </c>
      <c r="M37" s="14">
        <f t="shared" si="3"/>
        <v>-1070.3044205142605</v>
      </c>
      <c r="N37" s="14">
        <f t="shared" si="3"/>
        <v>-1775.7683430943882</v>
      </c>
      <c r="O37" s="14">
        <f t="shared" si="3"/>
        <v>-3541.4647000000004</v>
      </c>
      <c r="P37" s="14">
        <f t="shared" si="3"/>
        <v>-2971.5551</v>
      </c>
      <c r="Q37" s="14">
        <f t="shared" si="3"/>
        <v>-2881.5561000000016</v>
      </c>
    </row>
  </sheetData>
  <mergeCells count="3">
    <mergeCell ref="D2:Q2"/>
    <mergeCell ref="B10:B34"/>
    <mergeCell ref="B6:B7"/>
  </mergeCells>
  <phoneticPr fontId="1" type="noConversion"/>
  <pageMargins left="0.75" right="0.75" top="1" bottom="1" header="0.5" footer="0.5"/>
  <pageSetup scale="48" orientation="landscape" horizontalDpi="4294967292" verticalDpi="4294967292"/>
  <headerFooter alignWithMargins="0"/>
  <ignoredErrors>
    <ignoredError sqref="E8:Q8 Q7 E37:F37 E35:F35 Q10 Q28 Q29:Q31 Q32 Q33:Q34 Q11:Q27 G35:P35 G37:Q37 G36:Q36 Q35" emptyCellReferenc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E81AE-F1B6-478A-9306-061A7EE1F6FF}">
  <sheetPr>
    <pageSetUpPr fitToPage="1"/>
  </sheetPr>
  <dimension ref="A1:U83"/>
  <sheetViews>
    <sheetView showGridLines="0" zoomScale="85" zoomScaleNormal="85" zoomScalePageLayoutView="85" workbookViewId="0">
      <pane xSplit="2" ySplit="4" topLeftCell="C8" activePane="bottomRight" state="frozen"/>
      <selection pane="topRight" activeCell="E1" sqref="E1"/>
      <selection pane="bottomLeft" activeCell="A5" sqref="A5"/>
      <selection pane="bottomRight" activeCell="F13" sqref="F13"/>
    </sheetView>
  </sheetViews>
  <sheetFormatPr baseColWidth="10" defaultColWidth="11" defaultRowHeight="16" x14ac:dyDescent="0.2"/>
  <cols>
    <col min="1" max="1" width="1.6640625" customWidth="1"/>
    <col min="2" max="2" width="27.1640625" style="3" customWidth="1"/>
    <col min="3" max="3" width="12.6640625" customWidth="1"/>
    <col min="4" max="15" width="11" customWidth="1"/>
    <col min="16" max="16" width="9.1640625" customWidth="1"/>
    <col min="17" max="17" width="13.6640625" bestFit="1" customWidth="1"/>
  </cols>
  <sheetData>
    <row r="1" spans="2:19" ht="8" customHeight="1" x14ac:dyDescent="0.2"/>
    <row r="2" spans="2:19" ht="21" customHeight="1" x14ac:dyDescent="0.2">
      <c r="B2" s="236" t="s">
        <v>177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8"/>
      <c r="R2" s="7"/>
    </row>
    <row r="3" spans="2:19" ht="8" customHeight="1" x14ac:dyDescent="0.2"/>
    <row r="4" spans="2:19" x14ac:dyDescent="0.2">
      <c r="B4" s="5" t="s">
        <v>34</v>
      </c>
      <c r="C4" s="5" t="s">
        <v>0</v>
      </c>
      <c r="D4" s="5" t="s">
        <v>1</v>
      </c>
      <c r="E4" s="5" t="s">
        <v>2</v>
      </c>
      <c r="F4" s="5" t="s">
        <v>3</v>
      </c>
      <c r="G4" s="5" t="s">
        <v>4</v>
      </c>
      <c r="H4" s="5" t="s">
        <v>36</v>
      </c>
      <c r="I4" s="5" t="s">
        <v>37</v>
      </c>
      <c r="J4" s="5" t="s">
        <v>5</v>
      </c>
      <c r="K4" s="5" t="s">
        <v>6</v>
      </c>
      <c r="L4" s="5" t="s">
        <v>7</v>
      </c>
      <c r="M4" s="5" t="s">
        <v>8</v>
      </c>
      <c r="N4" s="5" t="s">
        <v>9</v>
      </c>
      <c r="O4" s="5" t="s">
        <v>39</v>
      </c>
      <c r="P4" s="40" t="s">
        <v>183</v>
      </c>
      <c r="S4" s="3" t="s">
        <v>175</v>
      </c>
    </row>
    <row r="5" spans="2:19" x14ac:dyDescent="0.2">
      <c r="B5" s="11" t="s">
        <v>170</v>
      </c>
      <c r="C5" s="13">
        <v>1760</v>
      </c>
      <c r="D5" s="13">
        <f>440*70</f>
        <v>30800</v>
      </c>
      <c r="E5" s="13">
        <f>440*70</f>
        <v>30800</v>
      </c>
      <c r="F5" s="13">
        <f>440*20</f>
        <v>8800</v>
      </c>
      <c r="G5" s="13">
        <f>440*6</f>
        <v>2640</v>
      </c>
      <c r="H5" s="13">
        <f>440*4</f>
        <v>1760</v>
      </c>
      <c r="I5" s="13">
        <f>440*4</f>
        <v>1760</v>
      </c>
      <c r="J5" s="13">
        <f>440*2</f>
        <v>880</v>
      </c>
      <c r="K5" s="13">
        <v>0</v>
      </c>
      <c r="L5" s="13">
        <v>0</v>
      </c>
      <c r="M5" s="13">
        <v>0</v>
      </c>
      <c r="N5" s="13">
        <v>0</v>
      </c>
      <c r="O5" s="14">
        <f>SUM(C5:N5)</f>
        <v>79200</v>
      </c>
      <c r="P5" s="95">
        <f>180*440</f>
        <v>79200</v>
      </c>
      <c r="Q5" t="s">
        <v>174</v>
      </c>
      <c r="S5" s="95">
        <f>440*186</f>
        <v>81840</v>
      </c>
    </row>
    <row r="6" spans="2:19" x14ac:dyDescent="0.2">
      <c r="B6" s="11" t="s">
        <v>46</v>
      </c>
      <c r="C6" s="13">
        <v>0</v>
      </c>
      <c r="D6" s="16"/>
      <c r="E6" s="16"/>
      <c r="F6" s="16"/>
      <c r="G6" s="13"/>
      <c r="H6" s="13">
        <v>90</v>
      </c>
      <c r="I6" s="13">
        <v>80</v>
      </c>
      <c r="J6" s="13"/>
      <c r="K6" s="13">
        <v>34</v>
      </c>
      <c r="L6" s="13"/>
      <c r="M6" s="13"/>
      <c r="N6" s="13"/>
      <c r="O6" s="14">
        <f t="shared" ref="O6:O7" si="0">SUM(C6:N6)</f>
        <v>204</v>
      </c>
    </row>
    <row r="7" spans="2:19" x14ac:dyDescent="0.2">
      <c r="B7" s="11" t="s">
        <v>167</v>
      </c>
      <c r="C7" s="13">
        <v>150</v>
      </c>
      <c r="D7" s="13"/>
      <c r="E7" s="13">
        <v>150</v>
      </c>
      <c r="F7" s="13">
        <v>150</v>
      </c>
      <c r="G7" s="13"/>
      <c r="H7" s="13">
        <v>150</v>
      </c>
      <c r="I7" s="13">
        <v>150</v>
      </c>
      <c r="J7" s="13">
        <v>150</v>
      </c>
      <c r="K7" s="13">
        <v>150</v>
      </c>
      <c r="L7" s="13">
        <v>150</v>
      </c>
      <c r="M7" s="13">
        <v>150</v>
      </c>
      <c r="N7" s="13">
        <v>150</v>
      </c>
      <c r="O7" s="14">
        <f t="shared" si="0"/>
        <v>1500</v>
      </c>
      <c r="S7" s="95"/>
    </row>
    <row r="8" spans="2:19" x14ac:dyDescent="0.2">
      <c r="B8" s="12" t="s">
        <v>39</v>
      </c>
      <c r="C8" s="14">
        <f>SUM(C5:C7)</f>
        <v>1910</v>
      </c>
      <c r="D8" s="14">
        <f t="shared" ref="D8:O8" si="1">SUM(D5:D7)</f>
        <v>30800</v>
      </c>
      <c r="E8" s="14">
        <f t="shared" si="1"/>
        <v>30950</v>
      </c>
      <c r="F8" s="14">
        <f t="shared" si="1"/>
        <v>8950</v>
      </c>
      <c r="G8" s="14">
        <f t="shared" si="1"/>
        <v>2640</v>
      </c>
      <c r="H8" s="14">
        <f t="shared" si="1"/>
        <v>2000</v>
      </c>
      <c r="I8" s="14">
        <f t="shared" si="1"/>
        <v>1990</v>
      </c>
      <c r="J8" s="14">
        <f t="shared" si="1"/>
        <v>1030</v>
      </c>
      <c r="K8" s="14">
        <f t="shared" si="1"/>
        <v>184</v>
      </c>
      <c r="L8" s="14">
        <f t="shared" si="1"/>
        <v>150</v>
      </c>
      <c r="M8" s="14">
        <f t="shared" si="1"/>
        <v>150</v>
      </c>
      <c r="N8" s="14">
        <f t="shared" si="1"/>
        <v>150</v>
      </c>
      <c r="O8" s="14">
        <f t="shared" si="1"/>
        <v>80904</v>
      </c>
      <c r="R8" s="9"/>
    </row>
    <row r="9" spans="2:19" x14ac:dyDescent="0.2">
      <c r="B9" s="38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R9" s="9"/>
    </row>
    <row r="10" spans="2:19" x14ac:dyDescent="0.2">
      <c r="B10" s="4" t="s">
        <v>92</v>
      </c>
    </row>
    <row r="11" spans="2:19" x14ac:dyDescent="0.2">
      <c r="B11" s="11" t="s">
        <v>79</v>
      </c>
      <c r="C11" s="13"/>
      <c r="D11" s="13"/>
      <c r="E11" s="13"/>
      <c r="F11" s="13"/>
      <c r="G11" s="13"/>
      <c r="H11" s="13">
        <v>1000</v>
      </c>
      <c r="I11" s="13"/>
      <c r="J11" s="13"/>
      <c r="K11" s="13"/>
      <c r="L11" s="13"/>
      <c r="M11" s="13"/>
      <c r="N11" s="13"/>
      <c r="O11" s="14">
        <f t="shared" ref="O11:O29" si="2">SUM(C11:N11)</f>
        <v>1000</v>
      </c>
    </row>
    <row r="12" spans="2:19" x14ac:dyDescent="0.2">
      <c r="B12" s="11" t="s">
        <v>12</v>
      </c>
      <c r="C12" s="13">
        <v>90</v>
      </c>
      <c r="D12" s="13">
        <v>90</v>
      </c>
      <c r="E12" s="13">
        <v>90</v>
      </c>
      <c r="F12" s="13">
        <v>90</v>
      </c>
      <c r="G12" s="13">
        <v>90</v>
      </c>
      <c r="H12" s="13">
        <v>90</v>
      </c>
      <c r="I12" s="13">
        <v>90</v>
      </c>
      <c r="J12" s="13">
        <v>90</v>
      </c>
      <c r="K12" s="13">
        <v>90</v>
      </c>
      <c r="L12" s="13">
        <v>90</v>
      </c>
      <c r="M12" s="13">
        <v>90</v>
      </c>
      <c r="N12" s="13">
        <v>90</v>
      </c>
      <c r="O12" s="14">
        <f t="shared" si="2"/>
        <v>1080</v>
      </c>
    </row>
    <row r="13" spans="2:19" x14ac:dyDescent="0.2">
      <c r="B13" s="11" t="s">
        <v>82</v>
      </c>
      <c r="C13" s="13"/>
      <c r="D13" s="13"/>
      <c r="E13" s="13"/>
      <c r="F13" s="13">
        <v>2500</v>
      </c>
      <c r="G13" s="13"/>
      <c r="H13" s="13"/>
      <c r="I13" s="13"/>
      <c r="J13" s="13"/>
      <c r="K13" s="13"/>
      <c r="L13" s="13"/>
      <c r="M13" s="13"/>
      <c r="N13" s="13"/>
      <c r="O13" s="14">
        <f t="shared" si="2"/>
        <v>2500</v>
      </c>
    </row>
    <row r="14" spans="2:19" x14ac:dyDescent="0.2">
      <c r="B14" s="11" t="s">
        <v>19</v>
      </c>
      <c r="C14" s="13"/>
      <c r="D14" s="13">
        <v>1200</v>
      </c>
      <c r="E14" s="13"/>
      <c r="F14" s="13"/>
      <c r="G14" s="13">
        <v>50</v>
      </c>
      <c r="H14" s="13"/>
      <c r="I14" s="13"/>
      <c r="J14" s="13"/>
      <c r="K14" s="13"/>
      <c r="L14" s="13"/>
      <c r="M14" s="13">
        <v>20</v>
      </c>
      <c r="N14" s="13"/>
      <c r="O14" s="14">
        <f t="shared" si="2"/>
        <v>1270</v>
      </c>
      <c r="R14" s="8"/>
      <c r="S14" s="28">
        <f>(R5-R6)*R12</f>
        <v>0</v>
      </c>
    </row>
    <row r="15" spans="2:19" x14ac:dyDescent="0.2">
      <c r="B15" s="11" t="s">
        <v>180</v>
      </c>
      <c r="C15" s="13">
        <v>190</v>
      </c>
      <c r="D15" s="13"/>
      <c r="E15" s="13">
        <v>90</v>
      </c>
      <c r="F15" s="13"/>
      <c r="G15" s="13">
        <v>260</v>
      </c>
      <c r="H15" s="13"/>
      <c r="I15" s="13">
        <v>320</v>
      </c>
      <c r="J15" s="13"/>
      <c r="K15" s="13">
        <v>230</v>
      </c>
      <c r="L15" s="13"/>
      <c r="M15" s="13">
        <v>210</v>
      </c>
      <c r="N15" s="13"/>
      <c r="O15" s="14">
        <f t="shared" si="2"/>
        <v>1300</v>
      </c>
    </row>
    <row r="16" spans="2:19" x14ac:dyDescent="0.2">
      <c r="B16" s="11" t="s">
        <v>279</v>
      </c>
      <c r="C16" s="13"/>
      <c r="D16" s="13">
        <f>P16*0.05</f>
        <v>1825</v>
      </c>
      <c r="E16" s="13">
        <f>P16*0.1</f>
        <v>3650</v>
      </c>
      <c r="F16" s="13">
        <f>P16*0.1</f>
        <v>3650</v>
      </c>
      <c r="G16" s="13">
        <f>P16*0.2</f>
        <v>7300</v>
      </c>
      <c r="H16" s="13">
        <f>P16*0.2</f>
        <v>7300</v>
      </c>
      <c r="I16" s="13">
        <f>P16*0.2</f>
        <v>7300</v>
      </c>
      <c r="J16" s="13">
        <f>P16*0.1</f>
        <v>3650</v>
      </c>
      <c r="K16" s="13">
        <f>P16*0.05</f>
        <v>1825</v>
      </c>
      <c r="L16" s="13"/>
      <c r="M16" s="13"/>
      <c r="N16" s="13"/>
      <c r="O16" s="14">
        <f t="shared" si="2"/>
        <v>36500</v>
      </c>
      <c r="P16" s="96">
        <v>36500</v>
      </c>
      <c r="Q16" s="41" t="s">
        <v>176</v>
      </c>
      <c r="R16" s="99">
        <f>O16/'2022'!Q16</f>
        <v>-1.3126115719836187</v>
      </c>
    </row>
    <row r="17" spans="2:18" x14ac:dyDescent="0.2">
      <c r="B17" s="11" t="s">
        <v>178</v>
      </c>
      <c r="C17" s="13"/>
      <c r="D17" s="13">
        <v>0</v>
      </c>
      <c r="E17" s="13"/>
      <c r="F17" s="13"/>
      <c r="G17" s="13">
        <v>3000</v>
      </c>
      <c r="H17" s="13"/>
      <c r="I17" s="13"/>
      <c r="J17" s="13"/>
      <c r="K17" s="13"/>
      <c r="L17" s="13"/>
      <c r="M17" s="13"/>
      <c r="N17" s="13"/>
      <c r="O17" s="14">
        <f t="shared" si="2"/>
        <v>3000</v>
      </c>
      <c r="P17" s="96" t="s">
        <v>181</v>
      </c>
      <c r="R17" s="27"/>
    </row>
    <row r="18" spans="2:18" x14ac:dyDescent="0.2">
      <c r="B18" s="11" t="s">
        <v>179</v>
      </c>
      <c r="C18" s="13"/>
      <c r="D18" s="13"/>
      <c r="E18" s="13"/>
      <c r="F18" s="13"/>
      <c r="G18" s="13">
        <v>2000</v>
      </c>
      <c r="H18" s="13">
        <v>2000</v>
      </c>
      <c r="I18" s="13">
        <v>2000</v>
      </c>
      <c r="J18" s="13"/>
      <c r="K18" s="13"/>
      <c r="L18" s="13"/>
      <c r="M18" s="13"/>
      <c r="N18" s="13"/>
      <c r="O18" s="14">
        <f t="shared" si="2"/>
        <v>6000</v>
      </c>
      <c r="P18" s="96" t="s">
        <v>182</v>
      </c>
      <c r="Q18" s="41"/>
    </row>
    <row r="19" spans="2:18" x14ac:dyDescent="0.2">
      <c r="B19" s="11" t="s">
        <v>15</v>
      </c>
      <c r="C19" s="13">
        <v>1000</v>
      </c>
      <c r="D19" s="13">
        <v>1000</v>
      </c>
      <c r="E19" s="13">
        <v>1000</v>
      </c>
      <c r="F19" s="13">
        <v>1000</v>
      </c>
      <c r="G19" s="13">
        <v>1000</v>
      </c>
      <c r="H19" s="13">
        <v>1000</v>
      </c>
      <c r="I19" s="13">
        <v>1300</v>
      </c>
      <c r="J19" s="13">
        <v>1300</v>
      </c>
      <c r="K19" s="13">
        <v>1200</v>
      </c>
      <c r="L19" s="13">
        <v>1200</v>
      </c>
      <c r="M19" s="13">
        <v>1200</v>
      </c>
      <c r="N19" s="13">
        <v>1000</v>
      </c>
      <c r="O19" s="14">
        <f t="shared" si="2"/>
        <v>13200</v>
      </c>
      <c r="P19" s="96">
        <f>12000*1.1</f>
        <v>13200.000000000002</v>
      </c>
      <c r="Q19" s="43" t="s">
        <v>184</v>
      </c>
    </row>
    <row r="20" spans="2:18" x14ac:dyDescent="0.2">
      <c r="B20" s="11" t="s">
        <v>17</v>
      </c>
      <c r="C20" s="13">
        <v>1400</v>
      </c>
      <c r="D20" s="13">
        <v>1500</v>
      </c>
      <c r="E20" s="13">
        <v>1500</v>
      </c>
      <c r="F20" s="13">
        <v>1500</v>
      </c>
      <c r="G20" s="13">
        <v>2400</v>
      </c>
      <c r="H20" s="13">
        <v>2400</v>
      </c>
      <c r="I20" s="13">
        <v>2400</v>
      </c>
      <c r="J20" s="13">
        <v>2000</v>
      </c>
      <c r="K20" s="13">
        <v>1800</v>
      </c>
      <c r="L20" s="13">
        <v>1500</v>
      </c>
      <c r="M20" s="13">
        <v>1500</v>
      </c>
      <c r="N20" s="13">
        <v>1500</v>
      </c>
      <c r="O20" s="14">
        <f>SUM(C20:N20)</f>
        <v>21400</v>
      </c>
      <c r="P20" s="96">
        <f>20000*1.1</f>
        <v>22000</v>
      </c>
      <c r="Q20" s="43" t="s">
        <v>184</v>
      </c>
    </row>
    <row r="21" spans="2:18" x14ac:dyDescent="0.2">
      <c r="B21" s="11" t="s">
        <v>16</v>
      </c>
      <c r="C21" s="13"/>
      <c r="D21" s="13"/>
      <c r="E21" s="13"/>
      <c r="F21" s="13"/>
      <c r="G21" s="13"/>
      <c r="H21" s="13"/>
      <c r="I21" s="13"/>
      <c r="J21" s="13">
        <v>100</v>
      </c>
      <c r="K21" s="13"/>
      <c r="L21" s="13"/>
      <c r="M21" s="13"/>
      <c r="N21" s="13"/>
      <c r="O21" s="14">
        <f t="shared" si="2"/>
        <v>100</v>
      </c>
      <c r="P21" s="96"/>
    </row>
    <row r="22" spans="2:18" x14ac:dyDescent="0.2">
      <c r="B22" s="11" t="s">
        <v>20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4">
        <f t="shared" si="2"/>
        <v>0</v>
      </c>
      <c r="P22" s="96"/>
    </row>
    <row r="23" spans="2:18" x14ac:dyDescent="0.2">
      <c r="B23" s="11" t="s">
        <v>83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4">
        <f t="shared" si="2"/>
        <v>0</v>
      </c>
      <c r="P23" s="96"/>
    </row>
    <row r="24" spans="2:18" x14ac:dyDescent="0.2">
      <c r="B24" s="11" t="s">
        <v>86</v>
      </c>
      <c r="C24" s="13"/>
      <c r="D24" s="13"/>
      <c r="E24" s="13"/>
      <c r="F24" s="13"/>
      <c r="G24" s="13"/>
      <c r="H24" s="13"/>
      <c r="I24" s="13">
        <v>400</v>
      </c>
      <c r="J24" s="13"/>
      <c r="K24" s="13"/>
      <c r="L24" s="13"/>
      <c r="M24" s="13"/>
      <c r="N24" s="13"/>
      <c r="O24" s="14">
        <f t="shared" si="2"/>
        <v>400</v>
      </c>
      <c r="P24" s="96"/>
    </row>
    <row r="25" spans="2:18" x14ac:dyDescent="0.2">
      <c r="B25" s="11" t="s">
        <v>38</v>
      </c>
      <c r="C25" s="13"/>
      <c r="D25" s="13"/>
      <c r="E25" s="13"/>
      <c r="F25" s="13"/>
      <c r="G25" s="13"/>
      <c r="H25" s="13"/>
      <c r="I25" s="13"/>
      <c r="J25" s="13"/>
      <c r="K25" s="13"/>
      <c r="L25" s="13">
        <v>200</v>
      </c>
      <c r="M25" s="13"/>
      <c r="N25" s="13"/>
      <c r="O25" s="14">
        <f t="shared" si="2"/>
        <v>200</v>
      </c>
      <c r="P25" s="96"/>
    </row>
    <row r="26" spans="2:18" x14ac:dyDescent="0.2">
      <c r="B26" s="11" t="s">
        <v>85</v>
      </c>
      <c r="C26" s="13"/>
      <c r="D26" s="13"/>
      <c r="E26" s="13"/>
      <c r="F26" s="13"/>
      <c r="G26" s="13"/>
      <c r="H26" s="13"/>
      <c r="I26" s="13"/>
      <c r="J26" s="13">
        <v>200</v>
      </c>
      <c r="K26" s="13">
        <v>200</v>
      </c>
      <c r="L26" s="13"/>
      <c r="M26" s="13"/>
      <c r="N26" s="13"/>
      <c r="O26" s="14">
        <f t="shared" si="2"/>
        <v>400</v>
      </c>
      <c r="P26" s="96"/>
    </row>
    <row r="27" spans="2:18" x14ac:dyDescent="0.2">
      <c r="B27" s="11" t="s">
        <v>24</v>
      </c>
      <c r="C27" s="13">
        <v>250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4">
        <f t="shared" si="2"/>
        <v>250</v>
      </c>
      <c r="P27" s="96"/>
    </row>
    <row r="28" spans="2:18" x14ac:dyDescent="0.2">
      <c r="B28" s="11" t="s">
        <v>22</v>
      </c>
      <c r="C28" s="13"/>
      <c r="D28" s="13"/>
      <c r="E28" s="13"/>
      <c r="F28" s="13"/>
      <c r="G28" s="13">
        <v>130</v>
      </c>
      <c r="H28" s="13">
        <v>130</v>
      </c>
      <c r="I28" s="13">
        <v>130</v>
      </c>
      <c r="J28" s="13">
        <v>130</v>
      </c>
      <c r="K28" s="13">
        <v>130</v>
      </c>
      <c r="L28" s="13"/>
      <c r="M28" s="13"/>
      <c r="N28" s="13"/>
      <c r="O28" s="14">
        <f t="shared" si="2"/>
        <v>650</v>
      </c>
      <c r="P28" s="96"/>
    </row>
    <row r="29" spans="2:18" x14ac:dyDescent="0.2">
      <c r="B29" s="11" t="s">
        <v>14</v>
      </c>
      <c r="C29" s="13">
        <v>200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200</v>
      </c>
      <c r="K29" s="13">
        <v>0</v>
      </c>
      <c r="L29" s="13"/>
      <c r="M29" s="13"/>
      <c r="N29" s="13"/>
      <c r="O29" s="14">
        <f t="shared" si="2"/>
        <v>400</v>
      </c>
      <c r="P29" s="96"/>
    </row>
    <row r="30" spans="2:18" x14ac:dyDescent="0.2">
      <c r="B30" s="11" t="s">
        <v>164</v>
      </c>
      <c r="C30" s="13">
        <v>54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7"/>
      <c r="P30" s="96"/>
    </row>
    <row r="31" spans="2:18" x14ac:dyDescent="0.2">
      <c r="B31" s="12" t="s">
        <v>95</v>
      </c>
      <c r="C31" s="13">
        <f>SUM(C11:C30)</f>
        <v>3184</v>
      </c>
      <c r="D31" s="13">
        <f t="shared" ref="D31:O31" si="3">SUM(D11:D30)</f>
        <v>5615</v>
      </c>
      <c r="E31" s="13">
        <f t="shared" si="3"/>
        <v>6330</v>
      </c>
      <c r="F31" s="13">
        <f t="shared" si="3"/>
        <v>8740</v>
      </c>
      <c r="G31" s="13">
        <f t="shared" si="3"/>
        <v>16230</v>
      </c>
      <c r="H31" s="13">
        <f t="shared" si="3"/>
        <v>13920</v>
      </c>
      <c r="I31" s="13">
        <f t="shared" si="3"/>
        <v>13940</v>
      </c>
      <c r="J31" s="13">
        <f t="shared" si="3"/>
        <v>7670</v>
      </c>
      <c r="K31" s="13">
        <f t="shared" si="3"/>
        <v>5475</v>
      </c>
      <c r="L31" s="13">
        <f t="shared" si="3"/>
        <v>2990</v>
      </c>
      <c r="M31" s="13">
        <f t="shared" si="3"/>
        <v>3020</v>
      </c>
      <c r="N31" s="13">
        <f t="shared" si="3"/>
        <v>2590</v>
      </c>
      <c r="O31" s="13">
        <f t="shared" si="3"/>
        <v>89650</v>
      </c>
    </row>
    <row r="32" spans="2:18" x14ac:dyDescent="0.2">
      <c r="B32" s="103" t="s">
        <v>171</v>
      </c>
      <c r="C32" s="104">
        <f t="shared" ref="C32:N32" si="4">C8-C31</f>
        <v>-1274</v>
      </c>
      <c r="D32" s="104">
        <f t="shared" si="4"/>
        <v>25185</v>
      </c>
      <c r="E32" s="104">
        <f t="shared" si="4"/>
        <v>24620</v>
      </c>
      <c r="F32" s="104">
        <f t="shared" si="4"/>
        <v>210</v>
      </c>
      <c r="G32" s="104">
        <f t="shared" si="4"/>
        <v>-13590</v>
      </c>
      <c r="H32" s="104">
        <f t="shared" si="4"/>
        <v>-11920</v>
      </c>
      <c r="I32" s="104">
        <f t="shared" si="4"/>
        <v>-11950</v>
      </c>
      <c r="J32" s="104">
        <f t="shared" si="4"/>
        <v>-6640</v>
      </c>
      <c r="K32" s="104">
        <f t="shared" si="4"/>
        <v>-5291</v>
      </c>
      <c r="L32" s="104">
        <f t="shared" si="4"/>
        <v>-2840</v>
      </c>
      <c r="M32" s="104">
        <f t="shared" si="4"/>
        <v>-2870</v>
      </c>
      <c r="N32" s="104">
        <f t="shared" si="4"/>
        <v>-2440</v>
      </c>
      <c r="O32" s="104">
        <f>SUM(C32:N32)</f>
        <v>-8800</v>
      </c>
    </row>
    <row r="33" spans="1:21" x14ac:dyDescent="0.2">
      <c r="B33" s="12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39"/>
    </row>
    <row r="34" spans="1:21" x14ac:dyDescent="0.2">
      <c r="B34" s="97" t="s">
        <v>173</v>
      </c>
      <c r="C34" s="14">
        <f>(B36+C8)-C31</f>
        <v>26487.95</v>
      </c>
      <c r="D34" s="14">
        <f>C34+D32</f>
        <v>51672.95</v>
      </c>
      <c r="E34" s="14">
        <f t="shared" ref="E34:N34" si="5">D34+E32</f>
        <v>76292.95</v>
      </c>
      <c r="F34" s="14">
        <f t="shared" si="5"/>
        <v>76502.95</v>
      </c>
      <c r="G34" s="14">
        <f t="shared" si="5"/>
        <v>62912.95</v>
      </c>
      <c r="H34" s="14">
        <f t="shared" si="5"/>
        <v>50992.95</v>
      </c>
      <c r="I34" s="14">
        <f t="shared" si="5"/>
        <v>39042.949999999997</v>
      </c>
      <c r="J34" s="14">
        <f t="shared" si="5"/>
        <v>32402.949999999997</v>
      </c>
      <c r="K34" s="14">
        <f t="shared" si="5"/>
        <v>27111.949999999997</v>
      </c>
      <c r="L34" s="14">
        <f t="shared" si="5"/>
        <v>24271.949999999997</v>
      </c>
      <c r="M34" s="14">
        <f t="shared" si="5"/>
        <v>21401.949999999997</v>
      </c>
      <c r="N34" s="14">
        <f t="shared" si="5"/>
        <v>18961.949999999997</v>
      </c>
    </row>
    <row r="35" spans="1:21" x14ac:dyDescent="0.2">
      <c r="B35" s="3" t="s">
        <v>172</v>
      </c>
      <c r="C35" s="99">
        <f>26690.36-C34</f>
        <v>202.40999999999985</v>
      </c>
      <c r="O35" s="2"/>
    </row>
    <row r="36" spans="1:21" x14ac:dyDescent="0.2">
      <c r="B36" s="13">
        <f>'2022'!P34</f>
        <v>27761.95</v>
      </c>
      <c r="O36" s="2"/>
    </row>
    <row r="37" spans="1:21" ht="16.5" customHeight="1" x14ac:dyDescent="0.2">
      <c r="B37" s="3" t="s">
        <v>197</v>
      </c>
      <c r="C37" s="99">
        <v>1453.51</v>
      </c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2"/>
      <c r="P37" s="2"/>
    </row>
    <row r="38" spans="1:21" x14ac:dyDescent="0.2">
      <c r="B38" s="3" t="s">
        <v>198</v>
      </c>
      <c r="C38" s="99">
        <v>1557.89</v>
      </c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</row>
    <row r="39" spans="1:21" x14ac:dyDescent="0.2">
      <c r="B39" s="3" t="s">
        <v>199</v>
      </c>
      <c r="C39" s="99">
        <f>SUM(C37:C38)</f>
        <v>3011.4</v>
      </c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</row>
    <row r="41" spans="1:21" x14ac:dyDescent="0.2">
      <c r="B41" s="39"/>
    </row>
    <row r="42" spans="1:21" x14ac:dyDescent="0.2">
      <c r="B42" s="3" t="s">
        <v>222</v>
      </c>
      <c r="C42" s="2">
        <f>'2023 actual'!C38-'2023 fixed'!C34</f>
        <v>202.59999999999854</v>
      </c>
      <c r="D42" s="2">
        <f>'2023 actual'!D38-'2023 fixed'!D34</f>
        <v>-3243.3999999999942</v>
      </c>
      <c r="E42" s="2">
        <f>'2023 actual'!E38-'2023 fixed'!E34</f>
        <v>6525.1500000000087</v>
      </c>
      <c r="F42" s="2"/>
      <c r="G42" s="2"/>
      <c r="H42" s="2"/>
      <c r="I42" s="2"/>
      <c r="J42" s="2"/>
      <c r="K42" s="2"/>
      <c r="L42" s="2"/>
      <c r="M42" s="2"/>
      <c r="N42" s="2"/>
    </row>
    <row r="43" spans="1:21" x14ac:dyDescent="0.2">
      <c r="B43" s="3" t="s">
        <v>223</v>
      </c>
      <c r="E43" s="2">
        <f>SUM(C42:E42)</f>
        <v>3484.3500000000131</v>
      </c>
    </row>
    <row r="47" spans="1:21" s="3" customFormat="1" x14ac:dyDescent="0.2">
      <c r="A47" s="41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61" spans="4:4" x14ac:dyDescent="0.2">
      <c r="D61" s="51"/>
    </row>
    <row r="67" spans="1:3" x14ac:dyDescent="0.2">
      <c r="B67" s="10"/>
      <c r="C67" s="10"/>
    </row>
    <row r="68" spans="1:3" x14ac:dyDescent="0.2">
      <c r="B68" s="41"/>
      <c r="C68" s="39"/>
    </row>
    <row r="69" spans="1:3" x14ac:dyDescent="0.2">
      <c r="B69" s="41"/>
      <c r="C69" s="39"/>
    </row>
    <row r="70" spans="1:3" x14ac:dyDescent="0.2">
      <c r="B70" s="41"/>
      <c r="C70" s="39"/>
    </row>
    <row r="71" spans="1:3" x14ac:dyDescent="0.2">
      <c r="B71" s="41"/>
      <c r="C71" s="39"/>
    </row>
    <row r="72" spans="1:3" x14ac:dyDescent="0.2">
      <c r="B72"/>
      <c r="C72" s="3"/>
    </row>
    <row r="73" spans="1:3" x14ac:dyDescent="0.2">
      <c r="A73" s="38"/>
      <c r="B73" s="10"/>
      <c r="C73" s="10"/>
    </row>
    <row r="74" spans="1:3" x14ac:dyDescent="0.2">
      <c r="A74" s="40"/>
      <c r="B74" s="41"/>
      <c r="C74" s="39"/>
    </row>
    <row r="75" spans="1:3" x14ac:dyDescent="0.2">
      <c r="A75" s="40"/>
      <c r="B75" s="41"/>
      <c r="C75" s="39"/>
    </row>
    <row r="76" spans="1:3" x14ac:dyDescent="0.2">
      <c r="A76" s="40"/>
      <c r="B76" s="41"/>
      <c r="C76" s="39"/>
    </row>
    <row r="77" spans="1:3" x14ac:dyDescent="0.2">
      <c r="A77" s="40"/>
      <c r="B77" s="41"/>
      <c r="C77" s="39"/>
    </row>
    <row r="78" spans="1:3" x14ac:dyDescent="0.2">
      <c r="A78" s="3"/>
    </row>
    <row r="79" spans="1:3" x14ac:dyDescent="0.2">
      <c r="A79" s="38"/>
    </row>
    <row r="80" spans="1:3" x14ac:dyDescent="0.2">
      <c r="A80" s="40"/>
    </row>
    <row r="81" spans="1:1" x14ac:dyDescent="0.2">
      <c r="A81" s="40"/>
    </row>
    <row r="82" spans="1:1" x14ac:dyDescent="0.2">
      <c r="A82" s="40"/>
    </row>
    <row r="83" spans="1:1" x14ac:dyDescent="0.2">
      <c r="A83" s="40"/>
    </row>
  </sheetData>
  <mergeCells count="1">
    <mergeCell ref="B2:O2"/>
  </mergeCells>
  <pageMargins left="1" right="1" top="1" bottom="1" header="0.5" footer="0.5"/>
  <pageSetup paperSize="5" scale="60" orientation="landscape" horizontalDpi="1200" verticalDpi="12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0F646-3DEF-4907-B91D-90CE82A00F4A}">
  <sheetPr>
    <pageSetUpPr fitToPage="1"/>
  </sheetPr>
  <dimension ref="B1:U88"/>
  <sheetViews>
    <sheetView showGridLines="0" zoomScale="85" zoomScaleNormal="85" zoomScalePageLayoutView="8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44" sqref="E44"/>
    </sheetView>
  </sheetViews>
  <sheetFormatPr baseColWidth="10" defaultColWidth="11" defaultRowHeight="16" x14ac:dyDescent="0.2"/>
  <cols>
    <col min="1" max="1" width="2.83203125" customWidth="1"/>
    <col min="2" max="2" width="8.1640625" style="3" customWidth="1"/>
    <col min="3" max="3" width="1.6640625" customWidth="1"/>
    <col min="4" max="4" width="27.1640625" style="3" customWidth="1"/>
    <col min="5" max="5" width="18.6640625" customWidth="1"/>
    <col min="6" max="17" width="11" customWidth="1"/>
    <col min="18" max="18" width="19" customWidth="1"/>
    <col min="19" max="19" width="13.6640625" bestFit="1" customWidth="1"/>
  </cols>
  <sheetData>
    <row r="1" spans="2:20" ht="8" customHeight="1" x14ac:dyDescent="0.2"/>
    <row r="2" spans="2:20" ht="21" customHeight="1" x14ac:dyDescent="0.3">
      <c r="B2" s="35">
        <v>2023</v>
      </c>
      <c r="D2" s="236" t="s">
        <v>90</v>
      </c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8"/>
      <c r="T2" s="7"/>
    </row>
    <row r="3" spans="2:20" ht="8" customHeight="1" x14ac:dyDescent="0.2"/>
    <row r="4" spans="2:20" x14ac:dyDescent="0.2">
      <c r="D4" s="5" t="s">
        <v>11</v>
      </c>
      <c r="E4" s="5" t="s">
        <v>0</v>
      </c>
      <c r="F4" s="5" t="s">
        <v>1</v>
      </c>
      <c r="G4" s="5" t="s">
        <v>2</v>
      </c>
      <c r="H4" s="5" t="s">
        <v>3</v>
      </c>
      <c r="I4" s="5" t="s">
        <v>4</v>
      </c>
      <c r="J4" s="5" t="s">
        <v>36</v>
      </c>
      <c r="K4" s="5" t="s">
        <v>37</v>
      </c>
      <c r="L4" s="5" t="s">
        <v>5</v>
      </c>
      <c r="M4" s="5" t="s">
        <v>6</v>
      </c>
      <c r="N4" s="5" t="s">
        <v>7</v>
      </c>
      <c r="O4" s="5" t="s">
        <v>8</v>
      </c>
      <c r="P4" s="5" t="s">
        <v>9</v>
      </c>
      <c r="Q4" s="5" t="s">
        <v>39</v>
      </c>
    </row>
    <row r="5" spans="2:20" x14ac:dyDescent="0.2">
      <c r="D5" s="46" t="s">
        <v>110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14">
        <f>Q8*1.15</f>
        <v>83915.5</v>
      </c>
    </row>
    <row r="6" spans="2:20" ht="15.75" customHeight="1" x14ac:dyDescent="0.2">
      <c r="D6" s="46" t="s">
        <v>100</v>
      </c>
      <c r="Q6" s="14">
        <f>Q8*1.12</f>
        <v>81726.400000000009</v>
      </c>
    </row>
    <row r="7" spans="2:20" ht="16.5" customHeight="1" x14ac:dyDescent="0.2">
      <c r="D7" s="44" t="s">
        <v>101</v>
      </c>
      <c r="Q7" s="14">
        <f>Q8*1.1</f>
        <v>80267</v>
      </c>
      <c r="S7" s="14">
        <f>186*400</f>
        <v>74400</v>
      </c>
      <c r="T7" s="43" t="s">
        <v>99</v>
      </c>
    </row>
    <row r="8" spans="2:20" x14ac:dyDescent="0.2">
      <c r="B8" s="239" t="s">
        <v>34</v>
      </c>
      <c r="D8" s="11" t="s">
        <v>202</v>
      </c>
      <c r="E8" s="13">
        <v>800</v>
      </c>
      <c r="F8" s="13">
        <v>26419</v>
      </c>
      <c r="G8" s="13">
        <v>29881</v>
      </c>
      <c r="H8" s="13">
        <v>12152</v>
      </c>
      <c r="I8" s="13">
        <v>2385</v>
      </c>
      <c r="J8" s="13">
        <v>0</v>
      </c>
      <c r="K8" s="13">
        <v>800</v>
      </c>
      <c r="L8" s="13">
        <v>533</v>
      </c>
      <c r="M8" s="13">
        <v>0</v>
      </c>
      <c r="N8" s="13">
        <v>0</v>
      </c>
      <c r="O8" s="13">
        <v>0</v>
      </c>
      <c r="P8" s="13">
        <v>0</v>
      </c>
      <c r="Q8" s="14">
        <f>SUM(E8:P8)</f>
        <v>72970</v>
      </c>
      <c r="R8" t="s">
        <v>98</v>
      </c>
    </row>
    <row r="9" spans="2:20" x14ac:dyDescent="0.2">
      <c r="B9" s="241"/>
      <c r="D9" s="15" t="s">
        <v>46</v>
      </c>
      <c r="E9" s="16">
        <v>0</v>
      </c>
      <c r="F9" s="16"/>
      <c r="G9" s="16"/>
      <c r="H9" s="16"/>
      <c r="I9" s="16">
        <v>0</v>
      </c>
      <c r="J9" s="16">
        <v>90</v>
      </c>
      <c r="K9" s="16">
        <v>80</v>
      </c>
      <c r="L9" s="16">
        <v>0</v>
      </c>
      <c r="M9" s="16">
        <v>34</v>
      </c>
      <c r="N9" s="16">
        <v>0</v>
      </c>
      <c r="O9" s="16">
        <v>0</v>
      </c>
      <c r="P9" s="16">
        <v>0</v>
      </c>
      <c r="Q9" s="17">
        <f>SUM(E9:P9)</f>
        <v>204</v>
      </c>
    </row>
    <row r="10" spans="2:20" x14ac:dyDescent="0.2">
      <c r="D10" s="12" t="s">
        <v>39</v>
      </c>
      <c r="E10" s="14">
        <f>SUM(E8:E9)</f>
        <v>800</v>
      </c>
      <c r="F10" s="14">
        <f t="shared" ref="F10:Q10" si="0">SUM(F8:F9)</f>
        <v>26419</v>
      </c>
      <c r="G10" s="14">
        <f t="shared" si="0"/>
        <v>29881</v>
      </c>
      <c r="H10" s="14">
        <f t="shared" si="0"/>
        <v>12152</v>
      </c>
      <c r="I10" s="14">
        <f t="shared" si="0"/>
        <v>2385</v>
      </c>
      <c r="J10" s="14">
        <f t="shared" si="0"/>
        <v>90</v>
      </c>
      <c r="K10" s="14">
        <f>SUM(K8:K9)</f>
        <v>880</v>
      </c>
      <c r="L10" s="14">
        <f t="shared" si="0"/>
        <v>533</v>
      </c>
      <c r="M10" s="14">
        <f t="shared" si="0"/>
        <v>34</v>
      </c>
      <c r="N10" s="14">
        <f t="shared" si="0"/>
        <v>0</v>
      </c>
      <c r="O10" s="14">
        <f t="shared" si="0"/>
        <v>0</v>
      </c>
      <c r="P10" s="14">
        <f t="shared" si="0"/>
        <v>0</v>
      </c>
      <c r="Q10" s="14">
        <f t="shared" si="0"/>
        <v>73174</v>
      </c>
      <c r="T10" s="9"/>
    </row>
    <row r="11" spans="2:20" x14ac:dyDescent="0.2">
      <c r="D11" s="42" t="s">
        <v>97</v>
      </c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>
        <f>163*40</f>
        <v>6520</v>
      </c>
      <c r="T11" s="9"/>
    </row>
    <row r="12" spans="2:20" x14ac:dyDescent="0.2">
      <c r="D12" s="38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T12" s="9"/>
    </row>
    <row r="13" spans="2:20" x14ac:dyDescent="0.2">
      <c r="D13"/>
    </row>
    <row r="14" spans="2:20" x14ac:dyDescent="0.2">
      <c r="B14" s="239" t="s">
        <v>35</v>
      </c>
      <c r="D14" s="11" t="s">
        <v>79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228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4">
        <f t="shared" ref="Q14:Q32" si="1">SUM(E14:P14)</f>
        <v>228</v>
      </c>
    </row>
    <row r="15" spans="2:20" x14ac:dyDescent="0.2">
      <c r="B15" s="240"/>
      <c r="D15" s="11" t="s">
        <v>12</v>
      </c>
      <c r="E15" s="13">
        <v>75</v>
      </c>
      <c r="F15" s="13">
        <v>75</v>
      </c>
      <c r="G15" s="13">
        <v>75</v>
      </c>
      <c r="H15" s="13">
        <v>75</v>
      </c>
      <c r="I15" s="13">
        <v>75</v>
      </c>
      <c r="J15" s="13">
        <v>75</v>
      </c>
      <c r="K15" s="13">
        <v>75</v>
      </c>
      <c r="L15" s="13">
        <v>75</v>
      </c>
      <c r="M15" s="13">
        <v>75</v>
      </c>
      <c r="N15" s="13">
        <v>75</v>
      </c>
      <c r="O15" s="13">
        <v>75</v>
      </c>
      <c r="P15" s="13">
        <v>75</v>
      </c>
      <c r="Q15" s="14">
        <f t="shared" si="1"/>
        <v>900</v>
      </c>
      <c r="S15" t="s">
        <v>43</v>
      </c>
      <c r="T15">
        <v>186</v>
      </c>
    </row>
    <row r="16" spans="2:20" x14ac:dyDescent="0.2">
      <c r="B16" s="240"/>
      <c r="D16" s="11" t="s">
        <v>82</v>
      </c>
      <c r="E16" s="13">
        <v>0</v>
      </c>
      <c r="F16" s="13">
        <v>0</v>
      </c>
      <c r="G16" s="13">
        <v>0</v>
      </c>
      <c r="H16" s="13">
        <v>2195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4">
        <f t="shared" si="1"/>
        <v>2195</v>
      </c>
      <c r="S16" t="s">
        <v>44</v>
      </c>
      <c r="T16">
        <v>400</v>
      </c>
    </row>
    <row r="17" spans="2:21" x14ac:dyDescent="0.2">
      <c r="B17" s="240"/>
      <c r="D17" s="11" t="s">
        <v>19</v>
      </c>
      <c r="E17" s="13">
        <v>0</v>
      </c>
      <c r="F17" s="13">
        <v>1101</v>
      </c>
      <c r="G17" s="13">
        <v>0</v>
      </c>
      <c r="H17" s="13">
        <v>0</v>
      </c>
      <c r="I17" s="13">
        <v>47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20</v>
      </c>
      <c r="P17" s="13">
        <v>0</v>
      </c>
      <c r="Q17" s="14">
        <f t="shared" si="1"/>
        <v>1168</v>
      </c>
      <c r="S17" t="s">
        <v>39</v>
      </c>
      <c r="T17" s="8">
        <v>74400</v>
      </c>
      <c r="U17" s="28">
        <f>(T8-T9)*T15</f>
        <v>0</v>
      </c>
    </row>
    <row r="18" spans="2:21" x14ac:dyDescent="0.2">
      <c r="B18" s="240"/>
      <c r="D18" s="11" t="s">
        <v>84</v>
      </c>
      <c r="E18" s="13">
        <v>176</v>
      </c>
      <c r="F18" s="13">
        <v>0</v>
      </c>
      <c r="G18" s="13">
        <v>78</v>
      </c>
      <c r="H18" s="13">
        <v>0</v>
      </c>
      <c r="I18" s="13">
        <v>238</v>
      </c>
      <c r="J18" s="13">
        <v>0</v>
      </c>
      <c r="K18" s="13">
        <v>292</v>
      </c>
      <c r="L18" s="13">
        <v>0</v>
      </c>
      <c r="M18" s="13">
        <v>219</v>
      </c>
      <c r="N18" s="13">
        <v>0</v>
      </c>
      <c r="O18" s="13">
        <v>192</v>
      </c>
      <c r="P18" s="13">
        <v>0</v>
      </c>
      <c r="Q18" s="14">
        <f t="shared" si="1"/>
        <v>1195</v>
      </c>
    </row>
    <row r="19" spans="2:21" x14ac:dyDescent="0.2">
      <c r="B19" s="240"/>
      <c r="D19" s="11" t="s">
        <v>87</v>
      </c>
      <c r="E19" s="13">
        <v>0</v>
      </c>
      <c r="F19" s="13">
        <v>0</v>
      </c>
      <c r="G19" s="13">
        <v>0</v>
      </c>
      <c r="H19" s="13">
        <v>3913</v>
      </c>
      <c r="I19" s="13">
        <v>6521</v>
      </c>
      <c r="J19" s="13">
        <v>7669</v>
      </c>
      <c r="K19" s="13">
        <v>7095</v>
      </c>
      <c r="L19" s="13">
        <v>2609</v>
      </c>
      <c r="M19" s="13">
        <v>0</v>
      </c>
      <c r="N19" s="13">
        <v>0</v>
      </c>
      <c r="O19" s="13">
        <v>0</v>
      </c>
      <c r="P19" s="13">
        <v>0</v>
      </c>
      <c r="Q19" s="14">
        <f t="shared" si="1"/>
        <v>27807</v>
      </c>
    </row>
    <row r="20" spans="2:21" x14ac:dyDescent="0.2">
      <c r="B20" s="240"/>
      <c r="D20" s="11" t="s">
        <v>88</v>
      </c>
      <c r="E20" s="13">
        <v>0</v>
      </c>
      <c r="F20" s="13">
        <v>410</v>
      </c>
      <c r="G20" s="13">
        <v>1388</v>
      </c>
      <c r="H20" s="13">
        <v>214</v>
      </c>
      <c r="I20" s="13">
        <v>4976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4">
        <f t="shared" si="1"/>
        <v>6988</v>
      </c>
      <c r="S20" t="s">
        <v>80</v>
      </c>
      <c r="T20" s="27"/>
    </row>
    <row r="21" spans="2:21" x14ac:dyDescent="0.2">
      <c r="B21" s="240"/>
      <c r="D21" s="11" t="s">
        <v>78</v>
      </c>
      <c r="E21" s="13">
        <v>0</v>
      </c>
      <c r="F21" s="13">
        <v>0</v>
      </c>
      <c r="G21" s="13">
        <v>1684</v>
      </c>
      <c r="H21" s="13">
        <v>2227</v>
      </c>
      <c r="I21" s="13">
        <v>155</v>
      </c>
      <c r="J21" s="13">
        <v>0</v>
      </c>
      <c r="K21" s="13">
        <v>650</v>
      </c>
      <c r="L21" s="13">
        <v>495</v>
      </c>
      <c r="M21" s="13">
        <v>0</v>
      </c>
      <c r="N21" s="13">
        <v>0</v>
      </c>
      <c r="O21" s="13">
        <v>1388</v>
      </c>
      <c r="P21" s="13">
        <v>27</v>
      </c>
      <c r="Q21" s="14">
        <f t="shared" si="1"/>
        <v>6626</v>
      </c>
    </row>
    <row r="22" spans="2:21" x14ac:dyDescent="0.2">
      <c r="B22" s="240"/>
      <c r="D22" s="11" t="s">
        <v>15</v>
      </c>
      <c r="E22" s="13">
        <v>861</v>
      </c>
      <c r="F22" s="13">
        <v>822</v>
      </c>
      <c r="G22" s="13">
        <v>818</v>
      </c>
      <c r="H22" s="13">
        <v>878</v>
      </c>
      <c r="I22" s="13">
        <v>884</v>
      </c>
      <c r="J22" s="13">
        <v>980</v>
      </c>
      <c r="K22" s="13">
        <v>1143</v>
      </c>
      <c r="L22" s="13">
        <v>1372</v>
      </c>
      <c r="M22" s="13">
        <v>980</v>
      </c>
      <c r="N22" s="13">
        <v>1007</v>
      </c>
      <c r="O22" s="13">
        <v>975</v>
      </c>
      <c r="P22" s="13">
        <v>946</v>
      </c>
      <c r="Q22" s="14">
        <f t="shared" si="1"/>
        <v>11666</v>
      </c>
    </row>
    <row r="23" spans="2:21" x14ac:dyDescent="0.2">
      <c r="B23" s="240"/>
      <c r="D23" s="11" t="s">
        <v>17</v>
      </c>
      <c r="E23" s="13">
        <v>1200</v>
      </c>
      <c r="F23" s="13">
        <v>3300</v>
      </c>
      <c r="G23" s="13">
        <v>1400</v>
      </c>
      <c r="H23" s="13">
        <v>1400</v>
      </c>
      <c r="I23" s="13">
        <v>1400</v>
      </c>
      <c r="J23" s="13">
        <v>1400</v>
      </c>
      <c r="K23" s="13">
        <v>1450</v>
      </c>
      <c r="L23" s="13">
        <v>1400</v>
      </c>
      <c r="M23" s="13">
        <v>1550</v>
      </c>
      <c r="N23" s="13">
        <v>2700</v>
      </c>
      <c r="O23" s="13">
        <v>1800</v>
      </c>
      <c r="P23" s="13">
        <v>1200</v>
      </c>
      <c r="Q23" s="14">
        <f>SUM(E23:P23)</f>
        <v>20200</v>
      </c>
    </row>
    <row r="24" spans="2:21" x14ac:dyDescent="0.2">
      <c r="B24" s="240"/>
      <c r="D24" s="11" t="s">
        <v>16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-55.64</v>
      </c>
      <c r="M24" s="13">
        <v>0</v>
      </c>
      <c r="N24" s="13">
        <v>0</v>
      </c>
      <c r="O24" s="13">
        <v>0</v>
      </c>
      <c r="P24" s="13">
        <v>0</v>
      </c>
      <c r="Q24" s="14">
        <f t="shared" si="1"/>
        <v>-55.64</v>
      </c>
    </row>
    <row r="25" spans="2:21" x14ac:dyDescent="0.2">
      <c r="B25" s="240"/>
      <c r="D25" s="11" t="s">
        <v>20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4">
        <f t="shared" si="1"/>
        <v>0</v>
      </c>
    </row>
    <row r="26" spans="2:21" x14ac:dyDescent="0.2">
      <c r="B26" s="240"/>
      <c r="D26" s="11" t="s">
        <v>83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4">
        <f t="shared" si="1"/>
        <v>0</v>
      </c>
    </row>
    <row r="27" spans="2:21" x14ac:dyDescent="0.2">
      <c r="B27" s="240"/>
      <c r="D27" s="11" t="s">
        <v>86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187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4">
        <f t="shared" si="1"/>
        <v>187</v>
      </c>
    </row>
    <row r="28" spans="2:21" x14ac:dyDescent="0.2">
      <c r="B28" s="240"/>
      <c r="D28" s="11" t="s">
        <v>38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166</v>
      </c>
      <c r="O28" s="13">
        <v>0</v>
      </c>
      <c r="P28" s="13">
        <v>0</v>
      </c>
      <c r="Q28" s="14">
        <f t="shared" si="1"/>
        <v>166</v>
      </c>
    </row>
    <row r="29" spans="2:21" x14ac:dyDescent="0.2">
      <c r="B29" s="240"/>
      <c r="D29" s="11" t="s">
        <v>85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200</v>
      </c>
      <c r="M29" s="13">
        <v>200</v>
      </c>
      <c r="N29" s="13">
        <v>0</v>
      </c>
      <c r="O29" s="13">
        <v>0</v>
      </c>
      <c r="P29" s="13">
        <v>0</v>
      </c>
      <c r="Q29" s="14">
        <f t="shared" si="1"/>
        <v>400</v>
      </c>
    </row>
    <row r="30" spans="2:21" x14ac:dyDescent="0.2">
      <c r="B30" s="240"/>
      <c r="D30" s="11" t="s">
        <v>24</v>
      </c>
      <c r="E30" s="13">
        <v>175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4">
        <f t="shared" si="1"/>
        <v>175</v>
      </c>
    </row>
    <row r="31" spans="2:21" x14ac:dyDescent="0.2">
      <c r="B31" s="240"/>
      <c r="D31" s="11" t="s">
        <v>22</v>
      </c>
      <c r="E31" s="13">
        <v>0</v>
      </c>
      <c r="F31" s="13">
        <v>0</v>
      </c>
      <c r="G31" s="13">
        <v>0</v>
      </c>
      <c r="H31" s="13">
        <v>0</v>
      </c>
      <c r="I31" s="13">
        <v>115</v>
      </c>
      <c r="J31" s="13" t="s">
        <v>89</v>
      </c>
      <c r="K31" s="13">
        <v>115</v>
      </c>
      <c r="L31" s="13">
        <v>115</v>
      </c>
      <c r="M31" s="13">
        <v>100</v>
      </c>
      <c r="N31" s="13">
        <v>0</v>
      </c>
      <c r="O31" s="13">
        <v>0</v>
      </c>
      <c r="P31" s="13">
        <v>0</v>
      </c>
      <c r="Q31" s="14">
        <f t="shared" si="1"/>
        <v>445</v>
      </c>
    </row>
    <row r="32" spans="2:21" x14ac:dyDescent="0.2">
      <c r="B32" s="240"/>
      <c r="D32" s="15" t="s">
        <v>14</v>
      </c>
      <c r="E32" s="13">
        <v>163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192</v>
      </c>
      <c r="M32" s="13">
        <v>0</v>
      </c>
      <c r="N32" s="13">
        <v>0</v>
      </c>
      <c r="O32" s="13">
        <v>0</v>
      </c>
      <c r="P32" s="13">
        <v>0</v>
      </c>
      <c r="Q32" s="17">
        <f t="shared" si="1"/>
        <v>355</v>
      </c>
    </row>
    <row r="33" spans="2:18" x14ac:dyDescent="0.2">
      <c r="B33" s="240"/>
      <c r="D33" s="15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7"/>
    </row>
    <row r="34" spans="2:18" x14ac:dyDescent="0.2">
      <c r="B34" s="240"/>
      <c r="D34" s="12" t="s">
        <v>95</v>
      </c>
      <c r="E34" s="13">
        <f t="shared" ref="E34:Q34" si="2">SUM(E14:E32)</f>
        <v>2650</v>
      </c>
      <c r="F34" s="13">
        <f t="shared" si="2"/>
        <v>5708</v>
      </c>
      <c r="G34" s="13">
        <f t="shared" si="2"/>
        <v>5443</v>
      </c>
      <c r="H34" s="13">
        <f t="shared" si="2"/>
        <v>10902</v>
      </c>
      <c r="I34" s="13">
        <f t="shared" si="2"/>
        <v>14411</v>
      </c>
      <c r="J34" s="13">
        <f t="shared" si="2"/>
        <v>10352</v>
      </c>
      <c r="K34" s="13">
        <f t="shared" si="2"/>
        <v>11007</v>
      </c>
      <c r="L34" s="13">
        <f t="shared" si="2"/>
        <v>6402.36</v>
      </c>
      <c r="M34" s="13">
        <f t="shared" si="2"/>
        <v>3124</v>
      </c>
      <c r="N34" s="13">
        <f t="shared" si="2"/>
        <v>3948</v>
      </c>
      <c r="O34" s="13">
        <f t="shared" si="2"/>
        <v>4450</v>
      </c>
      <c r="P34" s="13">
        <f t="shared" si="2"/>
        <v>2248</v>
      </c>
      <c r="Q34" s="13">
        <f t="shared" si="2"/>
        <v>80645.36</v>
      </c>
    </row>
    <row r="35" spans="2:18" x14ac:dyDescent="0.2">
      <c r="B35" s="240"/>
      <c r="D35" s="12" t="s">
        <v>107</v>
      </c>
      <c r="E35" s="13">
        <f>E34*0.06</f>
        <v>159</v>
      </c>
      <c r="F35" s="13">
        <f t="shared" ref="F35:P35" si="3">F34*0.06</f>
        <v>342.47999999999996</v>
      </c>
      <c r="G35" s="13">
        <f t="shared" si="3"/>
        <v>326.58</v>
      </c>
      <c r="H35" s="13">
        <f t="shared" si="3"/>
        <v>654.12</v>
      </c>
      <c r="I35" s="13">
        <f t="shared" si="3"/>
        <v>864.66</v>
      </c>
      <c r="J35" s="13">
        <f t="shared" si="3"/>
        <v>621.12</v>
      </c>
      <c r="K35" s="13">
        <f t="shared" si="3"/>
        <v>660.42</v>
      </c>
      <c r="L35" s="13">
        <f t="shared" si="3"/>
        <v>384.14159999999998</v>
      </c>
      <c r="M35" s="13">
        <f t="shared" si="3"/>
        <v>187.44</v>
      </c>
      <c r="N35" s="13">
        <f t="shared" si="3"/>
        <v>236.88</v>
      </c>
      <c r="O35" s="13">
        <f t="shared" si="3"/>
        <v>267</v>
      </c>
      <c r="P35" s="13">
        <f t="shared" si="3"/>
        <v>134.88</v>
      </c>
      <c r="Q35" s="13">
        <f>SUM(E35:P35)</f>
        <v>4838.7215999999999</v>
      </c>
    </row>
    <row r="36" spans="2:18" x14ac:dyDescent="0.2">
      <c r="B36" s="240"/>
      <c r="D36" s="12" t="s">
        <v>96</v>
      </c>
      <c r="E36" s="14">
        <f>E34+E35</f>
        <v>2809</v>
      </c>
      <c r="F36" s="14">
        <f t="shared" ref="F36:P36" si="4">F34+F35</f>
        <v>6050.48</v>
      </c>
      <c r="G36" s="14">
        <f t="shared" si="4"/>
        <v>5769.58</v>
      </c>
      <c r="H36" s="14">
        <f t="shared" si="4"/>
        <v>11556.12</v>
      </c>
      <c r="I36" s="14">
        <f t="shared" si="4"/>
        <v>15275.66</v>
      </c>
      <c r="J36" s="14">
        <f t="shared" si="4"/>
        <v>10973.12</v>
      </c>
      <c r="K36" s="14">
        <f t="shared" si="4"/>
        <v>11667.42</v>
      </c>
      <c r="L36" s="14">
        <f t="shared" si="4"/>
        <v>6786.5015999999996</v>
      </c>
      <c r="M36" s="14">
        <f t="shared" si="4"/>
        <v>3311.44</v>
      </c>
      <c r="N36" s="14">
        <f t="shared" si="4"/>
        <v>4184.88</v>
      </c>
      <c r="O36" s="14">
        <f t="shared" si="4"/>
        <v>4717</v>
      </c>
      <c r="P36" s="14">
        <f t="shared" si="4"/>
        <v>2382.88</v>
      </c>
      <c r="Q36" s="13">
        <f>SUM(Q34:Q35)</f>
        <v>85484.081600000005</v>
      </c>
    </row>
    <row r="37" spans="2:18" x14ac:dyDescent="0.2">
      <c r="B37" s="240"/>
      <c r="D37" s="12" t="s">
        <v>47</v>
      </c>
      <c r="E37" s="14">
        <f>E10-E36</f>
        <v>-2009</v>
      </c>
      <c r="F37" s="14">
        <f t="shared" ref="F37:P37" si="5">F10-F36</f>
        <v>20368.52</v>
      </c>
      <c r="G37" s="14">
        <f t="shared" si="5"/>
        <v>24111.42</v>
      </c>
      <c r="H37" s="14">
        <f t="shared" si="5"/>
        <v>595.8799999999992</v>
      </c>
      <c r="I37" s="14">
        <f t="shared" si="5"/>
        <v>-12890.66</v>
      </c>
      <c r="J37" s="14">
        <f t="shared" si="5"/>
        <v>-10883.12</v>
      </c>
      <c r="K37" s="14">
        <f t="shared" si="5"/>
        <v>-10787.42</v>
      </c>
      <c r="L37" s="14">
        <f t="shared" si="5"/>
        <v>-6253.5015999999996</v>
      </c>
      <c r="M37" s="14">
        <f t="shared" si="5"/>
        <v>-3277.44</v>
      </c>
      <c r="N37" s="14">
        <f t="shared" si="5"/>
        <v>-4184.88</v>
      </c>
      <c r="O37" s="14">
        <f t="shared" si="5"/>
        <v>-4717</v>
      </c>
      <c r="P37" s="14">
        <f t="shared" si="5"/>
        <v>-2382.88</v>
      </c>
      <c r="Q37" s="14">
        <f>SUM(E37:P37)</f>
        <v>-12310.081599999998</v>
      </c>
    </row>
    <row r="38" spans="2:18" x14ac:dyDescent="0.2">
      <c r="B38" s="241"/>
      <c r="D38" s="12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39"/>
    </row>
    <row r="39" spans="2:18" x14ac:dyDescent="0.2">
      <c r="B39" s="37"/>
      <c r="D39" s="14">
        <f>'2022'!P34</f>
        <v>27761.95</v>
      </c>
      <c r="E39" s="14">
        <f>D39+E37</f>
        <v>25752.95</v>
      </c>
      <c r="F39" s="14">
        <f t="shared" ref="F39:P39" si="6">E39+F37</f>
        <v>46121.47</v>
      </c>
      <c r="G39" s="14">
        <f t="shared" si="6"/>
        <v>70232.89</v>
      </c>
      <c r="H39" s="14">
        <f t="shared" si="6"/>
        <v>70828.77</v>
      </c>
      <c r="I39" s="14">
        <f t="shared" si="6"/>
        <v>57938.11</v>
      </c>
      <c r="J39" s="14">
        <f t="shared" si="6"/>
        <v>47054.99</v>
      </c>
      <c r="K39" s="14">
        <f t="shared" si="6"/>
        <v>36267.57</v>
      </c>
      <c r="L39" s="14">
        <f t="shared" si="6"/>
        <v>30014.0684</v>
      </c>
      <c r="M39" s="14">
        <f t="shared" si="6"/>
        <v>26736.628400000001</v>
      </c>
      <c r="N39" s="14">
        <f t="shared" si="6"/>
        <v>22551.7484</v>
      </c>
      <c r="O39" s="14">
        <f t="shared" si="6"/>
        <v>17834.7484</v>
      </c>
      <c r="P39" s="14">
        <f t="shared" si="6"/>
        <v>15451.868399999999</v>
      </c>
    </row>
    <row r="40" spans="2:18" x14ac:dyDescent="0.2">
      <c r="D40" s="3" t="s">
        <v>102</v>
      </c>
      <c r="E40" t="s">
        <v>91</v>
      </c>
      <c r="Q40" s="2">
        <f>Q36+Q7</f>
        <v>165751.0816</v>
      </c>
    </row>
    <row r="41" spans="2:18" x14ac:dyDescent="0.2">
      <c r="D41" s="3" t="s">
        <v>103</v>
      </c>
      <c r="Q41" s="2">
        <f>Q36+Q6</f>
        <v>167210.4816</v>
      </c>
    </row>
    <row r="42" spans="2:18" ht="16.5" customHeight="1" x14ac:dyDescent="0.2">
      <c r="D42" s="3" t="s">
        <v>104</v>
      </c>
      <c r="Q42" s="2">
        <f>Q5+Q36</f>
        <v>169399.5816</v>
      </c>
      <c r="R42" s="2"/>
    </row>
    <row r="43" spans="2:18" x14ac:dyDescent="0.2">
      <c r="B43" s="12" t="s">
        <v>47</v>
      </c>
    </row>
    <row r="44" spans="2:18" x14ac:dyDescent="0.2">
      <c r="B44" s="38"/>
      <c r="D44" s="3" t="s">
        <v>200</v>
      </c>
      <c r="E44">
        <f>'2023 actual'!C36</f>
        <v>-1071.4000000000001</v>
      </c>
    </row>
    <row r="45" spans="2:18" x14ac:dyDescent="0.2">
      <c r="B45" s="4"/>
      <c r="D45" s="3" t="s">
        <v>201</v>
      </c>
      <c r="E45" s="2">
        <f>E44-E37</f>
        <v>937.59999999999991</v>
      </c>
    </row>
    <row r="46" spans="2:18" x14ac:dyDescent="0.2">
      <c r="D46" s="39"/>
    </row>
    <row r="52" spans="2:3" x14ac:dyDescent="0.2">
      <c r="B52" s="40"/>
      <c r="C52" s="41"/>
    </row>
    <row r="66" spans="2:6" x14ac:dyDescent="0.2">
      <c r="F66" s="51"/>
    </row>
    <row r="72" spans="2:6" x14ac:dyDescent="0.2">
      <c r="D72" s="10"/>
      <c r="E72" s="10"/>
    </row>
    <row r="73" spans="2:6" x14ac:dyDescent="0.2">
      <c r="D73" s="41"/>
      <c r="E73" s="39"/>
    </row>
    <row r="74" spans="2:6" x14ac:dyDescent="0.2">
      <c r="D74" s="41"/>
      <c r="E74" s="39"/>
    </row>
    <row r="75" spans="2:6" x14ac:dyDescent="0.2">
      <c r="D75" s="41"/>
      <c r="E75" s="39"/>
    </row>
    <row r="76" spans="2:6" x14ac:dyDescent="0.2">
      <c r="D76" s="41"/>
      <c r="E76" s="39"/>
    </row>
    <row r="77" spans="2:6" x14ac:dyDescent="0.2">
      <c r="D77"/>
      <c r="E77" s="3"/>
    </row>
    <row r="78" spans="2:6" x14ac:dyDescent="0.2">
      <c r="B78"/>
      <c r="C78" s="38"/>
      <c r="D78" s="10"/>
      <c r="E78" s="10"/>
    </row>
    <row r="79" spans="2:6" x14ac:dyDescent="0.2">
      <c r="B79"/>
      <c r="C79" s="40"/>
      <c r="D79" s="41"/>
      <c r="E79" s="39"/>
    </row>
    <row r="80" spans="2:6" x14ac:dyDescent="0.2">
      <c r="B80"/>
      <c r="C80" s="40"/>
      <c r="D80" s="41"/>
      <c r="E80" s="39"/>
    </row>
    <row r="81" spans="2:5" x14ac:dyDescent="0.2">
      <c r="B81"/>
      <c r="C81" s="40"/>
      <c r="D81" s="41"/>
      <c r="E81" s="39"/>
    </row>
    <row r="82" spans="2:5" x14ac:dyDescent="0.2">
      <c r="B82"/>
      <c r="C82" s="40"/>
      <c r="D82" s="41"/>
      <c r="E82" s="39"/>
    </row>
    <row r="83" spans="2:5" x14ac:dyDescent="0.2">
      <c r="B83"/>
      <c r="C83" s="3"/>
    </row>
    <row r="84" spans="2:5" x14ac:dyDescent="0.2">
      <c r="B84"/>
      <c r="C84" s="38"/>
    </row>
    <row r="85" spans="2:5" x14ac:dyDescent="0.2">
      <c r="B85"/>
      <c r="C85" s="40"/>
    </row>
    <row r="86" spans="2:5" x14ac:dyDescent="0.2">
      <c r="B86"/>
      <c r="C86" s="40"/>
    </row>
    <row r="87" spans="2:5" x14ac:dyDescent="0.2">
      <c r="B87"/>
      <c r="C87" s="40"/>
    </row>
    <row r="88" spans="2:5" x14ac:dyDescent="0.2">
      <c r="B88"/>
      <c r="C88" s="40"/>
    </row>
  </sheetData>
  <mergeCells count="3">
    <mergeCell ref="D2:Q2"/>
    <mergeCell ref="B8:B9"/>
    <mergeCell ref="B14:B38"/>
  </mergeCells>
  <pageMargins left="1" right="1" top="1" bottom="1" header="0.5" footer="0.5"/>
  <pageSetup paperSize="5" scale="60" orientation="landscape" horizontalDpi="1200" verticalDpi="120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D6ECB-E426-4B4C-9C25-6A2379346093}">
  <dimension ref="A1:N39"/>
  <sheetViews>
    <sheetView workbookViewId="0">
      <selection activeCell="P17" sqref="P17"/>
    </sheetView>
  </sheetViews>
  <sheetFormatPr baseColWidth="10" defaultColWidth="8.83203125" defaultRowHeight="13" x14ac:dyDescent="0.15"/>
  <cols>
    <col min="1" max="5" width="9" style="115"/>
    <col min="6" max="6" width="12" style="115" customWidth="1"/>
    <col min="7" max="7" width="15.33203125" style="115" customWidth="1"/>
    <col min="8" max="8" width="7.6640625" style="115" customWidth="1"/>
    <col min="9" max="9" width="10.33203125" style="115" customWidth="1"/>
    <col min="10" max="10" width="13.33203125" style="115" customWidth="1"/>
    <col min="11" max="261" width="9" style="115"/>
    <col min="262" max="262" width="12" style="115" customWidth="1"/>
    <col min="263" max="263" width="15.33203125" style="115" customWidth="1"/>
    <col min="264" max="264" width="7.6640625" style="115" customWidth="1"/>
    <col min="265" max="265" width="10.33203125" style="115" customWidth="1"/>
    <col min="266" max="266" width="13.33203125" style="115" customWidth="1"/>
    <col min="267" max="517" width="9" style="115"/>
    <col min="518" max="518" width="12" style="115" customWidth="1"/>
    <col min="519" max="519" width="15.33203125" style="115" customWidth="1"/>
    <col min="520" max="520" width="7.6640625" style="115" customWidth="1"/>
    <col min="521" max="521" width="10.33203125" style="115" customWidth="1"/>
    <col min="522" max="522" width="13.33203125" style="115" customWidth="1"/>
    <col min="523" max="773" width="9" style="115"/>
    <col min="774" max="774" width="12" style="115" customWidth="1"/>
    <col min="775" max="775" width="15.33203125" style="115" customWidth="1"/>
    <col min="776" max="776" width="7.6640625" style="115" customWidth="1"/>
    <col min="777" max="777" width="10.33203125" style="115" customWidth="1"/>
    <col min="778" max="778" width="13.33203125" style="115" customWidth="1"/>
    <col min="779" max="1029" width="9" style="115"/>
    <col min="1030" max="1030" width="12" style="115" customWidth="1"/>
    <col min="1031" max="1031" width="15.33203125" style="115" customWidth="1"/>
    <col min="1032" max="1032" width="7.6640625" style="115" customWidth="1"/>
    <col min="1033" max="1033" width="10.33203125" style="115" customWidth="1"/>
    <col min="1034" max="1034" width="13.33203125" style="115" customWidth="1"/>
    <col min="1035" max="1285" width="9" style="115"/>
    <col min="1286" max="1286" width="12" style="115" customWidth="1"/>
    <col min="1287" max="1287" width="15.33203125" style="115" customWidth="1"/>
    <col min="1288" max="1288" width="7.6640625" style="115" customWidth="1"/>
    <col min="1289" max="1289" width="10.33203125" style="115" customWidth="1"/>
    <col min="1290" max="1290" width="13.33203125" style="115" customWidth="1"/>
    <col min="1291" max="1541" width="9" style="115"/>
    <col min="1542" max="1542" width="12" style="115" customWidth="1"/>
    <col min="1543" max="1543" width="15.33203125" style="115" customWidth="1"/>
    <col min="1544" max="1544" width="7.6640625" style="115" customWidth="1"/>
    <col min="1545" max="1545" width="10.33203125" style="115" customWidth="1"/>
    <col min="1546" max="1546" width="13.33203125" style="115" customWidth="1"/>
    <col min="1547" max="1797" width="9" style="115"/>
    <col min="1798" max="1798" width="12" style="115" customWidth="1"/>
    <col min="1799" max="1799" width="15.33203125" style="115" customWidth="1"/>
    <col min="1800" max="1800" width="7.6640625" style="115" customWidth="1"/>
    <col min="1801" max="1801" width="10.33203125" style="115" customWidth="1"/>
    <col min="1802" max="1802" width="13.33203125" style="115" customWidth="1"/>
    <col min="1803" max="2053" width="9" style="115"/>
    <col min="2054" max="2054" width="12" style="115" customWidth="1"/>
    <col min="2055" max="2055" width="15.33203125" style="115" customWidth="1"/>
    <col min="2056" max="2056" width="7.6640625" style="115" customWidth="1"/>
    <col min="2057" max="2057" width="10.33203125" style="115" customWidth="1"/>
    <col min="2058" max="2058" width="13.33203125" style="115" customWidth="1"/>
    <col min="2059" max="2309" width="9" style="115"/>
    <col min="2310" max="2310" width="12" style="115" customWidth="1"/>
    <col min="2311" max="2311" width="15.33203125" style="115" customWidth="1"/>
    <col min="2312" max="2312" width="7.6640625" style="115" customWidth="1"/>
    <col min="2313" max="2313" width="10.33203125" style="115" customWidth="1"/>
    <col min="2314" max="2314" width="13.33203125" style="115" customWidth="1"/>
    <col min="2315" max="2565" width="9" style="115"/>
    <col min="2566" max="2566" width="12" style="115" customWidth="1"/>
    <col min="2567" max="2567" width="15.33203125" style="115" customWidth="1"/>
    <col min="2568" max="2568" width="7.6640625" style="115" customWidth="1"/>
    <col min="2569" max="2569" width="10.33203125" style="115" customWidth="1"/>
    <col min="2570" max="2570" width="13.33203125" style="115" customWidth="1"/>
    <col min="2571" max="2821" width="9" style="115"/>
    <col min="2822" max="2822" width="12" style="115" customWidth="1"/>
    <col min="2823" max="2823" width="15.33203125" style="115" customWidth="1"/>
    <col min="2824" max="2824" width="7.6640625" style="115" customWidth="1"/>
    <col min="2825" max="2825" width="10.33203125" style="115" customWidth="1"/>
    <col min="2826" max="2826" width="13.33203125" style="115" customWidth="1"/>
    <col min="2827" max="3077" width="9" style="115"/>
    <col min="3078" max="3078" width="12" style="115" customWidth="1"/>
    <col min="3079" max="3079" width="15.33203125" style="115" customWidth="1"/>
    <col min="3080" max="3080" width="7.6640625" style="115" customWidth="1"/>
    <col min="3081" max="3081" width="10.33203125" style="115" customWidth="1"/>
    <col min="3082" max="3082" width="13.33203125" style="115" customWidth="1"/>
    <col min="3083" max="3333" width="9" style="115"/>
    <col min="3334" max="3334" width="12" style="115" customWidth="1"/>
    <col min="3335" max="3335" width="15.33203125" style="115" customWidth="1"/>
    <col min="3336" max="3336" width="7.6640625" style="115" customWidth="1"/>
    <col min="3337" max="3337" width="10.33203125" style="115" customWidth="1"/>
    <col min="3338" max="3338" width="13.33203125" style="115" customWidth="1"/>
    <col min="3339" max="3589" width="9" style="115"/>
    <col min="3590" max="3590" width="12" style="115" customWidth="1"/>
    <col min="3591" max="3591" width="15.33203125" style="115" customWidth="1"/>
    <col min="3592" max="3592" width="7.6640625" style="115" customWidth="1"/>
    <col min="3593" max="3593" width="10.33203125" style="115" customWidth="1"/>
    <col min="3594" max="3594" width="13.33203125" style="115" customWidth="1"/>
    <col min="3595" max="3845" width="9" style="115"/>
    <col min="3846" max="3846" width="12" style="115" customWidth="1"/>
    <col min="3847" max="3847" width="15.33203125" style="115" customWidth="1"/>
    <col min="3848" max="3848" width="7.6640625" style="115" customWidth="1"/>
    <col min="3849" max="3849" width="10.33203125" style="115" customWidth="1"/>
    <col min="3850" max="3850" width="13.33203125" style="115" customWidth="1"/>
    <col min="3851" max="4101" width="9" style="115"/>
    <col min="4102" max="4102" width="12" style="115" customWidth="1"/>
    <col min="4103" max="4103" width="15.33203125" style="115" customWidth="1"/>
    <col min="4104" max="4104" width="7.6640625" style="115" customWidth="1"/>
    <col min="4105" max="4105" width="10.33203125" style="115" customWidth="1"/>
    <col min="4106" max="4106" width="13.33203125" style="115" customWidth="1"/>
    <col min="4107" max="4357" width="9" style="115"/>
    <col min="4358" max="4358" width="12" style="115" customWidth="1"/>
    <col min="4359" max="4359" width="15.33203125" style="115" customWidth="1"/>
    <col min="4360" max="4360" width="7.6640625" style="115" customWidth="1"/>
    <col min="4361" max="4361" width="10.33203125" style="115" customWidth="1"/>
    <col min="4362" max="4362" width="13.33203125" style="115" customWidth="1"/>
    <col min="4363" max="4613" width="9" style="115"/>
    <col min="4614" max="4614" width="12" style="115" customWidth="1"/>
    <col min="4615" max="4615" width="15.33203125" style="115" customWidth="1"/>
    <col min="4616" max="4616" width="7.6640625" style="115" customWidth="1"/>
    <col min="4617" max="4617" width="10.33203125" style="115" customWidth="1"/>
    <col min="4618" max="4618" width="13.33203125" style="115" customWidth="1"/>
    <col min="4619" max="4869" width="9" style="115"/>
    <col min="4870" max="4870" width="12" style="115" customWidth="1"/>
    <col min="4871" max="4871" width="15.33203125" style="115" customWidth="1"/>
    <col min="4872" max="4872" width="7.6640625" style="115" customWidth="1"/>
    <col min="4873" max="4873" width="10.33203125" style="115" customWidth="1"/>
    <col min="4874" max="4874" width="13.33203125" style="115" customWidth="1"/>
    <col min="4875" max="5125" width="9" style="115"/>
    <col min="5126" max="5126" width="12" style="115" customWidth="1"/>
    <col min="5127" max="5127" width="15.33203125" style="115" customWidth="1"/>
    <col min="5128" max="5128" width="7.6640625" style="115" customWidth="1"/>
    <col min="5129" max="5129" width="10.33203125" style="115" customWidth="1"/>
    <col min="5130" max="5130" width="13.33203125" style="115" customWidth="1"/>
    <col min="5131" max="5381" width="9" style="115"/>
    <col min="5382" max="5382" width="12" style="115" customWidth="1"/>
    <col min="5383" max="5383" width="15.33203125" style="115" customWidth="1"/>
    <col min="5384" max="5384" width="7.6640625" style="115" customWidth="1"/>
    <col min="5385" max="5385" width="10.33203125" style="115" customWidth="1"/>
    <col min="5386" max="5386" width="13.33203125" style="115" customWidth="1"/>
    <col min="5387" max="5637" width="9" style="115"/>
    <col min="5638" max="5638" width="12" style="115" customWidth="1"/>
    <col min="5639" max="5639" width="15.33203125" style="115" customWidth="1"/>
    <col min="5640" max="5640" width="7.6640625" style="115" customWidth="1"/>
    <col min="5641" max="5641" width="10.33203125" style="115" customWidth="1"/>
    <col min="5642" max="5642" width="13.33203125" style="115" customWidth="1"/>
    <col min="5643" max="5893" width="9" style="115"/>
    <col min="5894" max="5894" width="12" style="115" customWidth="1"/>
    <col min="5895" max="5895" width="15.33203125" style="115" customWidth="1"/>
    <col min="5896" max="5896" width="7.6640625" style="115" customWidth="1"/>
    <col min="5897" max="5897" width="10.33203125" style="115" customWidth="1"/>
    <col min="5898" max="5898" width="13.33203125" style="115" customWidth="1"/>
    <col min="5899" max="6149" width="9" style="115"/>
    <col min="6150" max="6150" width="12" style="115" customWidth="1"/>
    <col min="6151" max="6151" width="15.33203125" style="115" customWidth="1"/>
    <col min="6152" max="6152" width="7.6640625" style="115" customWidth="1"/>
    <col min="6153" max="6153" width="10.33203125" style="115" customWidth="1"/>
    <col min="6154" max="6154" width="13.33203125" style="115" customWidth="1"/>
    <col min="6155" max="6405" width="9" style="115"/>
    <col min="6406" max="6406" width="12" style="115" customWidth="1"/>
    <col min="6407" max="6407" width="15.33203125" style="115" customWidth="1"/>
    <col min="6408" max="6408" width="7.6640625" style="115" customWidth="1"/>
    <col min="6409" max="6409" width="10.33203125" style="115" customWidth="1"/>
    <col min="6410" max="6410" width="13.33203125" style="115" customWidth="1"/>
    <col min="6411" max="6661" width="9" style="115"/>
    <col min="6662" max="6662" width="12" style="115" customWidth="1"/>
    <col min="6663" max="6663" width="15.33203125" style="115" customWidth="1"/>
    <col min="6664" max="6664" width="7.6640625" style="115" customWidth="1"/>
    <col min="6665" max="6665" width="10.33203125" style="115" customWidth="1"/>
    <col min="6666" max="6666" width="13.33203125" style="115" customWidth="1"/>
    <col min="6667" max="6917" width="9" style="115"/>
    <col min="6918" max="6918" width="12" style="115" customWidth="1"/>
    <col min="6919" max="6919" width="15.33203125" style="115" customWidth="1"/>
    <col min="6920" max="6920" width="7.6640625" style="115" customWidth="1"/>
    <col min="6921" max="6921" width="10.33203125" style="115" customWidth="1"/>
    <col min="6922" max="6922" width="13.33203125" style="115" customWidth="1"/>
    <col min="6923" max="7173" width="9" style="115"/>
    <col min="7174" max="7174" width="12" style="115" customWidth="1"/>
    <col min="7175" max="7175" width="15.33203125" style="115" customWidth="1"/>
    <col min="7176" max="7176" width="7.6640625" style="115" customWidth="1"/>
    <col min="7177" max="7177" width="10.33203125" style="115" customWidth="1"/>
    <col min="7178" max="7178" width="13.33203125" style="115" customWidth="1"/>
    <col min="7179" max="7429" width="9" style="115"/>
    <col min="7430" max="7430" width="12" style="115" customWidth="1"/>
    <col min="7431" max="7431" width="15.33203125" style="115" customWidth="1"/>
    <col min="7432" max="7432" width="7.6640625" style="115" customWidth="1"/>
    <col min="7433" max="7433" width="10.33203125" style="115" customWidth="1"/>
    <col min="7434" max="7434" width="13.33203125" style="115" customWidth="1"/>
    <col min="7435" max="7685" width="9" style="115"/>
    <col min="7686" max="7686" width="12" style="115" customWidth="1"/>
    <col min="7687" max="7687" width="15.33203125" style="115" customWidth="1"/>
    <col min="7688" max="7688" width="7.6640625" style="115" customWidth="1"/>
    <col min="7689" max="7689" width="10.33203125" style="115" customWidth="1"/>
    <col min="7690" max="7690" width="13.33203125" style="115" customWidth="1"/>
    <col min="7691" max="7941" width="9" style="115"/>
    <col min="7942" max="7942" width="12" style="115" customWidth="1"/>
    <col min="7943" max="7943" width="15.33203125" style="115" customWidth="1"/>
    <col min="7944" max="7944" width="7.6640625" style="115" customWidth="1"/>
    <col min="7945" max="7945" width="10.33203125" style="115" customWidth="1"/>
    <col min="7946" max="7946" width="13.33203125" style="115" customWidth="1"/>
    <col min="7947" max="8197" width="9" style="115"/>
    <col min="8198" max="8198" width="12" style="115" customWidth="1"/>
    <col min="8199" max="8199" width="15.33203125" style="115" customWidth="1"/>
    <col min="8200" max="8200" width="7.6640625" style="115" customWidth="1"/>
    <col min="8201" max="8201" width="10.33203125" style="115" customWidth="1"/>
    <col min="8202" max="8202" width="13.33203125" style="115" customWidth="1"/>
    <col min="8203" max="8453" width="9" style="115"/>
    <col min="8454" max="8454" width="12" style="115" customWidth="1"/>
    <col min="8455" max="8455" width="15.33203125" style="115" customWidth="1"/>
    <col min="8456" max="8456" width="7.6640625" style="115" customWidth="1"/>
    <col min="8457" max="8457" width="10.33203125" style="115" customWidth="1"/>
    <col min="8458" max="8458" width="13.33203125" style="115" customWidth="1"/>
    <col min="8459" max="8709" width="9" style="115"/>
    <col min="8710" max="8710" width="12" style="115" customWidth="1"/>
    <col min="8711" max="8711" width="15.33203125" style="115" customWidth="1"/>
    <col min="8712" max="8712" width="7.6640625" style="115" customWidth="1"/>
    <col min="8713" max="8713" width="10.33203125" style="115" customWidth="1"/>
    <col min="8714" max="8714" width="13.33203125" style="115" customWidth="1"/>
    <col min="8715" max="8965" width="9" style="115"/>
    <col min="8966" max="8966" width="12" style="115" customWidth="1"/>
    <col min="8967" max="8967" width="15.33203125" style="115" customWidth="1"/>
    <col min="8968" max="8968" width="7.6640625" style="115" customWidth="1"/>
    <col min="8969" max="8969" width="10.33203125" style="115" customWidth="1"/>
    <col min="8970" max="8970" width="13.33203125" style="115" customWidth="1"/>
    <col min="8971" max="9221" width="9" style="115"/>
    <col min="9222" max="9222" width="12" style="115" customWidth="1"/>
    <col min="9223" max="9223" width="15.33203125" style="115" customWidth="1"/>
    <col min="9224" max="9224" width="7.6640625" style="115" customWidth="1"/>
    <col min="9225" max="9225" width="10.33203125" style="115" customWidth="1"/>
    <col min="9226" max="9226" width="13.33203125" style="115" customWidth="1"/>
    <col min="9227" max="9477" width="9" style="115"/>
    <col min="9478" max="9478" width="12" style="115" customWidth="1"/>
    <col min="9479" max="9479" width="15.33203125" style="115" customWidth="1"/>
    <col min="9480" max="9480" width="7.6640625" style="115" customWidth="1"/>
    <col min="9481" max="9481" width="10.33203125" style="115" customWidth="1"/>
    <col min="9482" max="9482" width="13.33203125" style="115" customWidth="1"/>
    <col min="9483" max="9733" width="9" style="115"/>
    <col min="9734" max="9734" width="12" style="115" customWidth="1"/>
    <col min="9735" max="9735" width="15.33203125" style="115" customWidth="1"/>
    <col min="9736" max="9736" width="7.6640625" style="115" customWidth="1"/>
    <col min="9737" max="9737" width="10.33203125" style="115" customWidth="1"/>
    <col min="9738" max="9738" width="13.33203125" style="115" customWidth="1"/>
    <col min="9739" max="9989" width="9" style="115"/>
    <col min="9990" max="9990" width="12" style="115" customWidth="1"/>
    <col min="9991" max="9991" width="15.33203125" style="115" customWidth="1"/>
    <col min="9992" max="9992" width="7.6640625" style="115" customWidth="1"/>
    <col min="9993" max="9993" width="10.33203125" style="115" customWidth="1"/>
    <col min="9994" max="9994" width="13.33203125" style="115" customWidth="1"/>
    <col min="9995" max="10245" width="9" style="115"/>
    <col min="10246" max="10246" width="12" style="115" customWidth="1"/>
    <col min="10247" max="10247" width="15.33203125" style="115" customWidth="1"/>
    <col min="10248" max="10248" width="7.6640625" style="115" customWidth="1"/>
    <col min="10249" max="10249" width="10.33203125" style="115" customWidth="1"/>
    <col min="10250" max="10250" width="13.33203125" style="115" customWidth="1"/>
    <col min="10251" max="10501" width="9" style="115"/>
    <col min="10502" max="10502" width="12" style="115" customWidth="1"/>
    <col min="10503" max="10503" width="15.33203125" style="115" customWidth="1"/>
    <col min="10504" max="10504" width="7.6640625" style="115" customWidth="1"/>
    <col min="10505" max="10505" width="10.33203125" style="115" customWidth="1"/>
    <col min="10506" max="10506" width="13.33203125" style="115" customWidth="1"/>
    <col min="10507" max="10757" width="9" style="115"/>
    <col min="10758" max="10758" width="12" style="115" customWidth="1"/>
    <col min="10759" max="10759" width="15.33203125" style="115" customWidth="1"/>
    <col min="10760" max="10760" width="7.6640625" style="115" customWidth="1"/>
    <col min="10761" max="10761" width="10.33203125" style="115" customWidth="1"/>
    <col min="10762" max="10762" width="13.33203125" style="115" customWidth="1"/>
    <col min="10763" max="11013" width="9" style="115"/>
    <col min="11014" max="11014" width="12" style="115" customWidth="1"/>
    <col min="11015" max="11015" width="15.33203125" style="115" customWidth="1"/>
    <col min="11016" max="11016" width="7.6640625" style="115" customWidth="1"/>
    <col min="11017" max="11017" width="10.33203125" style="115" customWidth="1"/>
    <col min="11018" max="11018" width="13.33203125" style="115" customWidth="1"/>
    <col min="11019" max="11269" width="9" style="115"/>
    <col min="11270" max="11270" width="12" style="115" customWidth="1"/>
    <col min="11271" max="11271" width="15.33203125" style="115" customWidth="1"/>
    <col min="11272" max="11272" width="7.6640625" style="115" customWidth="1"/>
    <col min="11273" max="11273" width="10.33203125" style="115" customWidth="1"/>
    <col min="11274" max="11274" width="13.33203125" style="115" customWidth="1"/>
    <col min="11275" max="11525" width="9" style="115"/>
    <col min="11526" max="11526" width="12" style="115" customWidth="1"/>
    <col min="11527" max="11527" width="15.33203125" style="115" customWidth="1"/>
    <col min="11528" max="11528" width="7.6640625" style="115" customWidth="1"/>
    <col min="11529" max="11529" width="10.33203125" style="115" customWidth="1"/>
    <col min="11530" max="11530" width="13.33203125" style="115" customWidth="1"/>
    <col min="11531" max="11781" width="9" style="115"/>
    <col min="11782" max="11782" width="12" style="115" customWidth="1"/>
    <col min="11783" max="11783" width="15.33203125" style="115" customWidth="1"/>
    <col min="11784" max="11784" width="7.6640625" style="115" customWidth="1"/>
    <col min="11785" max="11785" width="10.33203125" style="115" customWidth="1"/>
    <col min="11786" max="11786" width="13.33203125" style="115" customWidth="1"/>
    <col min="11787" max="12037" width="9" style="115"/>
    <col min="12038" max="12038" width="12" style="115" customWidth="1"/>
    <col min="12039" max="12039" width="15.33203125" style="115" customWidth="1"/>
    <col min="12040" max="12040" width="7.6640625" style="115" customWidth="1"/>
    <col min="12041" max="12041" width="10.33203125" style="115" customWidth="1"/>
    <col min="12042" max="12042" width="13.33203125" style="115" customWidth="1"/>
    <col min="12043" max="12293" width="9" style="115"/>
    <col min="12294" max="12294" width="12" style="115" customWidth="1"/>
    <col min="12295" max="12295" width="15.33203125" style="115" customWidth="1"/>
    <col min="12296" max="12296" width="7.6640625" style="115" customWidth="1"/>
    <col min="12297" max="12297" width="10.33203125" style="115" customWidth="1"/>
    <col min="12298" max="12298" width="13.33203125" style="115" customWidth="1"/>
    <col min="12299" max="12549" width="9" style="115"/>
    <col min="12550" max="12550" width="12" style="115" customWidth="1"/>
    <col min="12551" max="12551" width="15.33203125" style="115" customWidth="1"/>
    <col min="12552" max="12552" width="7.6640625" style="115" customWidth="1"/>
    <col min="12553" max="12553" width="10.33203125" style="115" customWidth="1"/>
    <col min="12554" max="12554" width="13.33203125" style="115" customWidth="1"/>
    <col min="12555" max="12805" width="9" style="115"/>
    <col min="12806" max="12806" width="12" style="115" customWidth="1"/>
    <col min="12807" max="12807" width="15.33203125" style="115" customWidth="1"/>
    <col min="12808" max="12808" width="7.6640625" style="115" customWidth="1"/>
    <col min="12809" max="12809" width="10.33203125" style="115" customWidth="1"/>
    <col min="12810" max="12810" width="13.33203125" style="115" customWidth="1"/>
    <col min="12811" max="13061" width="9" style="115"/>
    <col min="13062" max="13062" width="12" style="115" customWidth="1"/>
    <col min="13063" max="13063" width="15.33203125" style="115" customWidth="1"/>
    <col min="13064" max="13064" width="7.6640625" style="115" customWidth="1"/>
    <col min="13065" max="13065" width="10.33203125" style="115" customWidth="1"/>
    <col min="13066" max="13066" width="13.33203125" style="115" customWidth="1"/>
    <col min="13067" max="13317" width="9" style="115"/>
    <col min="13318" max="13318" width="12" style="115" customWidth="1"/>
    <col min="13319" max="13319" width="15.33203125" style="115" customWidth="1"/>
    <col min="13320" max="13320" width="7.6640625" style="115" customWidth="1"/>
    <col min="13321" max="13321" width="10.33203125" style="115" customWidth="1"/>
    <col min="13322" max="13322" width="13.33203125" style="115" customWidth="1"/>
    <col min="13323" max="13573" width="9" style="115"/>
    <col min="13574" max="13574" width="12" style="115" customWidth="1"/>
    <col min="13575" max="13575" width="15.33203125" style="115" customWidth="1"/>
    <col min="13576" max="13576" width="7.6640625" style="115" customWidth="1"/>
    <col min="13577" max="13577" width="10.33203125" style="115" customWidth="1"/>
    <col min="13578" max="13578" width="13.33203125" style="115" customWidth="1"/>
    <col min="13579" max="13829" width="9" style="115"/>
    <col min="13830" max="13830" width="12" style="115" customWidth="1"/>
    <col min="13831" max="13831" width="15.33203125" style="115" customWidth="1"/>
    <col min="13832" max="13832" width="7.6640625" style="115" customWidth="1"/>
    <col min="13833" max="13833" width="10.33203125" style="115" customWidth="1"/>
    <col min="13834" max="13834" width="13.33203125" style="115" customWidth="1"/>
    <col min="13835" max="14085" width="9" style="115"/>
    <col min="14086" max="14086" width="12" style="115" customWidth="1"/>
    <col min="14087" max="14087" width="15.33203125" style="115" customWidth="1"/>
    <col min="14088" max="14088" width="7.6640625" style="115" customWidth="1"/>
    <col min="14089" max="14089" width="10.33203125" style="115" customWidth="1"/>
    <col min="14090" max="14090" width="13.33203125" style="115" customWidth="1"/>
    <col min="14091" max="14341" width="9" style="115"/>
    <col min="14342" max="14342" width="12" style="115" customWidth="1"/>
    <col min="14343" max="14343" width="15.33203125" style="115" customWidth="1"/>
    <col min="14344" max="14344" width="7.6640625" style="115" customWidth="1"/>
    <col min="14345" max="14345" width="10.33203125" style="115" customWidth="1"/>
    <col min="14346" max="14346" width="13.33203125" style="115" customWidth="1"/>
    <col min="14347" max="14597" width="9" style="115"/>
    <col min="14598" max="14598" width="12" style="115" customWidth="1"/>
    <col min="14599" max="14599" width="15.33203125" style="115" customWidth="1"/>
    <col min="14600" max="14600" width="7.6640625" style="115" customWidth="1"/>
    <col min="14601" max="14601" width="10.33203125" style="115" customWidth="1"/>
    <col min="14602" max="14602" width="13.33203125" style="115" customWidth="1"/>
    <col min="14603" max="14853" width="9" style="115"/>
    <col min="14854" max="14854" width="12" style="115" customWidth="1"/>
    <col min="14855" max="14855" width="15.33203125" style="115" customWidth="1"/>
    <col min="14856" max="14856" width="7.6640625" style="115" customWidth="1"/>
    <col min="14857" max="14857" width="10.33203125" style="115" customWidth="1"/>
    <col min="14858" max="14858" width="13.33203125" style="115" customWidth="1"/>
    <col min="14859" max="15109" width="9" style="115"/>
    <col min="15110" max="15110" width="12" style="115" customWidth="1"/>
    <col min="15111" max="15111" width="15.33203125" style="115" customWidth="1"/>
    <col min="15112" max="15112" width="7.6640625" style="115" customWidth="1"/>
    <col min="15113" max="15113" width="10.33203125" style="115" customWidth="1"/>
    <col min="15114" max="15114" width="13.33203125" style="115" customWidth="1"/>
    <col min="15115" max="15365" width="9" style="115"/>
    <col min="15366" max="15366" width="12" style="115" customWidth="1"/>
    <col min="15367" max="15367" width="15.33203125" style="115" customWidth="1"/>
    <col min="15368" max="15368" width="7.6640625" style="115" customWidth="1"/>
    <col min="15369" max="15369" width="10.33203125" style="115" customWidth="1"/>
    <col min="15370" max="15370" width="13.33203125" style="115" customWidth="1"/>
    <col min="15371" max="15621" width="9" style="115"/>
    <col min="15622" max="15622" width="12" style="115" customWidth="1"/>
    <col min="15623" max="15623" width="15.33203125" style="115" customWidth="1"/>
    <col min="15624" max="15624" width="7.6640625" style="115" customWidth="1"/>
    <col min="15625" max="15625" width="10.33203125" style="115" customWidth="1"/>
    <col min="15626" max="15626" width="13.33203125" style="115" customWidth="1"/>
    <col min="15627" max="15877" width="9" style="115"/>
    <col min="15878" max="15878" width="12" style="115" customWidth="1"/>
    <col min="15879" max="15879" width="15.33203125" style="115" customWidth="1"/>
    <col min="15880" max="15880" width="7.6640625" style="115" customWidth="1"/>
    <col min="15881" max="15881" width="10.33203125" style="115" customWidth="1"/>
    <col min="15882" max="15882" width="13.33203125" style="115" customWidth="1"/>
    <col min="15883" max="16133" width="9" style="115"/>
    <col min="16134" max="16134" width="12" style="115" customWidth="1"/>
    <col min="16135" max="16135" width="15.33203125" style="115" customWidth="1"/>
    <col min="16136" max="16136" width="7.6640625" style="115" customWidth="1"/>
    <col min="16137" max="16137" width="10.33203125" style="115" customWidth="1"/>
    <col min="16138" max="16138" width="13.33203125" style="115" customWidth="1"/>
    <col min="16139" max="16384" width="9" style="115"/>
  </cols>
  <sheetData>
    <row r="1" spans="1:14" x14ac:dyDescent="0.15">
      <c r="A1" s="115" t="s">
        <v>286</v>
      </c>
      <c r="B1" s="115" t="s">
        <v>231</v>
      </c>
      <c r="C1" s="115" t="s">
        <v>232</v>
      </c>
      <c r="D1" s="115" t="s">
        <v>233</v>
      </c>
      <c r="E1" s="115" t="s">
        <v>234</v>
      </c>
      <c r="F1" s="115" t="s">
        <v>235</v>
      </c>
      <c r="G1" s="115" t="s">
        <v>236</v>
      </c>
      <c r="H1" s="115" t="s">
        <v>237</v>
      </c>
      <c r="I1" s="115" t="s">
        <v>238</v>
      </c>
      <c r="J1" s="115" t="s">
        <v>239</v>
      </c>
      <c r="K1" s="115" t="s">
        <v>240</v>
      </c>
    </row>
    <row r="2" spans="1:14" x14ac:dyDescent="0.15">
      <c r="B2" s="123">
        <v>43681</v>
      </c>
      <c r="C2" s="123"/>
      <c r="G2" s="115" t="s">
        <v>246</v>
      </c>
      <c r="I2" s="121">
        <v>1850.55</v>
      </c>
    </row>
    <row r="3" spans="1:14" x14ac:dyDescent="0.15">
      <c r="A3" s="122">
        <v>43645</v>
      </c>
      <c r="B3" s="123">
        <v>43655</v>
      </c>
      <c r="C3" s="123">
        <v>43659</v>
      </c>
      <c r="G3" s="115" t="s">
        <v>246</v>
      </c>
      <c r="I3" s="124">
        <v>3701.11</v>
      </c>
    </row>
    <row r="4" spans="1:14" x14ac:dyDescent="0.15">
      <c r="A4" s="122"/>
      <c r="B4" s="123"/>
      <c r="C4" s="123">
        <v>43648</v>
      </c>
      <c r="G4" s="115" t="s">
        <v>246</v>
      </c>
      <c r="I4" s="124">
        <v>397.18</v>
      </c>
    </row>
    <row r="5" spans="1:14" x14ac:dyDescent="0.15">
      <c r="B5" s="115" t="s">
        <v>241</v>
      </c>
      <c r="C5" s="115" t="s">
        <v>242</v>
      </c>
      <c r="D5" s="115" t="s">
        <v>243</v>
      </c>
      <c r="E5" s="115" t="s">
        <v>244</v>
      </c>
      <c r="F5" s="115" t="s">
        <v>245</v>
      </c>
      <c r="G5" s="115" t="s">
        <v>246</v>
      </c>
      <c r="H5" s="115" t="s">
        <v>247</v>
      </c>
      <c r="I5" s="117">
        <v>7402.2</v>
      </c>
      <c r="J5" s="115" t="s">
        <v>248</v>
      </c>
      <c r="K5" s="115" t="s">
        <v>249</v>
      </c>
    </row>
    <row r="6" spans="1:14" x14ac:dyDescent="0.15">
      <c r="B6" s="115" t="s">
        <v>250</v>
      </c>
      <c r="C6" s="115" t="s">
        <v>251</v>
      </c>
      <c r="D6" s="115" t="s">
        <v>243</v>
      </c>
      <c r="E6" s="115" t="s">
        <v>244</v>
      </c>
      <c r="F6" s="115" t="s">
        <v>252</v>
      </c>
      <c r="G6" s="115" t="s">
        <v>246</v>
      </c>
      <c r="H6" s="115" t="s">
        <v>247</v>
      </c>
      <c r="I6" s="117">
        <v>7402.2</v>
      </c>
      <c r="J6" s="115" t="s">
        <v>253</v>
      </c>
      <c r="K6" s="115" t="s">
        <v>244</v>
      </c>
    </row>
    <row r="7" spans="1:14" x14ac:dyDescent="0.15">
      <c r="B7" s="115" t="s">
        <v>254</v>
      </c>
      <c r="C7" s="115" t="s">
        <v>255</v>
      </c>
      <c r="D7" s="115" t="s">
        <v>243</v>
      </c>
      <c r="E7" s="115" t="s">
        <v>244</v>
      </c>
      <c r="F7" s="115" t="s">
        <v>252</v>
      </c>
      <c r="G7" s="115" t="s">
        <v>246</v>
      </c>
      <c r="H7" s="115" t="s">
        <v>247</v>
      </c>
      <c r="I7" s="117">
        <v>7402.2</v>
      </c>
      <c r="J7" s="115" t="s">
        <v>256</v>
      </c>
      <c r="K7" s="115" t="s">
        <v>244</v>
      </c>
    </row>
    <row r="8" spans="1:14" x14ac:dyDescent="0.15">
      <c r="B8" s="115" t="s">
        <v>257</v>
      </c>
      <c r="C8" s="115" t="s">
        <v>258</v>
      </c>
      <c r="D8" s="115" t="s">
        <v>243</v>
      </c>
      <c r="E8" s="115" t="s">
        <v>244</v>
      </c>
      <c r="F8" s="115" t="s">
        <v>252</v>
      </c>
      <c r="G8" s="115" t="s">
        <v>246</v>
      </c>
      <c r="H8" s="115" t="s">
        <v>247</v>
      </c>
      <c r="I8" s="117">
        <v>3701.11</v>
      </c>
      <c r="J8" s="115" t="s">
        <v>259</v>
      </c>
      <c r="K8" s="115" t="s">
        <v>260</v>
      </c>
    </row>
    <row r="9" spans="1:14" x14ac:dyDescent="0.15">
      <c r="B9" s="115" t="s">
        <v>261</v>
      </c>
      <c r="C9" s="115" t="s">
        <v>262</v>
      </c>
      <c r="D9" s="115" t="s">
        <v>243</v>
      </c>
      <c r="E9" s="115" t="s">
        <v>244</v>
      </c>
      <c r="F9" s="115" t="s">
        <v>252</v>
      </c>
      <c r="G9" s="115" t="s">
        <v>246</v>
      </c>
      <c r="H9" s="115" t="s">
        <v>247</v>
      </c>
      <c r="I9" s="117">
        <v>45</v>
      </c>
      <c r="J9" s="115" t="s">
        <v>263</v>
      </c>
      <c r="K9" s="115" t="s">
        <v>264</v>
      </c>
    </row>
    <row r="10" spans="1:14" x14ac:dyDescent="0.15">
      <c r="B10" s="115" t="s">
        <v>265</v>
      </c>
      <c r="C10" s="115" t="s">
        <v>266</v>
      </c>
      <c r="D10" s="115" t="s">
        <v>243</v>
      </c>
      <c r="E10" s="115" t="s">
        <v>244</v>
      </c>
      <c r="F10" s="115" t="s">
        <v>252</v>
      </c>
      <c r="G10" s="115" t="s">
        <v>246</v>
      </c>
      <c r="H10" s="115" t="s">
        <v>247</v>
      </c>
      <c r="I10" s="117">
        <v>3701.11</v>
      </c>
      <c r="J10" s="115" t="s">
        <v>267</v>
      </c>
      <c r="K10" s="115" t="s">
        <v>244</v>
      </c>
      <c r="N10" s="116">
        <f>SUM(I10:I12)</f>
        <v>5736.66</v>
      </c>
    </row>
    <row r="11" spans="1:14" x14ac:dyDescent="0.15">
      <c r="B11" s="115" t="s">
        <v>265</v>
      </c>
      <c r="C11" s="115" t="s">
        <v>266</v>
      </c>
      <c r="D11" s="115" t="s">
        <v>243</v>
      </c>
      <c r="E11" s="115" t="s">
        <v>244</v>
      </c>
      <c r="F11" s="115" t="s">
        <v>252</v>
      </c>
      <c r="G11" s="115" t="s">
        <v>246</v>
      </c>
      <c r="H11" s="115" t="s">
        <v>247</v>
      </c>
      <c r="I11" s="117">
        <v>230</v>
      </c>
      <c r="J11" s="115" t="s">
        <v>268</v>
      </c>
      <c r="K11" s="115" t="s">
        <v>269</v>
      </c>
    </row>
    <row r="12" spans="1:14" x14ac:dyDescent="0.15">
      <c r="B12" s="115" t="s">
        <v>270</v>
      </c>
      <c r="C12" s="115" t="s">
        <v>271</v>
      </c>
      <c r="D12" s="115" t="s">
        <v>243</v>
      </c>
      <c r="E12" s="115" t="s">
        <v>244</v>
      </c>
      <c r="F12" s="115" t="s">
        <v>252</v>
      </c>
      <c r="G12" s="115" t="s">
        <v>246</v>
      </c>
      <c r="H12" s="115" t="s">
        <v>247</v>
      </c>
      <c r="I12" s="117">
        <v>1805.55</v>
      </c>
      <c r="J12" s="115" t="s">
        <v>272</v>
      </c>
      <c r="K12" s="115" t="s">
        <v>273</v>
      </c>
    </row>
    <row r="16" spans="1:14" x14ac:dyDescent="0.15">
      <c r="G16" s="118" t="s">
        <v>274</v>
      </c>
      <c r="I16" s="116">
        <f>SUM(I3:I15)</f>
        <v>35787.660000000003</v>
      </c>
    </row>
    <row r="17" spans="1:10" x14ac:dyDescent="0.15">
      <c r="G17" s="115" t="s">
        <v>297</v>
      </c>
      <c r="I17" s="116">
        <f>SUM(I2:I12)</f>
        <v>37638.210000000006</v>
      </c>
    </row>
    <row r="18" spans="1:10" x14ac:dyDescent="0.15">
      <c r="G18" s="118"/>
      <c r="I18" s="116"/>
    </row>
    <row r="19" spans="1:10" x14ac:dyDescent="0.15">
      <c r="I19" s="116"/>
    </row>
    <row r="20" spans="1:10" x14ac:dyDescent="0.15">
      <c r="G20" s="115" t="s">
        <v>298</v>
      </c>
      <c r="I20" s="116">
        <v>36500</v>
      </c>
    </row>
    <row r="21" spans="1:10" x14ac:dyDescent="0.15">
      <c r="G21" s="115" t="s">
        <v>295</v>
      </c>
      <c r="I21" s="121">
        <f>I4+I11</f>
        <v>627.18000000000006</v>
      </c>
      <c r="J21" s="115" t="s">
        <v>302</v>
      </c>
    </row>
    <row r="22" spans="1:10" x14ac:dyDescent="0.15">
      <c r="G22" s="115" t="s">
        <v>300</v>
      </c>
      <c r="I22" s="121">
        <f>I17-I23</f>
        <v>511.03000000000611</v>
      </c>
    </row>
    <row r="23" spans="1:10" x14ac:dyDescent="0.15">
      <c r="G23" s="115" t="s">
        <v>296</v>
      </c>
      <c r="I23" s="116">
        <f>SUM(I20:I21)</f>
        <v>37127.18</v>
      </c>
    </row>
    <row r="25" spans="1:10" x14ac:dyDescent="0.15">
      <c r="G25" s="115" t="s">
        <v>204</v>
      </c>
      <c r="I25" s="116">
        <f>I17-I23</f>
        <v>511.03000000000611</v>
      </c>
    </row>
    <row r="26" spans="1:10" x14ac:dyDescent="0.15">
      <c r="B26" s="115" t="s">
        <v>299</v>
      </c>
    </row>
    <row r="27" spans="1:10" ht="16" x14ac:dyDescent="0.2">
      <c r="A27" s="107" t="s">
        <v>207</v>
      </c>
      <c r="B27" s="108" t="s">
        <v>208</v>
      </c>
      <c r="C27" s="108" t="s">
        <v>205</v>
      </c>
      <c r="D27" s="108" t="s">
        <v>209</v>
      </c>
      <c r="E27"/>
    </row>
    <row r="28" spans="1:10" ht="16" x14ac:dyDescent="0.2">
      <c r="A28" s="105">
        <v>0.05</v>
      </c>
      <c r="B28" s="114">
        <v>1805.55</v>
      </c>
      <c r="C28" s="106">
        <v>43496</v>
      </c>
      <c r="D28" s="2">
        <f>A38*0.05</f>
        <v>1825</v>
      </c>
      <c r="E28"/>
    </row>
    <row r="29" spans="1:10" ht="16" x14ac:dyDescent="0.2">
      <c r="A29" s="105">
        <v>0.1</v>
      </c>
      <c r="B29" s="114">
        <v>3701.11</v>
      </c>
      <c r="C29" s="106">
        <v>43524</v>
      </c>
      <c r="D29" s="2">
        <f>A38*0.1</f>
        <v>3650</v>
      </c>
      <c r="E29"/>
    </row>
    <row r="30" spans="1:10" ht="16" x14ac:dyDescent="0.2">
      <c r="A30" s="105"/>
      <c r="B30" s="114">
        <v>230</v>
      </c>
      <c r="C30" s="106">
        <v>43512</v>
      </c>
      <c r="D30" s="2"/>
      <c r="E30"/>
    </row>
    <row r="31" spans="1:10" ht="16" x14ac:dyDescent="0.2">
      <c r="A31" s="105">
        <v>0.1</v>
      </c>
      <c r="B31" s="114">
        <v>3701.11</v>
      </c>
      <c r="C31" s="106">
        <v>43555</v>
      </c>
      <c r="D31" s="2">
        <f>A38*0.1</f>
        <v>3650</v>
      </c>
      <c r="E31"/>
    </row>
    <row r="32" spans="1:10" ht="16" x14ac:dyDescent="0.2">
      <c r="A32" s="105">
        <v>0.2</v>
      </c>
      <c r="B32" s="114">
        <v>7402.2</v>
      </c>
      <c r="C32" s="106">
        <v>43585</v>
      </c>
      <c r="D32" s="2">
        <f>A38*A32</f>
        <v>7300</v>
      </c>
      <c r="E32"/>
    </row>
    <row r="33" spans="1:5" ht="16" x14ac:dyDescent="0.2">
      <c r="A33" s="105">
        <v>0.2</v>
      </c>
      <c r="B33" s="114">
        <v>7402.2</v>
      </c>
      <c r="C33" s="106">
        <v>43616</v>
      </c>
      <c r="D33" s="2">
        <f>A38*A33</f>
        <v>7300</v>
      </c>
      <c r="E33"/>
    </row>
    <row r="34" spans="1:5" ht="16" x14ac:dyDescent="0.2">
      <c r="A34" s="105">
        <v>0.2</v>
      </c>
      <c r="B34" s="114">
        <v>7402.2</v>
      </c>
      <c r="C34" s="106">
        <v>43646</v>
      </c>
      <c r="D34" s="2">
        <f>A38*A34</f>
        <v>7300</v>
      </c>
      <c r="E34" t="s">
        <v>230</v>
      </c>
    </row>
    <row r="35" spans="1:5" ht="16" x14ac:dyDescent="0.2">
      <c r="A35" s="105">
        <v>0.1</v>
      </c>
      <c r="B35" s="114">
        <v>3701.11</v>
      </c>
      <c r="C35" s="106">
        <v>43677</v>
      </c>
      <c r="D35" s="2">
        <f>A38*A35</f>
        <v>3650</v>
      </c>
      <c r="E35"/>
    </row>
    <row r="36" spans="1:5" ht="16" x14ac:dyDescent="0.2">
      <c r="A36" s="105"/>
      <c r="B36"/>
      <c r="C36" s="106"/>
      <c r="D36" s="2"/>
      <c r="E36"/>
    </row>
    <row r="37" spans="1:5" ht="16" x14ac:dyDescent="0.2">
      <c r="A37" s="105">
        <v>0.05</v>
      </c>
      <c r="B37"/>
      <c r="C37" s="106">
        <v>43708</v>
      </c>
      <c r="D37" s="2">
        <f>A38*A37</f>
        <v>1825</v>
      </c>
      <c r="E37"/>
    </row>
    <row r="38" spans="1:5" ht="16" x14ac:dyDescent="0.2">
      <c r="A38" s="96">
        <v>36500</v>
      </c>
      <c r="B38" s="2">
        <f>SUM(B28:B37)</f>
        <v>35345.480000000003</v>
      </c>
      <c r="C38"/>
      <c r="D38" s="2">
        <f>SUM(D28:D37)</f>
        <v>36500</v>
      </c>
      <c r="E38"/>
    </row>
    <row r="39" spans="1:5" ht="16" x14ac:dyDescent="0.2">
      <c r="A39" s="93" t="s">
        <v>206</v>
      </c>
      <c r="B39"/>
      <c r="C39"/>
      <c r="D39"/>
      <c r="E39"/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12515-57A6-437A-AD44-5C2912488145}">
  <dimension ref="A1:K25"/>
  <sheetViews>
    <sheetView workbookViewId="0">
      <selection activeCell="D10" sqref="D10"/>
    </sheetView>
  </sheetViews>
  <sheetFormatPr baseColWidth="10" defaultColWidth="8.83203125" defaultRowHeight="16" x14ac:dyDescent="0.2"/>
  <cols>
    <col min="1" max="1" width="27" customWidth="1"/>
    <col min="2" max="2" width="13.5" style="95" customWidth="1"/>
    <col min="3" max="3" width="4.6640625" customWidth="1"/>
    <col min="4" max="4" width="30.1640625" customWidth="1"/>
    <col min="5" max="5" width="13.5" customWidth="1"/>
    <col min="7" max="8" width="8.6640625" customWidth="1"/>
    <col min="9" max="9" width="3.83203125" customWidth="1"/>
    <col min="10" max="11" width="8.6640625" customWidth="1"/>
  </cols>
  <sheetData>
    <row r="1" spans="1:11" x14ac:dyDescent="0.2">
      <c r="A1" s="100" t="s">
        <v>193</v>
      </c>
      <c r="B1" s="101"/>
      <c r="D1" s="100" t="s">
        <v>194</v>
      </c>
      <c r="E1" s="101"/>
      <c r="G1" s="253" t="s">
        <v>196</v>
      </c>
      <c r="H1" s="253"/>
      <c r="I1" s="253"/>
      <c r="J1" s="253"/>
      <c r="K1" s="253"/>
    </row>
    <row r="2" spans="1:11" x14ac:dyDescent="0.2">
      <c r="A2" t="s">
        <v>34</v>
      </c>
      <c r="B2" s="95">
        <f>'2022'!Q9</f>
        <v>76990</v>
      </c>
      <c r="D2" t="s">
        <v>34</v>
      </c>
      <c r="E2" s="95">
        <v>81000</v>
      </c>
      <c r="F2" s="143"/>
      <c r="G2">
        <v>2016</v>
      </c>
      <c r="H2" s="2">
        <v>385</v>
      </c>
      <c r="J2">
        <v>2021</v>
      </c>
      <c r="K2" s="2">
        <v>400</v>
      </c>
    </row>
    <row r="3" spans="1:11" x14ac:dyDescent="0.2">
      <c r="A3" t="s">
        <v>92</v>
      </c>
      <c r="B3" s="95">
        <f>-'2022'!Q31</f>
        <v>78868.97</v>
      </c>
      <c r="D3" t="s">
        <v>92</v>
      </c>
      <c r="E3" s="95">
        <v>89000</v>
      </c>
      <c r="G3">
        <v>2017</v>
      </c>
      <c r="H3" s="2">
        <v>385</v>
      </c>
      <c r="J3">
        <v>2022</v>
      </c>
      <c r="K3" s="2">
        <v>400</v>
      </c>
    </row>
    <row r="4" spans="1:11" ht="17" thickBot="1" x14ac:dyDescent="0.25">
      <c r="A4" t="s">
        <v>187</v>
      </c>
      <c r="B4" s="102">
        <f>B2-B3</f>
        <v>-1878.9700000000012</v>
      </c>
      <c r="D4" t="s">
        <v>187</v>
      </c>
      <c r="E4" s="102">
        <f>E2-E3</f>
        <v>-8000</v>
      </c>
      <c r="G4">
        <v>2018</v>
      </c>
      <c r="H4" s="2">
        <v>385</v>
      </c>
      <c r="J4">
        <v>2023</v>
      </c>
      <c r="K4" s="2">
        <v>440</v>
      </c>
    </row>
    <row r="5" spans="1:11" ht="17" thickTop="1" x14ac:dyDescent="0.2">
      <c r="E5" s="95"/>
      <c r="G5">
        <v>2019</v>
      </c>
      <c r="H5" s="2">
        <v>385</v>
      </c>
      <c r="J5">
        <v>2024</v>
      </c>
      <c r="K5" s="2">
        <v>440</v>
      </c>
    </row>
    <row r="6" spans="1:11" x14ac:dyDescent="0.2">
      <c r="A6" t="s">
        <v>188</v>
      </c>
      <c r="B6" s="95">
        <f>'2022'!P34</f>
        <v>27761.95</v>
      </c>
      <c r="D6" t="s">
        <v>188</v>
      </c>
      <c r="E6" s="95">
        <v>19000</v>
      </c>
      <c r="G6">
        <v>2020</v>
      </c>
      <c r="H6" s="2">
        <v>400</v>
      </c>
    </row>
    <row r="7" spans="1:11" x14ac:dyDescent="0.2">
      <c r="E7" s="95"/>
    </row>
    <row r="8" spans="1:11" x14ac:dyDescent="0.2">
      <c r="A8" t="s">
        <v>195</v>
      </c>
      <c r="E8" s="95"/>
    </row>
    <row r="9" spans="1:11" x14ac:dyDescent="0.2">
      <c r="A9" t="s">
        <v>189</v>
      </c>
      <c r="B9" s="95">
        <f>-'2022'!Q16</f>
        <v>27807.16</v>
      </c>
      <c r="E9" s="95"/>
    </row>
    <row r="10" spans="1:11" x14ac:dyDescent="0.2">
      <c r="A10" t="s">
        <v>190</v>
      </c>
      <c r="B10" s="95">
        <f>-'2022'!Q20</f>
        <v>18950</v>
      </c>
      <c r="E10" s="95"/>
    </row>
    <row r="11" spans="1:11" x14ac:dyDescent="0.2">
      <c r="A11" t="s">
        <v>191</v>
      </c>
      <c r="B11" s="95">
        <f>-'2022'!Q19</f>
        <v>12012.269999999999</v>
      </c>
      <c r="E11" s="95"/>
    </row>
    <row r="12" spans="1:11" x14ac:dyDescent="0.2">
      <c r="A12" t="s">
        <v>192</v>
      </c>
      <c r="B12" s="95">
        <f>-('2022'!Q17+'2022'!Q18)</f>
        <v>12778.53</v>
      </c>
      <c r="E12" s="95"/>
    </row>
    <row r="14" spans="1:11" x14ac:dyDescent="0.2">
      <c r="A14" s="100" t="s">
        <v>305</v>
      </c>
      <c r="B14" s="101"/>
      <c r="D14" s="100" t="s">
        <v>306</v>
      </c>
      <c r="E14" s="101"/>
    </row>
    <row r="15" spans="1:11" x14ac:dyDescent="0.2">
      <c r="A15" t="s">
        <v>34</v>
      </c>
      <c r="B15" s="95">
        <f>'2023 actual'!O8</f>
        <v>83976.5</v>
      </c>
      <c r="D15" t="s">
        <v>34</v>
      </c>
      <c r="E15" s="95">
        <v>81000</v>
      </c>
    </row>
    <row r="16" spans="1:11" x14ac:dyDescent="0.2">
      <c r="A16" t="s">
        <v>92</v>
      </c>
      <c r="B16" s="95">
        <f>'2023 actual'!O35</f>
        <v>86748.33</v>
      </c>
      <c r="D16" t="s">
        <v>92</v>
      </c>
      <c r="E16" s="95">
        <v>92000</v>
      </c>
    </row>
    <row r="17" spans="1:5" ht="17" thickBot="1" x14ac:dyDescent="0.25">
      <c r="A17" t="s">
        <v>187</v>
      </c>
      <c r="B17" s="102">
        <f>B15-B16</f>
        <v>-2771.8300000000017</v>
      </c>
      <c r="D17" t="s">
        <v>187</v>
      </c>
      <c r="E17" s="102">
        <f>E15-E16</f>
        <v>-11000</v>
      </c>
    </row>
    <row r="18" spans="1:5" ht="17" thickTop="1" x14ac:dyDescent="0.2">
      <c r="E18" s="95"/>
    </row>
    <row r="19" spans="1:5" x14ac:dyDescent="0.2">
      <c r="A19" t="s">
        <v>188</v>
      </c>
      <c r="B19" s="95">
        <f>'2023 actual'!N38</f>
        <v>24990.12000000001</v>
      </c>
      <c r="D19" t="s">
        <v>188</v>
      </c>
      <c r="E19" s="95">
        <f>(B19+E15)-E16</f>
        <v>13990.12000000001</v>
      </c>
    </row>
    <row r="20" spans="1:5" x14ac:dyDescent="0.2">
      <c r="E20" s="95"/>
    </row>
    <row r="21" spans="1:5" x14ac:dyDescent="0.2">
      <c r="A21" t="s">
        <v>307</v>
      </c>
      <c r="E21" s="95"/>
    </row>
    <row r="22" spans="1:5" x14ac:dyDescent="0.2">
      <c r="A22" t="s">
        <v>308</v>
      </c>
      <c r="B22" s="95">
        <f>'2023 actual'!O25</f>
        <v>38335.369999999995</v>
      </c>
      <c r="E22" s="95"/>
    </row>
    <row r="23" spans="1:5" x14ac:dyDescent="0.2">
      <c r="A23" t="s">
        <v>190</v>
      </c>
      <c r="B23" s="95">
        <f>'2023 actual'!O27</f>
        <v>17200</v>
      </c>
      <c r="E23" s="95"/>
    </row>
    <row r="24" spans="1:5" x14ac:dyDescent="0.2">
      <c r="A24" t="s">
        <v>191</v>
      </c>
      <c r="B24" s="95">
        <f>'2023 actual'!O22</f>
        <v>12798.720000000001</v>
      </c>
      <c r="E24" s="95"/>
    </row>
    <row r="25" spans="1:5" x14ac:dyDescent="0.2">
      <c r="A25" t="s">
        <v>192</v>
      </c>
      <c r="B25" s="95">
        <f>'2023 actual'!O26+'2023 actual'!O30</f>
        <v>8766.3499999999985</v>
      </c>
      <c r="E25" s="95"/>
    </row>
  </sheetData>
  <mergeCells count="1">
    <mergeCell ref="G1:K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X57"/>
  <sheetViews>
    <sheetView showGridLines="0" zoomScale="85" zoomScaleNormal="85" zoomScalePageLayoutView="8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G12" sqref="G12"/>
    </sheetView>
  </sheetViews>
  <sheetFormatPr baseColWidth="10" defaultColWidth="11" defaultRowHeight="16" x14ac:dyDescent="0.2"/>
  <cols>
    <col min="1" max="1" width="2.83203125" customWidth="1"/>
    <col min="2" max="2" width="11.5" style="3" customWidth="1"/>
    <col min="3" max="3" width="4.6640625" customWidth="1"/>
    <col min="4" max="4" width="24.5" style="3" bestFit="1" customWidth="1"/>
    <col min="5" max="17" width="11" customWidth="1"/>
    <col min="18" max="18" width="12.33203125" customWidth="1"/>
    <col min="19" max="19" width="9" customWidth="1"/>
    <col min="20" max="20" width="11" customWidth="1"/>
    <col min="21" max="21" width="2.83203125" customWidth="1"/>
    <col min="22" max="22" width="13.6640625" bestFit="1" customWidth="1"/>
  </cols>
  <sheetData>
    <row r="1" spans="2:24" ht="8" customHeight="1" x14ac:dyDescent="0.2"/>
    <row r="2" spans="2:24" ht="21" customHeight="1" x14ac:dyDescent="0.3">
      <c r="B2" s="36">
        <v>2022</v>
      </c>
      <c r="D2" s="254" t="s">
        <v>186</v>
      </c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6"/>
      <c r="R2" s="47"/>
      <c r="S2" s="47"/>
      <c r="T2" s="47"/>
      <c r="V2" t="s">
        <v>42</v>
      </c>
      <c r="W2" s="7"/>
    </row>
    <row r="3" spans="2:24" ht="8" customHeight="1" x14ac:dyDescent="0.2"/>
    <row r="4" spans="2:24" s="81" customFormat="1" ht="34" x14ac:dyDescent="0.2">
      <c r="B4" s="84"/>
      <c r="D4" s="85" t="s">
        <v>11</v>
      </c>
      <c r="E4" s="85" t="s">
        <v>0</v>
      </c>
      <c r="F4" s="85" t="s">
        <v>1</v>
      </c>
      <c r="G4" s="85" t="s">
        <v>2</v>
      </c>
      <c r="H4" s="85" t="s">
        <v>3</v>
      </c>
      <c r="I4" s="85" t="s">
        <v>4</v>
      </c>
      <c r="J4" s="85" t="s">
        <v>36</v>
      </c>
      <c r="K4" s="85" t="s">
        <v>37</v>
      </c>
      <c r="L4" s="85" t="s">
        <v>5</v>
      </c>
      <c r="M4" s="85" t="s">
        <v>6</v>
      </c>
      <c r="N4" s="85" t="s">
        <v>7</v>
      </c>
      <c r="O4" s="85" t="s">
        <v>8</v>
      </c>
      <c r="P4" s="85" t="s">
        <v>9</v>
      </c>
      <c r="Q4" s="85" t="s">
        <v>39</v>
      </c>
      <c r="R4" s="86" t="s">
        <v>106</v>
      </c>
      <c r="S4" s="86" t="s">
        <v>118</v>
      </c>
      <c r="T4" s="86"/>
    </row>
    <row r="5" spans="2:24" ht="8" customHeight="1" x14ac:dyDescent="0.2"/>
    <row r="6" spans="2:24" x14ac:dyDescent="0.2">
      <c r="B6" s="239" t="s">
        <v>34</v>
      </c>
      <c r="D6" s="11" t="s">
        <v>13</v>
      </c>
      <c r="E6" s="30">
        <v>800</v>
      </c>
      <c r="F6" s="30">
        <v>26419</v>
      </c>
      <c r="G6" s="30">
        <v>29881</v>
      </c>
      <c r="H6" s="30">
        <v>12152</v>
      </c>
      <c r="I6" s="30">
        <v>2385</v>
      </c>
      <c r="J6" s="30">
        <v>0</v>
      </c>
      <c r="K6" s="30">
        <v>800</v>
      </c>
      <c r="L6" s="30">
        <v>533</v>
      </c>
      <c r="M6" s="30">
        <v>1700</v>
      </c>
      <c r="N6" s="30">
        <v>200</v>
      </c>
      <c r="O6" s="30">
        <v>400</v>
      </c>
      <c r="P6" s="30">
        <v>1400</v>
      </c>
      <c r="Q6" s="14">
        <f>SUM(E6:P6)</f>
        <v>76670</v>
      </c>
      <c r="R6" s="39"/>
      <c r="S6" s="39"/>
      <c r="T6" s="39"/>
      <c r="V6" t="s">
        <v>40</v>
      </c>
    </row>
    <row r="7" spans="2:24" x14ac:dyDescent="0.2">
      <c r="B7" s="240"/>
      <c r="D7" s="11" t="s">
        <v>167</v>
      </c>
      <c r="E7" s="30"/>
      <c r="F7" s="30"/>
      <c r="G7" s="30"/>
      <c r="H7" s="30"/>
      <c r="I7" s="30"/>
      <c r="J7" s="30"/>
      <c r="K7" s="30"/>
      <c r="L7" s="30"/>
      <c r="M7" s="30"/>
      <c r="N7" s="30"/>
      <c r="O7" s="30">
        <v>150</v>
      </c>
      <c r="P7" s="30"/>
      <c r="Q7" s="14">
        <f>SUM(E7:P7)</f>
        <v>150</v>
      </c>
      <c r="R7" s="39"/>
      <c r="S7" s="39"/>
      <c r="T7" s="39"/>
    </row>
    <row r="8" spans="2:24" x14ac:dyDescent="0.2">
      <c r="B8" s="241"/>
      <c r="D8" s="15" t="s">
        <v>46</v>
      </c>
      <c r="E8" s="31">
        <v>0</v>
      </c>
      <c r="F8" s="31"/>
      <c r="G8" s="31"/>
      <c r="H8" s="31"/>
      <c r="I8" s="31">
        <v>0</v>
      </c>
      <c r="J8" s="31">
        <v>90</v>
      </c>
      <c r="K8" s="31">
        <v>80</v>
      </c>
      <c r="L8" s="31">
        <v>0</v>
      </c>
      <c r="M8" s="31">
        <v>0</v>
      </c>
      <c r="N8" s="31">
        <v>0</v>
      </c>
      <c r="O8" s="31">
        <v>0</v>
      </c>
      <c r="P8" s="31">
        <v>0</v>
      </c>
      <c r="Q8" s="14">
        <f>SUM(E8:P8)</f>
        <v>170</v>
      </c>
      <c r="R8" s="39"/>
      <c r="S8" s="39"/>
      <c r="T8" s="39"/>
      <c r="V8" t="s">
        <v>41</v>
      </c>
    </row>
    <row r="9" spans="2:24" x14ac:dyDescent="0.2">
      <c r="D9" s="12" t="s">
        <v>39</v>
      </c>
      <c r="E9" s="32">
        <f>SUM(E6:E8)</f>
        <v>800</v>
      </c>
      <c r="F9" s="32">
        <f t="shared" ref="F9:P9" si="0">SUM(F6:F8)</f>
        <v>26419</v>
      </c>
      <c r="G9" s="32">
        <f t="shared" si="0"/>
        <v>29881</v>
      </c>
      <c r="H9" s="32">
        <f t="shared" si="0"/>
        <v>12152</v>
      </c>
      <c r="I9" s="32">
        <f t="shared" si="0"/>
        <v>2385</v>
      </c>
      <c r="J9" s="32">
        <f t="shared" si="0"/>
        <v>90</v>
      </c>
      <c r="K9" s="32">
        <f>SUM(K6:K8)</f>
        <v>880</v>
      </c>
      <c r="L9" s="32">
        <f t="shared" si="0"/>
        <v>533</v>
      </c>
      <c r="M9" s="32">
        <f t="shared" si="0"/>
        <v>1700</v>
      </c>
      <c r="N9" s="32">
        <f t="shared" si="0"/>
        <v>200</v>
      </c>
      <c r="O9" s="32">
        <f t="shared" si="0"/>
        <v>550</v>
      </c>
      <c r="P9" s="32">
        <f t="shared" si="0"/>
        <v>1400</v>
      </c>
      <c r="Q9" s="14">
        <f>SUM(Q6:Q8)</f>
        <v>76990</v>
      </c>
      <c r="R9" s="39">
        <f>Q9-'2021'!Q8</f>
        <v>2498</v>
      </c>
      <c r="S9" s="49">
        <f>R9/'2021'!Q8</f>
        <v>3.3533802287493961E-2</v>
      </c>
      <c r="T9" s="39"/>
      <c r="W9" s="9"/>
    </row>
    <row r="10" spans="2:24" x14ac:dyDescent="0.2">
      <c r="D10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S10" s="49"/>
    </row>
    <row r="11" spans="2:24" x14ac:dyDescent="0.2">
      <c r="B11" s="257" t="s">
        <v>35</v>
      </c>
      <c r="C11" s="40"/>
      <c r="D11" s="82" t="s">
        <v>79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-227.86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14">
        <f t="shared" ref="Q11:Q29" si="1">SUM(E11:P11)</f>
        <v>-227.86</v>
      </c>
      <c r="R11" s="39">
        <f>Q11-'2021'!Q10</f>
        <v>0</v>
      </c>
      <c r="S11" s="49"/>
      <c r="T11" s="39"/>
    </row>
    <row r="12" spans="2:24" x14ac:dyDescent="0.2">
      <c r="B12" s="258"/>
      <c r="C12" s="40"/>
      <c r="D12" s="82" t="s">
        <v>12</v>
      </c>
      <c r="E12" s="30">
        <v>-74.989999999999995</v>
      </c>
      <c r="F12" s="30">
        <v>-74.64</v>
      </c>
      <c r="G12" s="30">
        <v>-75.290000000000006</v>
      </c>
      <c r="H12" s="30">
        <v>-75.290000000000006</v>
      </c>
      <c r="I12" s="30">
        <v>-75.489999999999995</v>
      </c>
      <c r="J12" s="30">
        <v>-75.400000000000006</v>
      </c>
      <c r="K12" s="30">
        <v>-75</v>
      </c>
      <c r="L12" s="30">
        <v>0</v>
      </c>
      <c r="M12" s="30">
        <v>-74.86</v>
      </c>
      <c r="N12" s="30">
        <v>-187.97</v>
      </c>
      <c r="O12" s="30">
        <v>0</v>
      </c>
      <c r="P12" s="32">
        <v>-85.24</v>
      </c>
      <c r="Q12" s="14">
        <f>SUM(E12:P12)</f>
        <v>-874.17000000000007</v>
      </c>
      <c r="R12" s="39">
        <f>Q12-'2021'!Q11</f>
        <v>28.979999999999905</v>
      </c>
      <c r="S12" s="49"/>
      <c r="T12" s="39"/>
      <c r="V12" t="s">
        <v>43</v>
      </c>
      <c r="W12">
        <v>186</v>
      </c>
    </row>
    <row r="13" spans="2:24" x14ac:dyDescent="0.2">
      <c r="B13" s="258"/>
      <c r="C13" s="40"/>
      <c r="D13" s="82" t="s">
        <v>82</v>
      </c>
      <c r="E13" s="30">
        <v>0</v>
      </c>
      <c r="F13" s="30">
        <v>0</v>
      </c>
      <c r="G13" s="30">
        <v>0</v>
      </c>
      <c r="H13" s="30">
        <v>-2195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14">
        <f t="shared" si="1"/>
        <v>-2195</v>
      </c>
      <c r="R13" s="39">
        <f>Q13-'2021'!Q12</f>
        <v>0</v>
      </c>
      <c r="S13" s="49"/>
      <c r="T13" s="39"/>
      <c r="V13" t="s">
        <v>44</v>
      </c>
      <c r="W13">
        <v>400</v>
      </c>
    </row>
    <row r="14" spans="2:24" x14ac:dyDescent="0.2">
      <c r="B14" s="258"/>
      <c r="C14" s="40"/>
      <c r="D14" s="82" t="s">
        <v>165</v>
      </c>
      <c r="E14" s="30">
        <v>0</v>
      </c>
      <c r="F14" s="30">
        <v>-1100.6199999999999</v>
      </c>
      <c r="G14" s="30">
        <v>0</v>
      </c>
      <c r="H14" s="30">
        <v>0</v>
      </c>
      <c r="I14" s="30">
        <v>-47</v>
      </c>
      <c r="J14" s="30">
        <v>0</v>
      </c>
      <c r="K14" s="30">
        <v>0</v>
      </c>
      <c r="L14" s="30">
        <v>0</v>
      </c>
      <c r="M14" s="30">
        <v>-60</v>
      </c>
      <c r="N14" s="30">
        <v>0</v>
      </c>
      <c r="O14" s="30">
        <v>0</v>
      </c>
      <c r="P14" s="30">
        <v>-110.5</v>
      </c>
      <c r="Q14" s="14">
        <f t="shared" si="1"/>
        <v>-1318.12</v>
      </c>
      <c r="R14" s="39">
        <f>Q14-'2021'!Q13</f>
        <v>-11.619999999999891</v>
      </c>
      <c r="S14" s="49"/>
      <c r="T14" s="39"/>
      <c r="V14" t="s">
        <v>39</v>
      </c>
      <c r="W14" s="8">
        <v>74400</v>
      </c>
      <c r="X14" s="28">
        <f>(W6-W8)*W12</f>
        <v>0</v>
      </c>
    </row>
    <row r="15" spans="2:24" x14ac:dyDescent="0.2">
      <c r="B15" s="258"/>
      <c r="C15" s="40"/>
      <c r="D15" s="82" t="s">
        <v>84</v>
      </c>
      <c r="E15" s="30">
        <v>-175.51</v>
      </c>
      <c r="F15" s="30">
        <v>0</v>
      </c>
      <c r="G15" s="30">
        <v>-78.290000000000006</v>
      </c>
      <c r="H15" s="30">
        <v>0</v>
      </c>
      <c r="I15" s="30">
        <v>-237.62</v>
      </c>
      <c r="J15" s="30">
        <v>0</v>
      </c>
      <c r="K15" s="30">
        <v>-291.63</v>
      </c>
      <c r="L15" s="30">
        <v>0</v>
      </c>
      <c r="M15" s="30">
        <f>-(80.33+185.96)</f>
        <v>-266.29000000000002</v>
      </c>
      <c r="N15" s="30">
        <v>0</v>
      </c>
      <c r="O15" s="30">
        <v>-223.64</v>
      </c>
      <c r="P15" s="30">
        <v>0</v>
      </c>
      <c r="Q15" s="14">
        <f t="shared" si="1"/>
        <v>-1272.98</v>
      </c>
      <c r="R15" s="39">
        <f>Q15-'2021'!Q14</f>
        <v>-11.060000000000173</v>
      </c>
      <c r="S15" s="49"/>
      <c r="T15" s="39"/>
    </row>
    <row r="16" spans="2:24" x14ac:dyDescent="0.2">
      <c r="B16" s="258"/>
      <c r="C16" s="40"/>
      <c r="D16" s="82" t="s">
        <v>87</v>
      </c>
      <c r="E16" s="30">
        <v>0</v>
      </c>
      <c r="F16" s="30">
        <v>0</v>
      </c>
      <c r="G16" s="30">
        <v>0</v>
      </c>
      <c r="H16" s="30">
        <v>-3912.77</v>
      </c>
      <c r="I16" s="30">
        <v>-6521.29</v>
      </c>
      <c r="J16" s="30">
        <v>-7669.29</v>
      </c>
      <c r="K16" s="30">
        <v>-7095.29</v>
      </c>
      <c r="L16" s="30">
        <v>-2608.52</v>
      </c>
      <c r="M16" s="30">
        <v>0</v>
      </c>
      <c r="N16" s="30">
        <v>0</v>
      </c>
      <c r="O16" s="30">
        <v>0</v>
      </c>
      <c r="P16" s="30">
        <v>0</v>
      </c>
      <c r="Q16" s="14">
        <f t="shared" si="1"/>
        <v>-27807.16</v>
      </c>
      <c r="R16" s="39">
        <f>Q16-'2021'!Q15</f>
        <v>-2921.369999999999</v>
      </c>
      <c r="S16" s="49">
        <f>R16/'2021'!Q15</f>
        <v>0.1173910894530573</v>
      </c>
      <c r="T16" s="39"/>
    </row>
    <row r="17" spans="2:23" x14ac:dyDescent="0.2">
      <c r="B17" s="258"/>
      <c r="C17" s="40"/>
      <c r="D17" s="82" t="s">
        <v>88</v>
      </c>
      <c r="E17" s="30">
        <v>0</v>
      </c>
      <c r="F17" s="30">
        <v>-410.05</v>
      </c>
      <c r="G17" s="30">
        <v>-1387.75</v>
      </c>
      <c r="H17" s="30">
        <v>-214</v>
      </c>
      <c r="I17" s="30">
        <v>-4975.5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-580.19000000000005</v>
      </c>
      <c r="P17" s="30">
        <v>0</v>
      </c>
      <c r="Q17" s="14">
        <f t="shared" si="1"/>
        <v>-7567.49</v>
      </c>
      <c r="R17" s="39">
        <f>Q17-'2021'!Q16</f>
        <v>-7390.55</v>
      </c>
      <c r="S17" s="49">
        <f>R17/'2021'!Q16</f>
        <v>41.76867864812931</v>
      </c>
      <c r="T17" s="39"/>
      <c r="V17" t="s">
        <v>80</v>
      </c>
      <c r="W17" s="27"/>
    </row>
    <row r="18" spans="2:23" x14ac:dyDescent="0.2">
      <c r="B18" s="258"/>
      <c r="C18" s="40"/>
      <c r="D18" s="82" t="s">
        <v>78</v>
      </c>
      <c r="E18" s="30">
        <v>0</v>
      </c>
      <c r="F18" s="30">
        <v>0</v>
      </c>
      <c r="G18" s="30">
        <v>-1683.76</v>
      </c>
      <c r="H18" s="30">
        <v>-2227.0100000000002</v>
      </c>
      <c r="I18" s="30">
        <v>-155.26</v>
      </c>
      <c r="J18" s="30">
        <v>0</v>
      </c>
      <c r="K18" s="30">
        <v>-649.87</v>
      </c>
      <c r="L18" s="30">
        <v>-495.14</v>
      </c>
      <c r="M18" s="30">
        <v>0</v>
      </c>
      <c r="N18" s="30">
        <v>0</v>
      </c>
      <c r="O18" s="30">
        <v>0</v>
      </c>
      <c r="P18" s="30">
        <v>0</v>
      </c>
      <c r="Q18" s="14">
        <f t="shared" si="1"/>
        <v>-5211.0400000000009</v>
      </c>
      <c r="R18" s="39">
        <f>Q18-'2021'!Q17</f>
        <v>685.58999999999924</v>
      </c>
      <c r="S18" s="49">
        <f>R18/'2021'!Q17</f>
        <v>-0.11626810568070224</v>
      </c>
      <c r="T18" s="39"/>
    </row>
    <row r="19" spans="2:23" x14ac:dyDescent="0.2">
      <c r="B19" s="258"/>
      <c r="C19" s="40"/>
      <c r="D19" s="82" t="s">
        <v>15</v>
      </c>
      <c r="E19" s="30">
        <v>-860.99</v>
      </c>
      <c r="F19" s="30">
        <v>-822.29</v>
      </c>
      <c r="G19" s="30">
        <v>-817.56</v>
      </c>
      <c r="H19" s="30">
        <v>-878.42</v>
      </c>
      <c r="I19" s="30">
        <v>-884.22</v>
      </c>
      <c r="J19" s="30">
        <v>-980.09</v>
      </c>
      <c r="K19" s="30">
        <v>-1143.44</v>
      </c>
      <c r="L19" s="30">
        <v>-1372.48</v>
      </c>
      <c r="M19" s="30">
        <v>-861.3</v>
      </c>
      <c r="N19" s="30">
        <v>-1163.55</v>
      </c>
      <c r="O19" s="30">
        <v>-1384.35</v>
      </c>
      <c r="P19" s="30">
        <v>-843.58</v>
      </c>
      <c r="Q19" s="14">
        <f t="shared" si="1"/>
        <v>-12012.269999999999</v>
      </c>
      <c r="R19" s="39">
        <f>Q19-'2021'!Q18</f>
        <v>-677.05999999999767</v>
      </c>
      <c r="S19" s="49">
        <f>R19/'2021'!Q18</f>
        <v>5.973069753449628E-2</v>
      </c>
      <c r="T19" s="39"/>
    </row>
    <row r="20" spans="2:23" x14ac:dyDescent="0.2">
      <c r="B20" s="258"/>
      <c r="C20" s="40"/>
      <c r="D20" s="82" t="s">
        <v>17</v>
      </c>
      <c r="E20" s="30">
        <v>-1200</v>
      </c>
      <c r="F20" s="30">
        <v>-3300</v>
      </c>
      <c r="G20" s="30">
        <v>-1400</v>
      </c>
      <c r="H20" s="30">
        <v>-1400</v>
      </c>
      <c r="I20" s="30">
        <v>-1400</v>
      </c>
      <c r="J20" s="30">
        <v>-1400</v>
      </c>
      <c r="K20" s="30">
        <v>-1450</v>
      </c>
      <c r="L20" s="30">
        <v>-1400</v>
      </c>
      <c r="M20" s="30">
        <v>0</v>
      </c>
      <c r="N20" s="30">
        <v>-3200</v>
      </c>
      <c r="O20" s="30">
        <v>-1400</v>
      </c>
      <c r="P20" s="30">
        <v>-1400</v>
      </c>
      <c r="Q20" s="14">
        <f>SUM(E20:P20)</f>
        <v>-18950</v>
      </c>
      <c r="R20" s="39">
        <f>Q20-'2021'!Q19</f>
        <v>-1000</v>
      </c>
      <c r="S20" s="49">
        <f>R20/'2021'!Q19</f>
        <v>5.5710306406685235E-2</v>
      </c>
      <c r="T20" s="39"/>
    </row>
    <row r="21" spans="2:23" x14ac:dyDescent="0.2">
      <c r="B21" s="258"/>
      <c r="C21" s="40"/>
      <c r="D21" s="82" t="s">
        <v>16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-55.64</v>
      </c>
      <c r="M21" s="30">
        <v>0</v>
      </c>
      <c r="N21" s="30">
        <v>0</v>
      </c>
      <c r="O21" s="30">
        <v>0</v>
      </c>
      <c r="P21" s="30">
        <v>0</v>
      </c>
      <c r="Q21" s="14">
        <f t="shared" si="1"/>
        <v>-55.64</v>
      </c>
      <c r="R21" s="39">
        <f>Q21-'2021'!Q20</f>
        <v>-3.75</v>
      </c>
      <c r="S21" s="49">
        <f>R21/'2021'!Q20</f>
        <v>7.2268259780304489E-2</v>
      </c>
      <c r="T21" s="39"/>
    </row>
    <row r="22" spans="2:23" x14ac:dyDescent="0.2">
      <c r="B22" s="258"/>
      <c r="C22" s="40"/>
      <c r="D22" s="82" t="s">
        <v>20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14">
        <f t="shared" si="1"/>
        <v>0</v>
      </c>
      <c r="R22" s="39">
        <f>Q22-'2021'!Q21</f>
        <v>280.31</v>
      </c>
      <c r="S22" s="49">
        <f>R22/'2021'!Q21</f>
        <v>-1</v>
      </c>
      <c r="T22" s="39"/>
    </row>
    <row r="23" spans="2:23" x14ac:dyDescent="0.2">
      <c r="B23" s="258"/>
      <c r="C23" s="40"/>
      <c r="D23" s="82" t="s">
        <v>83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14">
        <f t="shared" si="1"/>
        <v>0</v>
      </c>
      <c r="R23" s="39">
        <f>Q23-'2021'!Q22</f>
        <v>0</v>
      </c>
      <c r="S23" s="49"/>
      <c r="T23" s="39"/>
    </row>
    <row r="24" spans="2:23" x14ac:dyDescent="0.2">
      <c r="B24" s="258"/>
      <c r="C24" s="40"/>
      <c r="D24" s="82" t="s">
        <v>86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-187.19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14">
        <f t="shared" si="1"/>
        <v>-187.19</v>
      </c>
      <c r="R24" s="39">
        <f>Q24-'2021'!Q23</f>
        <v>-187.19</v>
      </c>
      <c r="S24" s="49">
        <f>R18/'2021'!Q16</f>
        <v>-3.874703289250589</v>
      </c>
      <c r="T24" s="39"/>
    </row>
    <row r="25" spans="2:23" x14ac:dyDescent="0.2">
      <c r="B25" s="258"/>
      <c r="C25" s="40"/>
      <c r="D25" s="82" t="s">
        <v>38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14">
        <f t="shared" si="1"/>
        <v>0</v>
      </c>
      <c r="R25" s="39">
        <f>Q25-'2021'!Q24</f>
        <v>166</v>
      </c>
      <c r="S25" s="49">
        <f>R19/'2021'!Q17</f>
        <v>0.11482151669682474</v>
      </c>
      <c r="T25" s="39"/>
    </row>
    <row r="26" spans="2:23" x14ac:dyDescent="0.2">
      <c r="B26" s="258"/>
      <c r="C26" s="40"/>
      <c r="D26" s="82" t="s">
        <v>85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-200</v>
      </c>
      <c r="M26" s="30">
        <v>0</v>
      </c>
      <c r="N26" s="30">
        <v>0</v>
      </c>
      <c r="O26" s="30">
        <v>0</v>
      </c>
      <c r="P26" s="30">
        <v>0</v>
      </c>
      <c r="Q26" s="14">
        <f t="shared" si="1"/>
        <v>-200</v>
      </c>
      <c r="R26" s="39">
        <f>Q26-'2021'!Q25</f>
        <v>0</v>
      </c>
      <c r="S26" s="49">
        <f>R20/'2021'!Q18</f>
        <v>8.8220685809967336E-2</v>
      </c>
      <c r="T26" s="39"/>
    </row>
    <row r="27" spans="2:23" x14ac:dyDescent="0.2">
      <c r="B27" s="258"/>
      <c r="C27" s="40"/>
      <c r="D27" s="82" t="s">
        <v>24</v>
      </c>
      <c r="E27" s="30">
        <v>-175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14">
        <f t="shared" si="1"/>
        <v>-175</v>
      </c>
      <c r="R27" s="39">
        <f>Q27-'2021'!Q26</f>
        <v>2</v>
      </c>
      <c r="S27" s="49">
        <f>R21/'2021'!Q19</f>
        <v>2.0891364902506963E-4</v>
      </c>
      <c r="T27" s="39"/>
    </row>
    <row r="28" spans="2:23" x14ac:dyDescent="0.2">
      <c r="B28" s="258"/>
      <c r="C28" s="40"/>
      <c r="D28" s="82" t="s">
        <v>22</v>
      </c>
      <c r="E28" s="30">
        <v>0</v>
      </c>
      <c r="F28" s="30">
        <v>0</v>
      </c>
      <c r="G28" s="30">
        <v>0</v>
      </c>
      <c r="H28" s="30">
        <v>0</v>
      </c>
      <c r="I28" s="30">
        <v>-115</v>
      </c>
      <c r="J28" s="30" t="s">
        <v>89</v>
      </c>
      <c r="K28" s="30">
        <v>-115</v>
      </c>
      <c r="L28" s="30">
        <v>-115</v>
      </c>
      <c r="M28" s="30">
        <v>-115</v>
      </c>
      <c r="N28" s="30">
        <v>0</v>
      </c>
      <c r="O28" s="30">
        <v>0</v>
      </c>
      <c r="P28" s="30">
        <v>0</v>
      </c>
      <c r="Q28" s="14">
        <f t="shared" si="1"/>
        <v>-460</v>
      </c>
      <c r="R28" s="39">
        <f>Q28-'2021'!Q27</f>
        <v>40</v>
      </c>
      <c r="S28" s="39"/>
      <c r="T28" s="39"/>
    </row>
    <row r="29" spans="2:23" x14ac:dyDescent="0.2">
      <c r="B29" s="258"/>
      <c r="C29" s="83"/>
      <c r="D29" s="82" t="s">
        <v>14</v>
      </c>
      <c r="E29" s="30">
        <v>-163.05000000000001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-192</v>
      </c>
      <c r="M29" s="30">
        <v>0</v>
      </c>
      <c r="N29" s="30">
        <v>0</v>
      </c>
      <c r="O29" s="30">
        <v>0</v>
      </c>
      <c r="P29" s="30">
        <v>0</v>
      </c>
      <c r="Q29" s="17">
        <f t="shared" si="1"/>
        <v>-355.05</v>
      </c>
      <c r="R29" s="39">
        <f>Q29-'2021'!Q28</f>
        <v>-61</v>
      </c>
      <c r="S29" s="39"/>
      <c r="T29" s="39"/>
    </row>
    <row r="30" spans="2:23" x14ac:dyDescent="0.2">
      <c r="B30" s="258"/>
      <c r="C30" s="38"/>
      <c r="D30" s="82" t="s">
        <v>164</v>
      </c>
      <c r="E30" s="30"/>
      <c r="F30" s="30"/>
      <c r="G30" s="30"/>
      <c r="H30" s="30"/>
      <c r="I30" s="30"/>
      <c r="J30" s="30"/>
      <c r="K30" s="30"/>
      <c r="L30" s="30"/>
      <c r="M30" s="30">
        <f>-(135.83+18.89)</f>
        <v>-154.72000000000003</v>
      </c>
      <c r="N30" s="30">
        <v>-198</v>
      </c>
      <c r="O30" s="30">
        <f>-(164.96+27.9)</f>
        <v>-192.86</v>
      </c>
      <c r="P30" s="30">
        <v>-36</v>
      </c>
      <c r="Q30" s="17"/>
      <c r="R30" s="39">
        <f>Q30-'2021'!Q29</f>
        <v>0</v>
      </c>
      <c r="S30" s="39"/>
      <c r="T30" s="39"/>
    </row>
    <row r="31" spans="2:23" x14ac:dyDescent="0.2">
      <c r="B31" s="240"/>
      <c r="D31" s="12" t="s">
        <v>77</v>
      </c>
      <c r="E31" s="32">
        <f>SUM(E11:E29)</f>
        <v>-2649.54</v>
      </c>
      <c r="F31" s="32">
        <f>SUM(F11:F29)</f>
        <v>-5707.6</v>
      </c>
      <c r="G31" s="32">
        <f>SUM(G11:G29)</f>
        <v>-5442.65</v>
      </c>
      <c r="H31" s="32">
        <f>SUM(H11:H29)</f>
        <v>-10902.49</v>
      </c>
      <c r="I31" s="32">
        <f>SUM(I11:I29)</f>
        <v>-14411.38</v>
      </c>
      <c r="J31" s="32">
        <v>0</v>
      </c>
      <c r="K31" s="32">
        <f>SUM(K11:K29)</f>
        <v>-11007.42</v>
      </c>
      <c r="L31" s="32">
        <f>SUM(L11:L29)</f>
        <v>-6438.78</v>
      </c>
      <c r="M31" s="32">
        <f>SUM(M11:M30)</f>
        <v>-1532.17</v>
      </c>
      <c r="N31" s="32">
        <f>SUM(N11:N30)</f>
        <v>-4749.5200000000004</v>
      </c>
      <c r="O31" s="32">
        <f>SUM(O11:O30)</f>
        <v>-3781.04</v>
      </c>
      <c r="P31" s="32">
        <f>SUM(P11:P30)</f>
        <v>-2475.3200000000002</v>
      </c>
      <c r="Q31" s="14">
        <f>SUM(Q11:Q29)</f>
        <v>-78868.97</v>
      </c>
      <c r="R31" s="39">
        <f>Q31-'2021'!Q30</f>
        <v>-11060.720000000001</v>
      </c>
      <c r="S31" s="39"/>
      <c r="T31" s="39"/>
    </row>
    <row r="32" spans="2:23" x14ac:dyDescent="0.2">
      <c r="B32" s="240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2"/>
      <c r="R32" s="39">
        <f>Q31-'2021'!Q30</f>
        <v>-11060.720000000001</v>
      </c>
      <c r="S32" s="39"/>
      <c r="T32" s="39"/>
    </row>
    <row r="33" spans="2:21" x14ac:dyDescent="0.2">
      <c r="B33" s="240"/>
      <c r="D33" s="12" t="s">
        <v>162</v>
      </c>
      <c r="E33" s="32">
        <f t="shared" ref="E33:Q33" si="2">E9+E31</f>
        <v>-1849.54</v>
      </c>
      <c r="F33" s="32">
        <f t="shared" si="2"/>
        <v>20711.400000000001</v>
      </c>
      <c r="G33" s="32">
        <f t="shared" si="2"/>
        <v>24438.35</v>
      </c>
      <c r="H33" s="32">
        <f t="shared" si="2"/>
        <v>1249.5100000000002</v>
      </c>
      <c r="I33" s="32">
        <f t="shared" si="2"/>
        <v>-12026.38</v>
      </c>
      <c r="J33" s="32">
        <f t="shared" si="2"/>
        <v>90</v>
      </c>
      <c r="K33" s="32">
        <f t="shared" si="2"/>
        <v>-10127.42</v>
      </c>
      <c r="L33" s="32">
        <f t="shared" si="2"/>
        <v>-5905.78</v>
      </c>
      <c r="M33" s="32">
        <f t="shared" si="2"/>
        <v>167.82999999999993</v>
      </c>
      <c r="N33" s="32">
        <f t="shared" si="2"/>
        <v>-4549.5200000000004</v>
      </c>
      <c r="O33" s="32">
        <f t="shared" si="2"/>
        <v>-3231.04</v>
      </c>
      <c r="P33" s="32">
        <f t="shared" si="2"/>
        <v>-1075.3200000000002</v>
      </c>
      <c r="Q33" s="14">
        <f t="shared" si="2"/>
        <v>-1878.9700000000012</v>
      </c>
      <c r="R33" s="39">
        <f>Q33-'2021'!Q32</f>
        <v>-8562.7200000000012</v>
      </c>
      <c r="S33" s="39"/>
      <c r="T33" s="39"/>
    </row>
    <row r="34" spans="2:21" x14ac:dyDescent="0.2">
      <c r="B34" s="240"/>
      <c r="D34" s="3" t="s">
        <v>109</v>
      </c>
      <c r="E34" s="32">
        <v>28291</v>
      </c>
      <c r="F34" s="32">
        <v>49002</v>
      </c>
      <c r="G34" s="32">
        <v>73441</v>
      </c>
      <c r="H34" s="32">
        <v>74620</v>
      </c>
      <c r="I34" s="32">
        <v>62582</v>
      </c>
      <c r="J34" s="32">
        <v>52432</v>
      </c>
      <c r="K34" s="32">
        <v>42356</v>
      </c>
      <c r="L34" s="32">
        <v>36450</v>
      </c>
      <c r="M34" s="32">
        <f>L34+M33</f>
        <v>36617.83</v>
      </c>
      <c r="N34" s="32">
        <f>M34+N33</f>
        <v>32068.31</v>
      </c>
      <c r="O34" s="32">
        <f>N34+O33</f>
        <v>28837.27</v>
      </c>
      <c r="P34" s="32">
        <f>O34+P33</f>
        <v>27761.95</v>
      </c>
      <c r="R34" s="39"/>
      <c r="S34" s="39"/>
      <c r="T34" s="39"/>
    </row>
    <row r="35" spans="2:21" x14ac:dyDescent="0.2">
      <c r="B35" s="240"/>
      <c r="R35" s="6"/>
      <c r="S35" s="39"/>
      <c r="T35" s="39"/>
    </row>
    <row r="36" spans="2:21" x14ac:dyDescent="0.2">
      <c r="B36" s="240"/>
      <c r="D36" s="3" t="s">
        <v>166</v>
      </c>
      <c r="O36">
        <v>-3781.04</v>
      </c>
      <c r="P36" s="99"/>
      <c r="S36" s="39"/>
      <c r="T36" s="39"/>
    </row>
    <row r="37" spans="2:21" x14ac:dyDescent="0.2">
      <c r="B37" s="241"/>
      <c r="D37" s="3" t="s">
        <v>168</v>
      </c>
      <c r="O37" s="2">
        <f>O36-O31</f>
        <v>0</v>
      </c>
      <c r="S37" s="48"/>
      <c r="T37" s="48"/>
    </row>
    <row r="38" spans="2:21" x14ac:dyDescent="0.2">
      <c r="D38" s="3" t="s">
        <v>169</v>
      </c>
      <c r="O38">
        <v>28837.08</v>
      </c>
      <c r="P38">
        <v>27761.759999999998</v>
      </c>
      <c r="S38" s="49">
        <f>R32/'2021'!Q30</f>
        <v>0.16311761474451858</v>
      </c>
      <c r="T38" s="39"/>
    </row>
    <row r="39" spans="2:21" ht="15.75" customHeight="1" x14ac:dyDescent="0.2">
      <c r="D39" s="3" t="s">
        <v>168</v>
      </c>
      <c r="O39" s="2">
        <f>O38-O34</f>
        <v>-0.18999999999869033</v>
      </c>
      <c r="P39" s="2">
        <f>P38-P34</f>
        <v>-0.19000000000232831</v>
      </c>
      <c r="S39" s="2"/>
      <c r="T39" s="2"/>
      <c r="U39" s="2"/>
    </row>
    <row r="40" spans="2:21" x14ac:dyDescent="0.2">
      <c r="B40" s="12" t="s">
        <v>47</v>
      </c>
      <c r="S40" s="49"/>
      <c r="T40" s="39"/>
    </row>
    <row r="41" spans="2:21" x14ac:dyDescent="0.2">
      <c r="B41" s="4" t="s">
        <v>94</v>
      </c>
      <c r="S41" s="49">
        <f>R35/'2021'!L33</f>
        <v>0</v>
      </c>
    </row>
    <row r="43" spans="2:21" x14ac:dyDescent="0.2">
      <c r="P43" t="s">
        <v>185</v>
      </c>
    </row>
    <row r="44" spans="2:21" x14ac:dyDescent="0.2">
      <c r="P44">
        <v>21.92</v>
      </c>
    </row>
    <row r="45" spans="2:21" x14ac:dyDescent="0.2">
      <c r="P45">
        <v>22.31</v>
      </c>
    </row>
    <row r="46" spans="2:21" x14ac:dyDescent="0.2">
      <c r="P46">
        <v>27.99</v>
      </c>
    </row>
    <row r="47" spans="2:21" x14ac:dyDescent="0.2">
      <c r="P47">
        <v>28.13</v>
      </c>
    </row>
    <row r="48" spans="2:21" x14ac:dyDescent="0.2">
      <c r="P48">
        <v>111.5</v>
      </c>
    </row>
    <row r="49" spans="16:16" x14ac:dyDescent="0.2">
      <c r="P49">
        <v>322.97000000000003</v>
      </c>
    </row>
    <row r="50" spans="16:16" x14ac:dyDescent="0.2">
      <c r="P50">
        <v>308.76</v>
      </c>
    </row>
    <row r="51" spans="16:16" ht="17" thickBot="1" x14ac:dyDescent="0.25">
      <c r="P51" s="98">
        <f>SUM(P44:P50)</f>
        <v>843.58</v>
      </c>
    </row>
    <row r="52" spans="16:16" ht="17" thickTop="1" x14ac:dyDescent="0.2"/>
    <row r="55" spans="16:16" x14ac:dyDescent="0.2">
      <c r="P55">
        <v>1436</v>
      </c>
    </row>
    <row r="56" spans="16:16" x14ac:dyDescent="0.2">
      <c r="P56">
        <v>1039.32</v>
      </c>
    </row>
    <row r="57" spans="16:16" x14ac:dyDescent="0.2">
      <c r="P57">
        <f>SUM(P55:P56)</f>
        <v>2475.3199999999997</v>
      </c>
    </row>
  </sheetData>
  <mergeCells count="3">
    <mergeCell ref="D2:Q2"/>
    <mergeCell ref="B6:B8"/>
    <mergeCell ref="B11:B37"/>
  </mergeCells>
  <pageMargins left="1" right="1" top="1" bottom="1" header="0.5" footer="0.5"/>
  <pageSetup paperSize="5" scale="74" orientation="landscape" horizontalDpi="1200" verticalDpi="1200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986E2-6F4D-4668-81EE-7FCC04398B01}">
  <sheetPr>
    <pageSetUpPr fitToPage="1"/>
  </sheetPr>
  <dimension ref="B1:U39"/>
  <sheetViews>
    <sheetView showGridLines="0" topLeftCell="C1" zoomScale="85" zoomScaleNormal="85" zoomScalePageLayoutView="85" workbookViewId="0">
      <pane xSplit="2" ySplit="4" topLeftCell="F5" activePane="bottomRight" state="frozen"/>
      <selection activeCell="C1" sqref="C1"/>
      <selection pane="topRight" activeCell="E1" sqref="E1"/>
      <selection pane="bottomLeft" activeCell="C5" sqref="C5"/>
      <selection pane="bottomRight" activeCell="M7" sqref="J7:M7"/>
    </sheetView>
  </sheetViews>
  <sheetFormatPr baseColWidth="10" defaultColWidth="11" defaultRowHeight="16" x14ac:dyDescent="0.2"/>
  <cols>
    <col min="1" max="1" width="2.83203125" customWidth="1"/>
    <col min="2" max="2" width="23.83203125" style="3" customWidth="1"/>
    <col min="3" max="3" width="2.83203125" customWidth="1"/>
    <col min="4" max="4" width="24.5" style="3" bestFit="1" customWidth="1"/>
    <col min="5" max="17" width="11" customWidth="1"/>
    <col min="18" max="18" width="2.83203125" customWidth="1"/>
    <col min="19" max="19" width="13.6640625" bestFit="1" customWidth="1"/>
  </cols>
  <sheetData>
    <row r="1" spans="2:21" ht="8" customHeight="1" x14ac:dyDescent="0.2"/>
    <row r="2" spans="2:21" ht="21" customHeight="1" x14ac:dyDescent="0.2">
      <c r="D2" s="236" t="s">
        <v>105</v>
      </c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8"/>
      <c r="S2" t="s">
        <v>42</v>
      </c>
      <c r="T2" s="7"/>
    </row>
    <row r="3" spans="2:21" ht="8" customHeight="1" x14ac:dyDescent="0.2"/>
    <row r="4" spans="2:21" x14ac:dyDescent="0.2">
      <c r="D4" s="5" t="s">
        <v>11</v>
      </c>
      <c r="E4" s="5" t="s">
        <v>0</v>
      </c>
      <c r="F4" s="5" t="s">
        <v>1</v>
      </c>
      <c r="G4" s="5" t="s">
        <v>2</v>
      </c>
      <c r="H4" s="5" t="s">
        <v>3</v>
      </c>
      <c r="I4" s="5" t="s">
        <v>4</v>
      </c>
      <c r="J4" s="5" t="s">
        <v>36</v>
      </c>
      <c r="K4" s="5" t="s">
        <v>37</v>
      </c>
      <c r="L4" s="5" t="s">
        <v>5</v>
      </c>
      <c r="M4" s="5" t="s">
        <v>6</v>
      </c>
      <c r="N4" s="5" t="s">
        <v>7</v>
      </c>
      <c r="O4" s="5" t="s">
        <v>8</v>
      </c>
      <c r="P4" s="5" t="s">
        <v>9</v>
      </c>
      <c r="Q4" s="5" t="s">
        <v>39</v>
      </c>
    </row>
    <row r="5" spans="2:21" ht="8" customHeight="1" x14ac:dyDescent="0.2"/>
    <row r="6" spans="2:21" x14ac:dyDescent="0.2">
      <c r="B6" s="239" t="s">
        <v>34</v>
      </c>
      <c r="D6" s="11" t="s">
        <v>13</v>
      </c>
      <c r="E6" s="13">
        <v>1185</v>
      </c>
      <c r="F6" s="13">
        <v>17600</v>
      </c>
      <c r="G6" s="13">
        <v>42200</v>
      </c>
      <c r="H6" s="13">
        <v>7800</v>
      </c>
      <c r="I6" s="13">
        <v>400</v>
      </c>
      <c r="J6" s="13">
        <v>877</v>
      </c>
      <c r="K6" s="13">
        <v>1830</v>
      </c>
      <c r="L6" s="13">
        <v>400</v>
      </c>
      <c r="M6" s="13">
        <v>1400</v>
      </c>
      <c r="N6" s="13">
        <v>0</v>
      </c>
      <c r="O6" s="13">
        <v>400</v>
      </c>
      <c r="P6" s="13">
        <v>400</v>
      </c>
      <c r="Q6" s="14">
        <v>74492</v>
      </c>
      <c r="S6" t="s">
        <v>40</v>
      </c>
      <c r="T6" s="99"/>
    </row>
    <row r="7" spans="2:21" x14ac:dyDescent="0.2">
      <c r="B7" s="241"/>
      <c r="D7" s="15" t="s">
        <v>46</v>
      </c>
      <c r="E7" s="16">
        <v>0</v>
      </c>
      <c r="F7" s="16"/>
      <c r="G7" s="16"/>
      <c r="H7" s="16"/>
      <c r="I7" s="16">
        <v>0</v>
      </c>
      <c r="J7" s="16">
        <v>175</v>
      </c>
      <c r="K7" s="16">
        <v>0</v>
      </c>
      <c r="L7" s="16">
        <v>59</v>
      </c>
      <c r="M7" s="16">
        <v>34</v>
      </c>
      <c r="N7" s="16">
        <v>0</v>
      </c>
      <c r="O7" s="16">
        <v>0</v>
      </c>
      <c r="P7" s="16"/>
      <c r="Q7" s="17"/>
      <c r="S7" t="s">
        <v>41</v>
      </c>
    </row>
    <row r="8" spans="2:21" x14ac:dyDescent="0.2">
      <c r="D8" s="12" t="s">
        <v>39</v>
      </c>
      <c r="E8" s="14">
        <f>SUM(E6:E7)</f>
        <v>1185</v>
      </c>
      <c r="F8" s="14">
        <f t="shared" ref="F8:Q8" si="0">SUM(F6:F7)</f>
        <v>17600</v>
      </c>
      <c r="G8" s="14">
        <f t="shared" si="0"/>
        <v>42200</v>
      </c>
      <c r="H8" s="14">
        <f t="shared" si="0"/>
        <v>7800</v>
      </c>
      <c r="I8" s="14">
        <f t="shared" si="0"/>
        <v>400</v>
      </c>
      <c r="J8" s="14">
        <f t="shared" si="0"/>
        <v>1052</v>
      </c>
      <c r="K8" s="14">
        <f>SUM(K6:K7)</f>
        <v>1830</v>
      </c>
      <c r="L8" s="14">
        <f t="shared" si="0"/>
        <v>459</v>
      </c>
      <c r="M8" s="14">
        <f t="shared" si="0"/>
        <v>1434</v>
      </c>
      <c r="N8" s="14">
        <f t="shared" si="0"/>
        <v>0</v>
      </c>
      <c r="O8" s="14">
        <f t="shared" si="0"/>
        <v>400</v>
      </c>
      <c r="P8" s="14">
        <f t="shared" si="0"/>
        <v>400</v>
      </c>
      <c r="Q8" s="14">
        <f t="shared" si="0"/>
        <v>74492</v>
      </c>
      <c r="T8" s="9"/>
    </row>
    <row r="9" spans="2:21" x14ac:dyDescent="0.2">
      <c r="D9"/>
    </row>
    <row r="10" spans="2:21" x14ac:dyDescent="0.2">
      <c r="B10" s="239" t="s">
        <v>35</v>
      </c>
      <c r="D10" s="11" t="s">
        <v>79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-227.86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4">
        <f t="shared" ref="Q10:Q28" si="1">SUM(E10:P10)</f>
        <v>-227.86</v>
      </c>
    </row>
    <row r="11" spans="2:21" x14ac:dyDescent="0.2">
      <c r="B11" s="240"/>
      <c r="D11" s="11" t="s">
        <v>12</v>
      </c>
      <c r="E11" s="13">
        <v>-74.989999999999995</v>
      </c>
      <c r="F11" s="13">
        <v>-75.540000000000006</v>
      </c>
      <c r="G11" s="13">
        <v>-75.290000000000006</v>
      </c>
      <c r="H11" s="13">
        <v>-75.290000000000006</v>
      </c>
      <c r="I11" s="13">
        <v>-75.489999999999995</v>
      </c>
      <c r="J11" s="13">
        <v>-75.400000000000006</v>
      </c>
      <c r="K11" s="13">
        <v>-75.400000000000006</v>
      </c>
      <c r="L11" s="13">
        <v>-75.2</v>
      </c>
      <c r="M11" s="13">
        <v>-75.290000000000006</v>
      </c>
      <c r="N11" s="13">
        <v>-75.290000000000006</v>
      </c>
      <c r="O11" s="13">
        <v>-74.98</v>
      </c>
      <c r="P11" s="13">
        <v>-74.989999999999995</v>
      </c>
      <c r="Q11" s="14">
        <f t="shared" si="1"/>
        <v>-903.15</v>
      </c>
      <c r="S11" t="s">
        <v>43</v>
      </c>
      <c r="T11">
        <v>186</v>
      </c>
    </row>
    <row r="12" spans="2:21" x14ac:dyDescent="0.2">
      <c r="B12" s="240"/>
      <c r="D12" s="11" t="s">
        <v>82</v>
      </c>
      <c r="E12" s="13">
        <v>0</v>
      </c>
      <c r="F12" s="13">
        <v>0</v>
      </c>
      <c r="G12" s="13">
        <v>0</v>
      </c>
      <c r="H12" s="13">
        <v>-2195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4">
        <f t="shared" si="1"/>
        <v>-2195</v>
      </c>
      <c r="S12" t="s">
        <v>44</v>
      </c>
      <c r="T12">
        <v>400</v>
      </c>
    </row>
    <row r="13" spans="2:21" x14ac:dyDescent="0.2">
      <c r="B13" s="240"/>
      <c r="D13" s="11" t="s">
        <v>19</v>
      </c>
      <c r="E13" s="13">
        <v>0</v>
      </c>
      <c r="F13" s="13">
        <v>-976.5</v>
      </c>
      <c r="G13" s="13">
        <v>0</v>
      </c>
      <c r="H13" s="13">
        <v>0</v>
      </c>
      <c r="I13" s="13">
        <v>0</v>
      </c>
      <c r="J13" s="13">
        <v>0</v>
      </c>
      <c r="K13" s="13">
        <v>-310</v>
      </c>
      <c r="L13" s="13">
        <v>0</v>
      </c>
      <c r="M13" s="13">
        <v>0</v>
      </c>
      <c r="N13" s="13">
        <v>0</v>
      </c>
      <c r="O13" s="13">
        <v>-20</v>
      </c>
      <c r="P13" s="13">
        <v>0</v>
      </c>
      <c r="Q13" s="14">
        <f t="shared" si="1"/>
        <v>-1306.5</v>
      </c>
      <c r="S13" t="s">
        <v>39</v>
      </c>
      <c r="T13" s="8">
        <v>74400</v>
      </c>
      <c r="U13" s="28">
        <f>(T6-T7)*T11</f>
        <v>0</v>
      </c>
    </row>
    <row r="14" spans="2:21" x14ac:dyDescent="0.2">
      <c r="B14" s="240"/>
      <c r="D14" s="11" t="s">
        <v>84</v>
      </c>
      <c r="E14" s="13">
        <v>-206.19</v>
      </c>
      <c r="F14" s="13">
        <v>0</v>
      </c>
      <c r="G14" s="13">
        <v>-150.08000000000001</v>
      </c>
      <c r="H14" s="13">
        <v>0</v>
      </c>
      <c r="I14" s="13">
        <v>-232.79</v>
      </c>
      <c r="J14" s="13">
        <v>0</v>
      </c>
      <c r="K14" s="13">
        <v>-261.79000000000002</v>
      </c>
      <c r="L14" s="13">
        <v>0</v>
      </c>
      <c r="M14" s="13">
        <v>-218.58</v>
      </c>
      <c r="N14" s="13">
        <v>0</v>
      </c>
      <c r="O14" s="13">
        <v>-192.49</v>
      </c>
      <c r="P14" s="13">
        <v>0</v>
      </c>
      <c r="Q14" s="14">
        <f t="shared" si="1"/>
        <v>-1261.9199999999998</v>
      </c>
    </row>
    <row r="15" spans="2:21" x14ac:dyDescent="0.2">
      <c r="B15" s="240"/>
      <c r="D15" s="11" t="s">
        <v>87</v>
      </c>
      <c r="E15" s="13">
        <v>0</v>
      </c>
      <c r="F15" s="13">
        <v>0</v>
      </c>
      <c r="G15" s="13">
        <v>0</v>
      </c>
      <c r="H15" s="13">
        <v>-3726.45</v>
      </c>
      <c r="I15" s="13">
        <v>-6253.55</v>
      </c>
      <c r="J15" s="13">
        <v>-6210.75</v>
      </c>
      <c r="K15" s="13">
        <v>-6210.73</v>
      </c>
      <c r="L15" s="13">
        <v>-2484.31</v>
      </c>
      <c r="M15" s="13">
        <v>0</v>
      </c>
      <c r="N15" s="13">
        <v>0</v>
      </c>
      <c r="O15" s="13">
        <v>0</v>
      </c>
      <c r="P15" s="13">
        <v>0</v>
      </c>
      <c r="Q15" s="14">
        <f t="shared" si="1"/>
        <v>-24885.79</v>
      </c>
    </row>
    <row r="16" spans="2:21" x14ac:dyDescent="0.2">
      <c r="B16" s="240"/>
      <c r="D16" s="11" t="s">
        <v>88</v>
      </c>
      <c r="E16" s="13">
        <v>0</v>
      </c>
      <c r="F16" s="13">
        <v>-107</v>
      </c>
      <c r="G16" s="13">
        <v>0</v>
      </c>
      <c r="H16" s="13">
        <v>0</v>
      </c>
      <c r="I16" s="13">
        <v>0</v>
      </c>
      <c r="J16" s="13">
        <v>-40</v>
      </c>
      <c r="K16" s="13">
        <v>0</v>
      </c>
      <c r="L16" s="13">
        <v>-29.94</v>
      </c>
      <c r="M16" s="13">
        <v>0</v>
      </c>
      <c r="N16" s="13">
        <v>0</v>
      </c>
      <c r="O16" s="13">
        <v>0</v>
      </c>
      <c r="P16" s="13">
        <v>0</v>
      </c>
      <c r="Q16" s="14">
        <f t="shared" si="1"/>
        <v>-176.94</v>
      </c>
      <c r="S16" t="s">
        <v>80</v>
      </c>
      <c r="T16" s="27"/>
    </row>
    <row r="17" spans="2:17" x14ac:dyDescent="0.2">
      <c r="B17" s="240"/>
      <c r="D17" s="11" t="s">
        <v>78</v>
      </c>
      <c r="E17" s="13">
        <v>-26.05</v>
      </c>
      <c r="F17" s="13">
        <v>-49.98</v>
      </c>
      <c r="G17" s="13">
        <v>0</v>
      </c>
      <c r="H17" s="13">
        <v>0</v>
      </c>
      <c r="I17" s="13">
        <v>0</v>
      </c>
      <c r="J17" s="13">
        <v>-1541.49</v>
      </c>
      <c r="K17" s="13">
        <v>-2245.81</v>
      </c>
      <c r="L17" s="13">
        <v>-618.94000000000005</v>
      </c>
      <c r="M17" s="13">
        <v>0</v>
      </c>
      <c r="N17" s="13">
        <v>0</v>
      </c>
      <c r="O17" s="13">
        <v>-1387.75</v>
      </c>
      <c r="P17" s="13">
        <v>-26.61</v>
      </c>
      <c r="Q17" s="14">
        <f t="shared" si="1"/>
        <v>-5896.63</v>
      </c>
    </row>
    <row r="18" spans="2:17" x14ac:dyDescent="0.2">
      <c r="B18" s="240"/>
      <c r="D18" s="11" t="s">
        <v>15</v>
      </c>
      <c r="E18" s="13">
        <v>-855.46</v>
      </c>
      <c r="F18" s="13">
        <v>-912.53</v>
      </c>
      <c r="G18" s="13">
        <v>-916.38</v>
      </c>
      <c r="H18" s="13">
        <v>-900</v>
      </c>
      <c r="I18" s="13">
        <v>-960.52</v>
      </c>
      <c r="J18" s="13">
        <v>-1164.8900000000001</v>
      </c>
      <c r="K18" s="13">
        <v>-713.22</v>
      </c>
      <c r="L18" s="13">
        <v>-1004.64</v>
      </c>
      <c r="M18" s="13">
        <v>-980.07</v>
      </c>
      <c r="N18" s="13">
        <v>-1006.83</v>
      </c>
      <c r="O18" s="13">
        <v>-974.55</v>
      </c>
      <c r="P18" s="13">
        <v>-946.12</v>
      </c>
      <c r="Q18" s="14">
        <f t="shared" si="1"/>
        <v>-11335.210000000001</v>
      </c>
    </row>
    <row r="19" spans="2:17" x14ac:dyDescent="0.2">
      <c r="B19" s="240"/>
      <c r="D19" s="11" t="s">
        <v>17</v>
      </c>
      <c r="E19" s="13">
        <v>-1000</v>
      </c>
      <c r="F19" s="13">
        <v>0</v>
      </c>
      <c r="G19" s="13">
        <v>-1200</v>
      </c>
      <c r="H19" s="13">
        <v>-3450</v>
      </c>
      <c r="I19" s="13">
        <v>-1200</v>
      </c>
      <c r="J19" s="13">
        <v>-1200</v>
      </c>
      <c r="K19" s="13">
        <v>-1450</v>
      </c>
      <c r="L19" s="13">
        <v>-1200</v>
      </c>
      <c r="M19" s="13">
        <v>-1550</v>
      </c>
      <c r="N19" s="13">
        <v>-2700</v>
      </c>
      <c r="O19" s="13">
        <v>-1800</v>
      </c>
      <c r="P19" s="13">
        <v>-1200</v>
      </c>
      <c r="Q19" s="14">
        <f>SUM(E19:P19)</f>
        <v>-17950</v>
      </c>
    </row>
    <row r="20" spans="2:17" x14ac:dyDescent="0.2">
      <c r="B20" s="240"/>
      <c r="D20" s="11" t="s">
        <v>16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-51.89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4">
        <f t="shared" si="1"/>
        <v>-51.89</v>
      </c>
    </row>
    <row r="21" spans="2:17" x14ac:dyDescent="0.2">
      <c r="B21" s="240"/>
      <c r="D21" s="11" t="s">
        <v>20</v>
      </c>
      <c r="E21" s="13">
        <v>0</v>
      </c>
      <c r="F21" s="13">
        <v>-280.31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4">
        <f t="shared" si="1"/>
        <v>-280.31</v>
      </c>
    </row>
    <row r="22" spans="2:17" x14ac:dyDescent="0.2">
      <c r="B22" s="240"/>
      <c r="D22" s="11" t="s">
        <v>83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4">
        <f t="shared" si="1"/>
        <v>0</v>
      </c>
    </row>
    <row r="23" spans="2:17" x14ac:dyDescent="0.2">
      <c r="B23" s="240"/>
      <c r="D23" s="11" t="s">
        <v>86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4">
        <f t="shared" si="1"/>
        <v>0</v>
      </c>
    </row>
    <row r="24" spans="2:17" x14ac:dyDescent="0.2">
      <c r="B24" s="240"/>
      <c r="D24" s="11" t="s">
        <v>38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-166</v>
      </c>
      <c r="O24" s="13">
        <v>0</v>
      </c>
      <c r="P24" s="13">
        <v>0</v>
      </c>
      <c r="Q24" s="14">
        <f t="shared" si="1"/>
        <v>-166</v>
      </c>
    </row>
    <row r="25" spans="2:17" x14ac:dyDescent="0.2">
      <c r="B25" s="240"/>
      <c r="D25" s="11" t="s">
        <v>85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-200</v>
      </c>
      <c r="N25" s="13">
        <v>0</v>
      </c>
      <c r="O25" s="13">
        <v>0</v>
      </c>
      <c r="P25" s="13">
        <v>0</v>
      </c>
      <c r="Q25" s="14">
        <f t="shared" si="1"/>
        <v>-200</v>
      </c>
    </row>
    <row r="26" spans="2:17" x14ac:dyDescent="0.2">
      <c r="B26" s="240"/>
      <c r="D26" s="11" t="s">
        <v>24</v>
      </c>
      <c r="E26" s="13">
        <v>0</v>
      </c>
      <c r="F26" s="13">
        <v>-177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4">
        <f t="shared" si="1"/>
        <v>-177</v>
      </c>
    </row>
    <row r="27" spans="2:17" x14ac:dyDescent="0.2">
      <c r="B27" s="240"/>
      <c r="D27" s="11" t="s">
        <v>22</v>
      </c>
      <c r="E27" s="13">
        <v>0</v>
      </c>
      <c r="F27" s="13">
        <v>0</v>
      </c>
      <c r="G27" s="13">
        <v>0</v>
      </c>
      <c r="H27" s="13">
        <v>0</v>
      </c>
      <c r="I27" s="13">
        <v>-100</v>
      </c>
      <c r="J27" s="13">
        <v>-100</v>
      </c>
      <c r="K27" s="13">
        <v>-100</v>
      </c>
      <c r="L27" s="13">
        <v>-100</v>
      </c>
      <c r="M27" s="13">
        <v>-100</v>
      </c>
      <c r="N27" s="13">
        <v>0</v>
      </c>
      <c r="O27" s="13">
        <v>0</v>
      </c>
      <c r="P27" s="13">
        <v>0</v>
      </c>
      <c r="Q27" s="14">
        <f t="shared" si="1"/>
        <v>-500</v>
      </c>
    </row>
    <row r="28" spans="2:17" x14ac:dyDescent="0.2">
      <c r="B28" s="240"/>
      <c r="D28" s="15" t="s">
        <v>14</v>
      </c>
      <c r="E28" s="13">
        <v>-162.05000000000001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-132</v>
      </c>
      <c r="M28" s="13">
        <v>0</v>
      </c>
      <c r="N28" s="13">
        <v>0</v>
      </c>
      <c r="O28" s="13">
        <v>0</v>
      </c>
      <c r="P28" s="13">
        <v>0</v>
      </c>
      <c r="Q28" s="17">
        <f t="shared" si="1"/>
        <v>-294.05</v>
      </c>
    </row>
    <row r="29" spans="2:17" x14ac:dyDescent="0.2">
      <c r="B29" s="240"/>
      <c r="D29" s="15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7"/>
    </row>
    <row r="30" spans="2:17" x14ac:dyDescent="0.2">
      <c r="B30" s="240"/>
      <c r="D30" s="12" t="s">
        <v>39</v>
      </c>
      <c r="E30" s="14">
        <f t="shared" ref="E30:Q30" si="2">SUM(E10:E28)</f>
        <v>-2324.7400000000002</v>
      </c>
      <c r="F30" s="14">
        <f t="shared" si="2"/>
        <v>-2578.86</v>
      </c>
      <c r="G30" s="14">
        <f t="shared" si="2"/>
        <v>-2341.75</v>
      </c>
      <c r="H30" s="14">
        <f t="shared" si="2"/>
        <v>-10346.74</v>
      </c>
      <c r="I30" s="14">
        <f t="shared" si="2"/>
        <v>-8822.35</v>
      </c>
      <c r="J30" s="14">
        <f t="shared" si="2"/>
        <v>-10560.39</v>
      </c>
      <c r="K30" s="14">
        <f t="shared" si="2"/>
        <v>-11418.839999999998</v>
      </c>
      <c r="L30" s="14">
        <f t="shared" si="2"/>
        <v>-5645.03</v>
      </c>
      <c r="M30" s="14">
        <f t="shared" si="2"/>
        <v>-3123.94</v>
      </c>
      <c r="N30" s="14">
        <f t="shared" si="2"/>
        <v>-3948.12</v>
      </c>
      <c r="O30" s="14">
        <f t="shared" si="2"/>
        <v>-4449.7700000000004</v>
      </c>
      <c r="P30" s="14">
        <f t="shared" si="2"/>
        <v>-2247.7200000000003</v>
      </c>
      <c r="Q30" s="14">
        <f t="shared" si="2"/>
        <v>-67808.25</v>
      </c>
    </row>
    <row r="31" spans="2:17" x14ac:dyDescent="0.2">
      <c r="B31" s="24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2:17" x14ac:dyDescent="0.2">
      <c r="B32" s="240"/>
      <c r="D32" s="12" t="s">
        <v>162</v>
      </c>
      <c r="E32" s="14">
        <f t="shared" ref="E32:Q32" si="3">E8+E30</f>
        <v>-1139.7400000000002</v>
      </c>
      <c r="F32" s="14">
        <f t="shared" si="3"/>
        <v>15021.14</v>
      </c>
      <c r="G32" s="14">
        <f t="shared" si="3"/>
        <v>39858.25</v>
      </c>
      <c r="H32" s="14">
        <f t="shared" si="3"/>
        <v>-2546.7399999999998</v>
      </c>
      <c r="I32" s="14">
        <f t="shared" si="3"/>
        <v>-8422.35</v>
      </c>
      <c r="J32" s="14">
        <f t="shared" si="3"/>
        <v>-9508.39</v>
      </c>
      <c r="K32" s="14">
        <f t="shared" si="3"/>
        <v>-9588.8399999999983</v>
      </c>
      <c r="L32" s="14">
        <f t="shared" si="3"/>
        <v>-5186.03</v>
      </c>
      <c r="M32" s="14">
        <f t="shared" si="3"/>
        <v>-1689.94</v>
      </c>
      <c r="N32" s="14">
        <f t="shared" si="3"/>
        <v>-3948.12</v>
      </c>
      <c r="O32" s="14">
        <f t="shared" si="3"/>
        <v>-4049.7700000000004</v>
      </c>
      <c r="P32" s="14">
        <f t="shared" si="3"/>
        <v>-1847.7200000000003</v>
      </c>
      <c r="Q32" s="14">
        <f t="shared" si="3"/>
        <v>6683.75</v>
      </c>
    </row>
    <row r="33" spans="2:18" x14ac:dyDescent="0.2">
      <c r="B33" s="240"/>
      <c r="D33" s="3" t="s">
        <v>109</v>
      </c>
      <c r="L33" s="2">
        <v>41676</v>
      </c>
    </row>
    <row r="34" spans="2:18" x14ac:dyDescent="0.2">
      <c r="B34" s="240"/>
    </row>
    <row r="35" spans="2:18" x14ac:dyDescent="0.2">
      <c r="B35" s="240"/>
    </row>
    <row r="36" spans="2:18" x14ac:dyDescent="0.2">
      <c r="B36" s="241"/>
    </row>
    <row r="38" spans="2:18" ht="8" customHeight="1" x14ac:dyDescent="0.2">
      <c r="R38" s="2"/>
    </row>
    <row r="39" spans="2:18" x14ac:dyDescent="0.2">
      <c r="B39" s="12" t="s">
        <v>47</v>
      </c>
    </row>
  </sheetData>
  <mergeCells count="3">
    <mergeCell ref="D2:Q2"/>
    <mergeCell ref="B6:B7"/>
    <mergeCell ref="B10:B36"/>
  </mergeCells>
  <pageMargins left="1" right="1" top="1" bottom="1" header="0.5" footer="0.5"/>
  <pageSetup paperSize="5" scale="60" orientation="landscape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CEDDC-624B-47F7-9D17-F5691BFDBF55}">
  <sheetPr>
    <pageSetUpPr fitToPage="1"/>
  </sheetPr>
  <dimension ref="B1:U37"/>
  <sheetViews>
    <sheetView showGridLines="0" topLeftCell="E21" zoomScale="85" zoomScaleNormal="85" zoomScalePageLayoutView="85" workbookViewId="0">
      <selection activeCell="T6" sqref="T6"/>
    </sheetView>
  </sheetViews>
  <sheetFormatPr baseColWidth="10" defaultColWidth="11" defaultRowHeight="16" x14ac:dyDescent="0.2"/>
  <cols>
    <col min="1" max="1" width="2.83203125" customWidth="1"/>
    <col min="2" max="2" width="23.83203125" style="3" customWidth="1"/>
    <col min="3" max="3" width="2.83203125" customWidth="1"/>
    <col min="4" max="4" width="24.5" style="3" bestFit="1" customWidth="1"/>
    <col min="5" max="17" width="11" customWidth="1"/>
    <col min="18" max="18" width="2.83203125" customWidth="1"/>
    <col min="19" max="19" width="13.6640625" bestFit="1" customWidth="1"/>
  </cols>
  <sheetData>
    <row r="1" spans="2:21" ht="8" customHeight="1" x14ac:dyDescent="0.2"/>
    <row r="2" spans="2:21" ht="21" customHeight="1" x14ac:dyDescent="0.2">
      <c r="D2" s="236" t="s">
        <v>126</v>
      </c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8"/>
      <c r="S2" t="s">
        <v>42</v>
      </c>
      <c r="T2" s="7"/>
    </row>
    <row r="3" spans="2:21" ht="8" customHeight="1" x14ac:dyDescent="0.2"/>
    <row r="4" spans="2:21" x14ac:dyDescent="0.2">
      <c r="D4" s="5" t="s">
        <v>11</v>
      </c>
      <c r="E4" s="5" t="s">
        <v>0</v>
      </c>
      <c r="F4" s="5" t="s">
        <v>1</v>
      </c>
      <c r="G4" s="5" t="s">
        <v>2</v>
      </c>
      <c r="H4" s="5" t="s">
        <v>3</v>
      </c>
      <c r="I4" s="5" t="s">
        <v>4</v>
      </c>
      <c r="J4" s="5" t="s">
        <v>36</v>
      </c>
      <c r="K4" s="5" t="s">
        <v>37</v>
      </c>
      <c r="L4" s="5" t="s">
        <v>5</v>
      </c>
      <c r="M4" s="5" t="s">
        <v>6</v>
      </c>
      <c r="N4" s="5" t="s">
        <v>7</v>
      </c>
      <c r="O4" s="5" t="s">
        <v>8</v>
      </c>
      <c r="P4" s="5" t="s">
        <v>9</v>
      </c>
      <c r="Q4" s="5" t="s">
        <v>39</v>
      </c>
    </row>
    <row r="5" spans="2:21" ht="8" customHeight="1" x14ac:dyDescent="0.2"/>
    <row r="6" spans="2:21" x14ac:dyDescent="0.2">
      <c r="B6" s="239" t="s">
        <v>34</v>
      </c>
      <c r="D6" s="11" t="s">
        <v>13</v>
      </c>
      <c r="E6" s="13">
        <v>697</v>
      </c>
      <c r="F6" s="13">
        <v>21200</v>
      </c>
      <c r="G6" s="13">
        <v>33450</v>
      </c>
      <c r="H6" s="13">
        <v>11200</v>
      </c>
      <c r="I6" s="13">
        <v>2060</v>
      </c>
      <c r="J6" s="13">
        <v>2088</v>
      </c>
      <c r="K6" s="13">
        <v>800</v>
      </c>
      <c r="L6" s="13">
        <v>800</v>
      </c>
      <c r="M6" s="13">
        <v>460</v>
      </c>
      <c r="N6" s="13">
        <v>0</v>
      </c>
      <c r="O6" s="13">
        <v>0</v>
      </c>
      <c r="P6" s="13">
        <v>1400</v>
      </c>
      <c r="Q6" s="14">
        <v>74155</v>
      </c>
      <c r="S6" t="s">
        <v>40</v>
      </c>
      <c r="T6" s="99"/>
    </row>
    <row r="7" spans="2:21" x14ac:dyDescent="0.2">
      <c r="B7" s="241"/>
      <c r="D7" s="15" t="s">
        <v>46</v>
      </c>
      <c r="E7" s="16">
        <v>0</v>
      </c>
      <c r="F7" s="16"/>
      <c r="G7" s="16"/>
      <c r="H7" s="16"/>
      <c r="I7" s="16">
        <v>20</v>
      </c>
      <c r="J7" s="16">
        <v>0</v>
      </c>
      <c r="K7" s="16">
        <v>98</v>
      </c>
      <c r="L7" s="16">
        <v>88</v>
      </c>
      <c r="M7" s="16">
        <v>0</v>
      </c>
      <c r="N7" s="16">
        <v>77</v>
      </c>
      <c r="O7" s="16">
        <v>0</v>
      </c>
      <c r="P7" s="16"/>
      <c r="Q7" s="17">
        <f>SUM(E7:P7)</f>
        <v>283</v>
      </c>
      <c r="S7" t="s">
        <v>41</v>
      </c>
    </row>
    <row r="8" spans="2:21" x14ac:dyDescent="0.2">
      <c r="D8" s="12" t="s">
        <v>39</v>
      </c>
      <c r="E8" s="14">
        <f>SUM(E6:E7)</f>
        <v>697</v>
      </c>
      <c r="F8" s="14">
        <f t="shared" ref="F8:Q8" si="0">SUM(F6:F7)</f>
        <v>21200</v>
      </c>
      <c r="G8" s="14">
        <f t="shared" si="0"/>
        <v>33450</v>
      </c>
      <c r="H8" s="14">
        <f t="shared" si="0"/>
        <v>11200</v>
      </c>
      <c r="I8" s="14">
        <f t="shared" si="0"/>
        <v>2080</v>
      </c>
      <c r="J8" s="14">
        <f t="shared" si="0"/>
        <v>2088</v>
      </c>
      <c r="K8" s="14">
        <f>SUM(K6:K7)</f>
        <v>898</v>
      </c>
      <c r="L8" s="14">
        <f t="shared" si="0"/>
        <v>888</v>
      </c>
      <c r="M8" s="14">
        <f t="shared" si="0"/>
        <v>460</v>
      </c>
      <c r="N8" s="14">
        <f t="shared" si="0"/>
        <v>77</v>
      </c>
      <c r="O8" s="14">
        <f t="shared" si="0"/>
        <v>0</v>
      </c>
      <c r="P8" s="14">
        <f t="shared" si="0"/>
        <v>1400</v>
      </c>
      <c r="Q8" s="14">
        <f t="shared" si="0"/>
        <v>74438</v>
      </c>
      <c r="T8" s="9"/>
    </row>
    <row r="9" spans="2:21" x14ac:dyDescent="0.2">
      <c r="D9"/>
    </row>
    <row r="10" spans="2:21" x14ac:dyDescent="0.2">
      <c r="B10" s="239" t="s">
        <v>35</v>
      </c>
      <c r="D10" s="11" t="s">
        <v>79</v>
      </c>
      <c r="E10" s="13">
        <v>0</v>
      </c>
      <c r="F10" s="13">
        <v>0</v>
      </c>
      <c r="G10" s="13">
        <v>0</v>
      </c>
      <c r="H10" s="13">
        <v>0</v>
      </c>
      <c r="I10" s="13">
        <v>-236.78</v>
      </c>
      <c r="J10" s="13">
        <v>-4025</v>
      </c>
      <c r="K10" s="13">
        <v>-873.95</v>
      </c>
      <c r="L10" s="13">
        <v>0</v>
      </c>
      <c r="M10" s="13">
        <v>-2190.71</v>
      </c>
      <c r="N10" s="13">
        <v>0</v>
      </c>
      <c r="O10" s="13">
        <v>0</v>
      </c>
      <c r="P10" s="13">
        <v>0</v>
      </c>
      <c r="Q10" s="14">
        <f t="shared" ref="Q10:Q34" si="1">SUM(E10:P10)</f>
        <v>-7326.44</v>
      </c>
    </row>
    <row r="11" spans="2:21" x14ac:dyDescent="0.2">
      <c r="B11" s="240"/>
      <c r="D11" s="11" t="s">
        <v>12</v>
      </c>
      <c r="E11" s="13">
        <v>0</v>
      </c>
      <c r="F11" s="13">
        <v>0</v>
      </c>
      <c r="G11" s="13">
        <v>0</v>
      </c>
      <c r="H11" s="13">
        <v>-317.08</v>
      </c>
      <c r="I11" s="13">
        <v>0</v>
      </c>
      <c r="J11" s="13">
        <v>76.930000000000007</v>
      </c>
      <c r="K11" s="13">
        <v>0</v>
      </c>
      <c r="L11" s="13">
        <v>0</v>
      </c>
      <c r="M11" s="13">
        <v>0</v>
      </c>
      <c r="N11" s="13">
        <v>0</v>
      </c>
      <c r="O11" s="13">
        <v>-72.87</v>
      </c>
      <c r="P11" s="13">
        <v>-74.989999999999995</v>
      </c>
      <c r="Q11" s="14">
        <f t="shared" si="1"/>
        <v>-388.01</v>
      </c>
      <c r="S11" t="s">
        <v>43</v>
      </c>
      <c r="T11">
        <v>186</v>
      </c>
    </row>
    <row r="12" spans="2:21" x14ac:dyDescent="0.2">
      <c r="B12" s="240"/>
      <c r="D12" s="11" t="s">
        <v>82</v>
      </c>
      <c r="E12" s="13">
        <v>0</v>
      </c>
      <c r="F12" s="13">
        <v>0</v>
      </c>
      <c r="G12" s="13">
        <v>0</v>
      </c>
      <c r="H12" s="13">
        <v>-2524.8000000000002</v>
      </c>
      <c r="I12" s="13">
        <v>26.7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4">
        <f t="shared" si="1"/>
        <v>-2498.1000000000004</v>
      </c>
      <c r="S12" t="s">
        <v>44</v>
      </c>
      <c r="T12">
        <v>400</v>
      </c>
    </row>
    <row r="13" spans="2:21" x14ac:dyDescent="0.2">
      <c r="B13" s="240"/>
      <c r="D13" s="11" t="s">
        <v>19</v>
      </c>
      <c r="E13" s="13">
        <v>0</v>
      </c>
      <c r="F13" s="13">
        <v>-976.5</v>
      </c>
      <c r="G13" s="13">
        <v>0</v>
      </c>
      <c r="H13" s="13">
        <v>-5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-45</v>
      </c>
      <c r="Q13" s="14">
        <f t="shared" si="1"/>
        <v>-1026.5</v>
      </c>
      <c r="S13" t="s">
        <v>39</v>
      </c>
      <c r="T13" s="8">
        <v>74400</v>
      </c>
      <c r="U13" s="28">
        <f>(T6-T7)*T11</f>
        <v>0</v>
      </c>
    </row>
    <row r="14" spans="2:21" x14ac:dyDescent="0.2">
      <c r="B14" s="240"/>
      <c r="D14" s="11" t="s">
        <v>84</v>
      </c>
      <c r="E14" s="13">
        <v>-66.040000000000006</v>
      </c>
      <c r="F14" s="13">
        <v>0</v>
      </c>
      <c r="G14" s="13">
        <v>-86.11</v>
      </c>
      <c r="H14" s="13">
        <v>0</v>
      </c>
      <c r="I14" s="13">
        <v>-210.81</v>
      </c>
      <c r="J14" s="13">
        <v>0</v>
      </c>
      <c r="K14" s="13">
        <v>-200.72</v>
      </c>
      <c r="L14" s="13">
        <v>0</v>
      </c>
      <c r="M14" s="13">
        <v>-382.6</v>
      </c>
      <c r="N14" s="13">
        <v>0</v>
      </c>
      <c r="O14" s="13">
        <v>-253.06</v>
      </c>
      <c r="P14" s="13">
        <v>0</v>
      </c>
      <c r="Q14" s="14">
        <f t="shared" si="1"/>
        <v>-1199.3400000000001</v>
      </c>
    </row>
    <row r="15" spans="2:21" x14ac:dyDescent="0.2">
      <c r="B15" s="240"/>
      <c r="D15" s="11" t="s">
        <v>87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4">
        <f t="shared" si="1"/>
        <v>0</v>
      </c>
    </row>
    <row r="16" spans="2:21" x14ac:dyDescent="0.2">
      <c r="B16" s="240"/>
      <c r="D16" s="11" t="s">
        <v>87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4">
        <f t="shared" si="1"/>
        <v>0</v>
      </c>
      <c r="S16" t="s">
        <v>80</v>
      </c>
      <c r="T16" s="27"/>
    </row>
    <row r="17" spans="2:17" x14ac:dyDescent="0.2">
      <c r="B17" s="240"/>
      <c r="D17" s="11" t="s">
        <v>87</v>
      </c>
      <c r="E17" s="13">
        <v>0</v>
      </c>
      <c r="F17" s="13">
        <v>0</v>
      </c>
      <c r="G17" s="13">
        <v>0</v>
      </c>
      <c r="H17" s="13">
        <v>0</v>
      </c>
      <c r="I17" s="13">
        <v>-3725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4">
        <f t="shared" si="1"/>
        <v>-3725</v>
      </c>
    </row>
    <row r="18" spans="2:17" x14ac:dyDescent="0.2">
      <c r="B18" s="240"/>
      <c r="D18" s="11" t="s">
        <v>87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-6207.69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4">
        <f t="shared" si="1"/>
        <v>-6207.69</v>
      </c>
    </row>
    <row r="19" spans="2:17" x14ac:dyDescent="0.2">
      <c r="B19" s="240"/>
      <c r="D19" s="11" t="s">
        <v>87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-5440.75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4">
        <f t="shared" si="1"/>
        <v>-5440.75</v>
      </c>
    </row>
    <row r="20" spans="2:17" x14ac:dyDescent="0.2">
      <c r="B20" s="240"/>
      <c r="D20" s="11" t="s">
        <v>87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-2484</v>
      </c>
      <c r="M20" s="13">
        <v>0</v>
      </c>
      <c r="N20" s="13">
        <v>0</v>
      </c>
      <c r="O20" s="13">
        <v>0</v>
      </c>
      <c r="P20" s="13">
        <v>0</v>
      </c>
      <c r="Q20" s="14">
        <f t="shared" si="1"/>
        <v>-2484</v>
      </c>
    </row>
    <row r="21" spans="2:17" x14ac:dyDescent="0.2">
      <c r="B21" s="240"/>
      <c r="D21" s="11" t="s">
        <v>87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4">
        <f t="shared" si="1"/>
        <v>0</v>
      </c>
    </row>
    <row r="22" spans="2:17" x14ac:dyDescent="0.2">
      <c r="B22" s="240"/>
      <c r="D22" s="11" t="s">
        <v>88</v>
      </c>
      <c r="E22" s="13">
        <v>0</v>
      </c>
      <c r="F22" s="13">
        <v>-100.08</v>
      </c>
      <c r="G22" s="13">
        <v>0</v>
      </c>
      <c r="H22" s="13">
        <v>0</v>
      </c>
      <c r="I22" s="13">
        <v>0</v>
      </c>
      <c r="J22" s="13">
        <v>-302.92</v>
      </c>
      <c r="K22" s="13">
        <v>0</v>
      </c>
      <c r="L22" s="13">
        <v>0</v>
      </c>
      <c r="M22" s="13">
        <v>-428</v>
      </c>
      <c r="N22" s="13">
        <v>0</v>
      </c>
      <c r="O22" s="13">
        <v>0</v>
      </c>
      <c r="P22" s="13">
        <v>0</v>
      </c>
      <c r="Q22" s="14">
        <f t="shared" si="1"/>
        <v>-831</v>
      </c>
    </row>
    <row r="23" spans="2:17" x14ac:dyDescent="0.2">
      <c r="B23" s="240"/>
      <c r="D23" s="11" t="s">
        <v>78</v>
      </c>
      <c r="E23" s="13">
        <v>-29.75</v>
      </c>
      <c r="F23" s="13">
        <v>-1.2</v>
      </c>
      <c r="G23" s="13">
        <v>-62</v>
      </c>
      <c r="H23" s="13">
        <v>-1163.58</v>
      </c>
      <c r="I23" s="13">
        <v>-10</v>
      </c>
      <c r="J23" s="13">
        <v>-82.25</v>
      </c>
      <c r="K23" s="13">
        <v>-111</v>
      </c>
      <c r="L23" s="13">
        <v>-295.94</v>
      </c>
      <c r="M23" s="13">
        <v>0</v>
      </c>
      <c r="N23" s="13">
        <v>0</v>
      </c>
      <c r="O23" s="13">
        <v>0</v>
      </c>
      <c r="P23" s="13">
        <v>0</v>
      </c>
      <c r="Q23" s="14">
        <f t="shared" si="1"/>
        <v>-1755.72</v>
      </c>
    </row>
    <row r="24" spans="2:17" x14ac:dyDescent="0.2">
      <c r="B24" s="240"/>
      <c r="D24" s="11" t="s">
        <v>15</v>
      </c>
      <c r="E24" s="13">
        <v>-833.36</v>
      </c>
      <c r="F24" s="13">
        <v>-794.29</v>
      </c>
      <c r="G24" s="13">
        <v>-794.04</v>
      </c>
      <c r="H24" s="13">
        <v>-1023.52</v>
      </c>
      <c r="I24" s="13">
        <v>-1034.67</v>
      </c>
      <c r="J24" s="13">
        <v>-978.29</v>
      </c>
      <c r="K24" s="13">
        <v>-951.35</v>
      </c>
      <c r="L24" s="13">
        <v>-967.34</v>
      </c>
      <c r="M24" s="13">
        <v>-975.59</v>
      </c>
      <c r="N24" s="13">
        <v>-962.12</v>
      </c>
      <c r="O24" s="13">
        <v>-936.99</v>
      </c>
      <c r="P24" s="13">
        <v>-873.62</v>
      </c>
      <c r="Q24" s="14">
        <f t="shared" si="1"/>
        <v>-11125.180000000002</v>
      </c>
    </row>
    <row r="25" spans="2:17" x14ac:dyDescent="0.2">
      <c r="B25" s="240"/>
      <c r="D25" s="11" t="s">
        <v>17</v>
      </c>
      <c r="E25" s="13">
        <v>-1000</v>
      </c>
      <c r="F25" s="13">
        <v>-3000</v>
      </c>
      <c r="G25" s="13">
        <v>-1000</v>
      </c>
      <c r="H25" s="13">
        <v>-1000</v>
      </c>
      <c r="I25" s="13">
        <v>-1000</v>
      </c>
      <c r="J25" s="13">
        <v>-1100.22</v>
      </c>
      <c r="K25" s="13">
        <v>-1150</v>
      </c>
      <c r="L25" s="13">
        <v>-1400</v>
      </c>
      <c r="M25" s="13">
        <v>-1000</v>
      </c>
      <c r="N25" s="13">
        <v>-1000</v>
      </c>
      <c r="O25" s="13">
        <v>-1000</v>
      </c>
      <c r="P25" s="13">
        <v>-1000</v>
      </c>
      <c r="Q25" s="14">
        <f t="shared" si="1"/>
        <v>-14650.220000000001</v>
      </c>
    </row>
    <row r="26" spans="2:17" x14ac:dyDescent="0.2">
      <c r="B26" s="240"/>
      <c r="D26" s="11" t="s">
        <v>16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-48.68</v>
      </c>
      <c r="M26" s="13">
        <v>0</v>
      </c>
      <c r="N26" s="13">
        <v>0</v>
      </c>
      <c r="O26" s="13">
        <v>0</v>
      </c>
      <c r="P26" s="13">
        <v>0</v>
      </c>
      <c r="Q26" s="14">
        <f t="shared" si="1"/>
        <v>-48.68</v>
      </c>
    </row>
    <row r="27" spans="2:17" x14ac:dyDescent="0.2">
      <c r="B27" s="240"/>
      <c r="D27" s="11" t="s">
        <v>20</v>
      </c>
      <c r="E27" s="13">
        <v>0</v>
      </c>
      <c r="F27" s="13">
        <v>-158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4">
        <f t="shared" si="1"/>
        <v>-158</v>
      </c>
    </row>
    <row r="28" spans="2:17" x14ac:dyDescent="0.2">
      <c r="B28" s="240"/>
      <c r="D28" s="11" t="s">
        <v>83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4">
        <f t="shared" si="1"/>
        <v>0</v>
      </c>
    </row>
    <row r="29" spans="2:17" x14ac:dyDescent="0.2">
      <c r="B29" s="240"/>
      <c r="D29" s="11" t="s">
        <v>86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-39.549999999999997</v>
      </c>
      <c r="M29" s="13">
        <v>0</v>
      </c>
      <c r="N29" s="13">
        <v>0</v>
      </c>
      <c r="O29" s="13">
        <v>0</v>
      </c>
      <c r="P29" s="13">
        <v>0</v>
      </c>
      <c r="Q29" s="14">
        <f t="shared" si="1"/>
        <v>-39.549999999999997</v>
      </c>
    </row>
    <row r="30" spans="2:17" x14ac:dyDescent="0.2">
      <c r="B30" s="240"/>
      <c r="D30" s="11" t="s">
        <v>38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-130</v>
      </c>
      <c r="O30" s="13">
        <v>0</v>
      </c>
      <c r="P30" s="13">
        <v>0</v>
      </c>
      <c r="Q30" s="14">
        <f t="shared" si="1"/>
        <v>-130</v>
      </c>
    </row>
    <row r="31" spans="2:17" x14ac:dyDescent="0.2">
      <c r="B31" s="240"/>
      <c r="D31" s="11" t="s">
        <v>85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-200</v>
      </c>
      <c r="N31" s="13">
        <v>0</v>
      </c>
      <c r="O31" s="13">
        <v>0</v>
      </c>
      <c r="P31" s="13">
        <v>0</v>
      </c>
      <c r="Q31" s="14">
        <f t="shared" si="1"/>
        <v>-200</v>
      </c>
    </row>
    <row r="32" spans="2:17" x14ac:dyDescent="0.2">
      <c r="B32" s="240"/>
      <c r="D32" s="11" t="s">
        <v>24</v>
      </c>
      <c r="E32" s="13">
        <v>0</v>
      </c>
      <c r="F32" s="13">
        <v>-175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4">
        <f t="shared" si="1"/>
        <v>-175</v>
      </c>
    </row>
    <row r="33" spans="2:18" x14ac:dyDescent="0.2">
      <c r="B33" s="240"/>
      <c r="D33" s="11" t="s">
        <v>22</v>
      </c>
      <c r="E33" s="13">
        <v>0</v>
      </c>
      <c r="F33" s="13">
        <v>0</v>
      </c>
      <c r="G33" s="13">
        <v>0</v>
      </c>
      <c r="H33" s="13">
        <v>0</v>
      </c>
      <c r="I33" s="13">
        <v>-178.08</v>
      </c>
      <c r="J33" s="13">
        <v>-100</v>
      </c>
      <c r="K33" s="13">
        <v>-100</v>
      </c>
      <c r="L33" s="13">
        <v>-100</v>
      </c>
      <c r="M33" s="13">
        <v>-100</v>
      </c>
      <c r="N33" s="13">
        <v>-100</v>
      </c>
      <c r="O33" s="13">
        <v>0</v>
      </c>
      <c r="P33" s="13">
        <v>0</v>
      </c>
      <c r="Q33" s="14">
        <f t="shared" si="1"/>
        <v>-678.08</v>
      </c>
    </row>
    <row r="34" spans="2:18" x14ac:dyDescent="0.2">
      <c r="B34" s="241"/>
      <c r="D34" s="15" t="s">
        <v>14</v>
      </c>
      <c r="E34" s="13">
        <v>-138.05000000000001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-132</v>
      </c>
      <c r="N34" s="13">
        <v>0</v>
      </c>
      <c r="O34" s="13">
        <v>0</v>
      </c>
      <c r="P34" s="13">
        <v>0</v>
      </c>
      <c r="Q34" s="17">
        <f t="shared" si="1"/>
        <v>-270.05</v>
      </c>
    </row>
    <row r="35" spans="2:18" x14ac:dyDescent="0.2">
      <c r="D35" s="12" t="s">
        <v>39</v>
      </c>
      <c r="E35" s="14">
        <f t="shared" ref="E35:Q35" si="2">SUM(E10:E34)</f>
        <v>-2067.2000000000003</v>
      </c>
      <c r="F35" s="14">
        <f t="shared" si="2"/>
        <v>-5205.07</v>
      </c>
      <c r="G35" s="14">
        <f t="shared" si="2"/>
        <v>-1942.15</v>
      </c>
      <c r="H35" s="14">
        <f t="shared" si="2"/>
        <v>-6033.98</v>
      </c>
      <c r="I35" s="14">
        <f t="shared" si="2"/>
        <v>-6368.64</v>
      </c>
      <c r="J35" s="14">
        <f t="shared" si="2"/>
        <v>-12719.44</v>
      </c>
      <c r="K35" s="14">
        <f t="shared" si="2"/>
        <v>-8827.77</v>
      </c>
      <c r="L35" s="14">
        <f t="shared" si="2"/>
        <v>-5335.5100000000011</v>
      </c>
      <c r="M35" s="14">
        <f t="shared" si="2"/>
        <v>-5408.9</v>
      </c>
      <c r="N35" s="14">
        <f t="shared" si="2"/>
        <v>-2192.12</v>
      </c>
      <c r="O35" s="14">
        <f t="shared" si="2"/>
        <v>-2262.92</v>
      </c>
      <c r="P35" s="14">
        <f t="shared" si="2"/>
        <v>-1993.6100000000001</v>
      </c>
      <c r="Q35" s="14">
        <f t="shared" si="2"/>
        <v>-60357.310000000005</v>
      </c>
    </row>
    <row r="36" spans="2:18" ht="8" customHeight="1" x14ac:dyDescent="0.2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x14ac:dyDescent="0.2">
      <c r="B37" s="12" t="s">
        <v>47</v>
      </c>
      <c r="D37" s="12" t="s">
        <v>39</v>
      </c>
      <c r="E37" s="14">
        <f t="shared" ref="E37:Q37" si="3">E8+E35</f>
        <v>-1370.2000000000003</v>
      </c>
      <c r="F37" s="14">
        <f t="shared" si="3"/>
        <v>15994.93</v>
      </c>
      <c r="G37" s="14">
        <f t="shared" si="3"/>
        <v>31507.85</v>
      </c>
      <c r="H37" s="14">
        <f t="shared" si="3"/>
        <v>5166.0200000000004</v>
      </c>
      <c r="I37" s="14">
        <f t="shared" si="3"/>
        <v>-4288.6400000000003</v>
      </c>
      <c r="J37" s="14">
        <f t="shared" si="3"/>
        <v>-10631.44</v>
      </c>
      <c r="K37" s="14">
        <f t="shared" si="3"/>
        <v>-7929.77</v>
      </c>
      <c r="L37" s="14">
        <f t="shared" si="3"/>
        <v>-4447.5100000000011</v>
      </c>
      <c r="M37" s="14">
        <f t="shared" si="3"/>
        <v>-4948.8999999999996</v>
      </c>
      <c r="N37" s="14">
        <f t="shared" si="3"/>
        <v>-2115.12</v>
      </c>
      <c r="O37" s="14">
        <f t="shared" si="3"/>
        <v>-2262.92</v>
      </c>
      <c r="P37" s="14">
        <f t="shared" si="3"/>
        <v>-593.61000000000013</v>
      </c>
      <c r="Q37" s="14">
        <f t="shared" si="3"/>
        <v>14080.689999999995</v>
      </c>
    </row>
  </sheetData>
  <mergeCells count="3">
    <mergeCell ref="D2:Q2"/>
    <mergeCell ref="B6:B7"/>
    <mergeCell ref="B10:B34"/>
  </mergeCells>
  <pageMargins left="0.75" right="0.75" top="1" bottom="1" header="0.5" footer="0.5"/>
  <pageSetup paperSize="5" scale="62" orientation="landscape" horizontalDpi="1200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63A63-0E80-43EC-914D-4800EF7650BC}">
  <sheetPr>
    <pageSetUpPr fitToPage="1"/>
  </sheetPr>
  <dimension ref="B1:U38"/>
  <sheetViews>
    <sheetView showGridLines="0" topLeftCell="A16" zoomScale="85" zoomScaleNormal="85" zoomScalePageLayoutView="85" workbookViewId="0">
      <selection activeCell="T6" sqref="T6"/>
    </sheetView>
  </sheetViews>
  <sheetFormatPr baseColWidth="10" defaultColWidth="11" defaultRowHeight="16" x14ac:dyDescent="0.2"/>
  <cols>
    <col min="1" max="1" width="2.83203125" customWidth="1"/>
    <col min="2" max="2" width="23.83203125" style="3" customWidth="1"/>
    <col min="3" max="3" width="2.83203125" customWidth="1"/>
    <col min="4" max="4" width="24.5" style="3" bestFit="1" customWidth="1"/>
    <col min="5" max="17" width="11" customWidth="1"/>
    <col min="18" max="18" width="2.83203125" customWidth="1"/>
    <col min="19" max="19" width="13.6640625" bestFit="1" customWidth="1"/>
  </cols>
  <sheetData>
    <row r="1" spans="2:21" ht="8" customHeight="1" x14ac:dyDescent="0.2"/>
    <row r="2" spans="2:21" ht="21" customHeight="1" x14ac:dyDescent="0.2">
      <c r="D2" s="236" t="s">
        <v>123</v>
      </c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8"/>
      <c r="S2" t="s">
        <v>42</v>
      </c>
      <c r="T2" s="7"/>
    </row>
    <row r="3" spans="2:21" ht="8" customHeight="1" x14ac:dyDescent="0.2"/>
    <row r="4" spans="2:21" x14ac:dyDescent="0.2">
      <c r="D4" s="5" t="s">
        <v>11</v>
      </c>
      <c r="E4" s="5" t="s">
        <v>0</v>
      </c>
      <c r="F4" s="5" t="s">
        <v>1</v>
      </c>
      <c r="G4" s="5" t="s">
        <v>2</v>
      </c>
      <c r="H4" s="5" t="s">
        <v>3</v>
      </c>
      <c r="I4" s="5" t="s">
        <v>4</v>
      </c>
      <c r="J4" s="5" t="s">
        <v>36</v>
      </c>
      <c r="K4" s="5" t="s">
        <v>37</v>
      </c>
      <c r="L4" s="5" t="s">
        <v>5</v>
      </c>
      <c r="M4" s="5" t="s">
        <v>6</v>
      </c>
      <c r="N4" s="5" t="s">
        <v>7</v>
      </c>
      <c r="O4" s="5" t="s">
        <v>8</v>
      </c>
      <c r="P4" s="5" t="s">
        <v>9</v>
      </c>
      <c r="Q4" s="5" t="s">
        <v>39</v>
      </c>
    </row>
    <row r="5" spans="2:21" ht="8" customHeight="1" x14ac:dyDescent="0.2"/>
    <row r="6" spans="2:21" x14ac:dyDescent="0.2">
      <c r="B6" s="239" t="s">
        <v>34</v>
      </c>
      <c r="D6" s="11" t="s">
        <v>13</v>
      </c>
      <c r="E6" s="13">
        <v>385</v>
      </c>
      <c r="F6" s="13">
        <v>46951.95</v>
      </c>
      <c r="G6" s="13">
        <v>14246.07</v>
      </c>
      <c r="H6" s="13">
        <v>5685.75</v>
      </c>
      <c r="I6" s="13">
        <v>1889</v>
      </c>
      <c r="J6" s="13">
        <v>3813</v>
      </c>
      <c r="K6" s="13">
        <v>1376</v>
      </c>
      <c r="L6" s="13">
        <v>0</v>
      </c>
      <c r="M6" s="13">
        <v>0</v>
      </c>
      <c r="N6" s="13">
        <v>0</v>
      </c>
      <c r="O6" s="13">
        <v>0</v>
      </c>
      <c r="P6" s="13">
        <v>735.25</v>
      </c>
      <c r="Q6" s="14">
        <v>75082</v>
      </c>
      <c r="S6" t="s">
        <v>40</v>
      </c>
      <c r="T6" s="99"/>
    </row>
    <row r="7" spans="2:21" x14ac:dyDescent="0.2">
      <c r="B7" s="241"/>
      <c r="D7" s="15" t="s">
        <v>46</v>
      </c>
      <c r="E7" s="16"/>
      <c r="F7" s="16"/>
      <c r="G7" s="16"/>
      <c r="H7" s="16"/>
      <c r="I7" s="16"/>
      <c r="J7" s="16">
        <v>70</v>
      </c>
      <c r="K7" s="16">
        <v>131</v>
      </c>
      <c r="L7" s="16">
        <v>25</v>
      </c>
      <c r="M7" s="16">
        <v>0</v>
      </c>
      <c r="N7" s="16">
        <v>0</v>
      </c>
      <c r="O7" s="16">
        <v>0</v>
      </c>
      <c r="P7" s="16"/>
      <c r="Q7" s="17">
        <f>SUM(E7:P7)</f>
        <v>226</v>
      </c>
      <c r="S7" t="s">
        <v>41</v>
      </c>
    </row>
    <row r="8" spans="2:21" x14ac:dyDescent="0.2">
      <c r="D8" s="12" t="s">
        <v>39</v>
      </c>
      <c r="E8" s="14">
        <f>SUM(E6:E7)</f>
        <v>385</v>
      </c>
      <c r="F8" s="14">
        <f t="shared" ref="F8:Q8" si="0">SUM(F6:F7)</f>
        <v>46951.95</v>
      </c>
      <c r="G8" s="14">
        <f t="shared" si="0"/>
        <v>14246.07</v>
      </c>
      <c r="H8" s="14">
        <f t="shared" si="0"/>
        <v>5685.75</v>
      </c>
      <c r="I8" s="14">
        <f t="shared" si="0"/>
        <v>1889</v>
      </c>
      <c r="J8" s="14">
        <f t="shared" si="0"/>
        <v>3883</v>
      </c>
      <c r="K8" s="14">
        <f>SUM(K6:K7)</f>
        <v>1507</v>
      </c>
      <c r="L8" s="14">
        <f t="shared" si="0"/>
        <v>25</v>
      </c>
      <c r="M8" s="14">
        <f t="shared" si="0"/>
        <v>0</v>
      </c>
      <c r="N8" s="14">
        <f t="shared" si="0"/>
        <v>0</v>
      </c>
      <c r="O8" s="14">
        <f t="shared" si="0"/>
        <v>0</v>
      </c>
      <c r="P8" s="14">
        <f t="shared" si="0"/>
        <v>735.25</v>
      </c>
      <c r="Q8" s="14">
        <f t="shared" si="0"/>
        <v>75308</v>
      </c>
      <c r="T8" s="9"/>
    </row>
    <row r="9" spans="2:21" x14ac:dyDescent="0.2">
      <c r="D9"/>
    </row>
    <row r="10" spans="2:21" x14ac:dyDescent="0.2">
      <c r="B10" s="239" t="s">
        <v>35</v>
      </c>
      <c r="D10" s="11" t="s">
        <v>79</v>
      </c>
      <c r="E10" s="13">
        <v>0</v>
      </c>
      <c r="F10" s="13">
        <v>0</v>
      </c>
      <c r="G10" s="13">
        <v>0</v>
      </c>
      <c r="H10" s="13">
        <v>0</v>
      </c>
      <c r="I10" s="13">
        <v>-1677.46</v>
      </c>
      <c r="J10" s="13">
        <v>0</v>
      </c>
      <c r="K10" s="13">
        <v>-6354.38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4">
        <f t="shared" ref="Q10:Q34" si="1">SUM(E10:P10)</f>
        <v>-8031.84</v>
      </c>
    </row>
    <row r="11" spans="2:21" x14ac:dyDescent="0.2">
      <c r="B11" s="240"/>
      <c r="D11" s="11" t="s">
        <v>12</v>
      </c>
      <c r="E11" s="13">
        <v>0</v>
      </c>
      <c r="F11" s="13">
        <v>-78.39</v>
      </c>
      <c r="G11" s="13">
        <v>-67.569999999999993</v>
      </c>
      <c r="H11" s="13">
        <v>-55</v>
      </c>
      <c r="I11" s="13">
        <v>-70.27</v>
      </c>
      <c r="J11" s="13">
        <v>-78.41</v>
      </c>
      <c r="K11" s="13">
        <v>-78.41</v>
      </c>
      <c r="L11" s="13">
        <v>-79.239999999999995</v>
      </c>
      <c r="M11" s="13">
        <v>-78.95</v>
      </c>
      <c r="N11" s="13">
        <v>-54</v>
      </c>
      <c r="O11" s="13">
        <v>-6.33</v>
      </c>
      <c r="P11" s="13">
        <v>0</v>
      </c>
      <c r="Q11" s="14">
        <f t="shared" si="1"/>
        <v>-646.57000000000005</v>
      </c>
      <c r="S11" t="s">
        <v>43</v>
      </c>
      <c r="T11">
        <v>186</v>
      </c>
    </row>
    <row r="12" spans="2:21" x14ac:dyDescent="0.2">
      <c r="B12" s="240"/>
      <c r="D12" s="11" t="s">
        <v>82</v>
      </c>
      <c r="E12" s="13">
        <v>0</v>
      </c>
      <c r="F12" s="13">
        <v>0</v>
      </c>
      <c r="G12" s="13">
        <v>0</v>
      </c>
      <c r="H12" s="13">
        <v>-2409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4">
        <f t="shared" si="1"/>
        <v>-2409</v>
      </c>
      <c r="S12" t="s">
        <v>44</v>
      </c>
      <c r="T12">
        <v>385</v>
      </c>
    </row>
    <row r="13" spans="2:21" x14ac:dyDescent="0.2">
      <c r="B13" s="240"/>
      <c r="D13" s="11" t="s">
        <v>19</v>
      </c>
      <c r="E13" s="13">
        <v>0</v>
      </c>
      <c r="F13" s="13">
        <v>-976.5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-7.63</v>
      </c>
      <c r="Q13" s="14">
        <f t="shared" si="1"/>
        <v>-984.13</v>
      </c>
      <c r="S13" t="s">
        <v>39</v>
      </c>
      <c r="T13" s="8">
        <v>75082</v>
      </c>
      <c r="U13" s="28">
        <f>(T6-T7)*T11</f>
        <v>0</v>
      </c>
    </row>
    <row r="14" spans="2:21" x14ac:dyDescent="0.2">
      <c r="B14" s="240"/>
      <c r="D14" s="11" t="s">
        <v>84</v>
      </c>
      <c r="E14" s="13">
        <v>-674.98</v>
      </c>
      <c r="F14" s="13">
        <v>0</v>
      </c>
      <c r="G14" s="13">
        <v>0</v>
      </c>
      <c r="H14" s="13">
        <v>-197.74</v>
      </c>
      <c r="I14" s="13">
        <v>-125.14</v>
      </c>
      <c r="J14" s="13">
        <v>0</v>
      </c>
      <c r="K14" s="13">
        <v>-163.5</v>
      </c>
      <c r="L14" s="13">
        <v>0</v>
      </c>
      <c r="M14" s="13">
        <v>-399.29</v>
      </c>
      <c r="N14" s="13">
        <v>0</v>
      </c>
      <c r="O14" s="13">
        <v>0</v>
      </c>
      <c r="P14" s="13">
        <v>-190.26</v>
      </c>
      <c r="Q14" s="14">
        <f t="shared" si="1"/>
        <v>-1750.91</v>
      </c>
    </row>
    <row r="15" spans="2:21" x14ac:dyDescent="0.2">
      <c r="B15" s="240"/>
      <c r="D15" s="11" t="s">
        <v>87</v>
      </c>
      <c r="E15" s="13">
        <v>0</v>
      </c>
      <c r="F15" s="13">
        <v>-1099.6500000000001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4">
        <f t="shared" si="1"/>
        <v>-1099.6500000000001</v>
      </c>
    </row>
    <row r="16" spans="2:21" x14ac:dyDescent="0.2">
      <c r="B16" s="240"/>
      <c r="D16" s="11" t="s">
        <v>87</v>
      </c>
      <c r="E16" s="13">
        <v>0</v>
      </c>
      <c r="F16" s="13">
        <v>0</v>
      </c>
      <c r="G16" s="13">
        <v>0</v>
      </c>
      <c r="H16" s="13">
        <v>-1099.6500000000001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4">
        <f t="shared" si="1"/>
        <v>-1099.6500000000001</v>
      </c>
      <c r="S16" t="s">
        <v>80</v>
      </c>
      <c r="T16" s="27"/>
    </row>
    <row r="17" spans="2:17" x14ac:dyDescent="0.2">
      <c r="B17" s="240"/>
      <c r="D17" s="11" t="s">
        <v>87</v>
      </c>
      <c r="E17" s="13">
        <v>0</v>
      </c>
      <c r="F17" s="13">
        <v>0</v>
      </c>
      <c r="G17" s="13">
        <v>0</v>
      </c>
      <c r="H17" s="13">
        <v>0</v>
      </c>
      <c r="I17" s="13">
        <v>-1099.6500000000001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4">
        <f t="shared" si="1"/>
        <v>-1099.6500000000001</v>
      </c>
    </row>
    <row r="18" spans="2:17" x14ac:dyDescent="0.2">
      <c r="B18" s="240"/>
      <c r="D18" s="11" t="s">
        <v>87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-5498.24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4">
        <f t="shared" si="1"/>
        <v>-5498.24</v>
      </c>
    </row>
    <row r="19" spans="2:17" x14ac:dyDescent="0.2">
      <c r="B19" s="240"/>
      <c r="D19" s="11" t="s">
        <v>87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-5498.24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4">
        <f t="shared" si="1"/>
        <v>-5498.24</v>
      </c>
    </row>
    <row r="20" spans="2:17" x14ac:dyDescent="0.2">
      <c r="B20" s="240"/>
      <c r="D20" s="11" t="s">
        <v>87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-5498.24</v>
      </c>
      <c r="M20" s="13">
        <v>0</v>
      </c>
      <c r="N20" s="13">
        <v>0</v>
      </c>
      <c r="O20" s="13">
        <v>0</v>
      </c>
      <c r="P20" s="13">
        <v>0</v>
      </c>
      <c r="Q20" s="14">
        <f t="shared" si="1"/>
        <v>-5498.24</v>
      </c>
    </row>
    <row r="21" spans="2:17" x14ac:dyDescent="0.2">
      <c r="B21" s="240"/>
      <c r="D21" s="11" t="s">
        <v>87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-2199.3000000000002</v>
      </c>
      <c r="N21" s="13">
        <v>0</v>
      </c>
      <c r="O21" s="13">
        <v>0</v>
      </c>
      <c r="P21" s="13">
        <v>0</v>
      </c>
      <c r="Q21" s="14">
        <f t="shared" si="1"/>
        <v>-2199.3000000000002</v>
      </c>
    </row>
    <row r="22" spans="2:17" x14ac:dyDescent="0.2">
      <c r="B22" s="240"/>
      <c r="D22" s="11" t="s">
        <v>88</v>
      </c>
      <c r="E22" s="13">
        <v>0</v>
      </c>
      <c r="F22" s="13">
        <v>0</v>
      </c>
      <c r="G22" s="13">
        <v>-1570.3</v>
      </c>
      <c r="H22" s="13">
        <v>0</v>
      </c>
      <c r="I22" s="13">
        <v>0</v>
      </c>
      <c r="J22" s="13">
        <v>0</v>
      </c>
      <c r="K22" s="13">
        <v>-992.78</v>
      </c>
      <c r="L22" s="13">
        <v>-144.11000000000001</v>
      </c>
      <c r="M22" s="13">
        <v>0</v>
      </c>
      <c r="N22" s="13">
        <v>0</v>
      </c>
      <c r="O22" s="13">
        <v>0</v>
      </c>
      <c r="P22" s="13">
        <v>0</v>
      </c>
      <c r="Q22" s="14">
        <f t="shared" si="1"/>
        <v>-2707.19</v>
      </c>
    </row>
    <row r="23" spans="2:17" x14ac:dyDescent="0.2">
      <c r="B23" s="240"/>
      <c r="D23" s="11" t="s">
        <v>78</v>
      </c>
      <c r="E23" s="13">
        <v>-331.81</v>
      </c>
      <c r="F23" s="13">
        <v>-17.96</v>
      </c>
      <c r="G23" s="13">
        <v>0</v>
      </c>
      <c r="H23" s="13">
        <v>-2535.17</v>
      </c>
      <c r="I23" s="13">
        <v>-126.61</v>
      </c>
      <c r="J23" s="13">
        <v>-706.66</v>
      </c>
      <c r="K23" s="13"/>
      <c r="L23" s="13">
        <v>-300.83999999999997</v>
      </c>
      <c r="M23" s="13">
        <v>0</v>
      </c>
      <c r="N23" s="13">
        <v>0</v>
      </c>
      <c r="O23" s="13">
        <v>-1.3</v>
      </c>
      <c r="P23" s="13">
        <v>-152.12</v>
      </c>
      <c r="Q23" s="14">
        <f t="shared" si="1"/>
        <v>-4172.47</v>
      </c>
    </row>
    <row r="24" spans="2:17" x14ac:dyDescent="0.2">
      <c r="B24" s="240"/>
      <c r="D24" s="11" t="s">
        <v>15</v>
      </c>
      <c r="E24" s="13">
        <v>-983.18</v>
      </c>
      <c r="F24" s="13">
        <v>-924.16</v>
      </c>
      <c r="G24" s="13">
        <v>-831.19</v>
      </c>
      <c r="H24" s="13">
        <v>-1024.47</v>
      </c>
      <c r="I24" s="13">
        <v>-1002.79</v>
      </c>
      <c r="J24" s="13">
        <v>-1028.96</v>
      </c>
      <c r="K24" s="13">
        <v>-987.41</v>
      </c>
      <c r="L24" s="13">
        <v>-1047.1199999999999</v>
      </c>
      <c r="M24" s="13">
        <v>-1039.04</v>
      </c>
      <c r="N24" s="13">
        <v>-953.03</v>
      </c>
      <c r="O24" s="13">
        <v>-845.7</v>
      </c>
      <c r="P24" s="13">
        <v>-822.99</v>
      </c>
      <c r="Q24" s="14">
        <f t="shared" si="1"/>
        <v>-11490.04</v>
      </c>
    </row>
    <row r="25" spans="2:17" x14ac:dyDescent="0.2">
      <c r="B25" s="240"/>
      <c r="D25" s="11" t="s">
        <v>17</v>
      </c>
      <c r="E25" s="13">
        <v>-1000</v>
      </c>
      <c r="F25" s="13">
        <v>-1000</v>
      </c>
      <c r="G25" s="13">
        <v>-1000</v>
      </c>
      <c r="H25" s="13">
        <v>-1000</v>
      </c>
      <c r="I25" s="13">
        <v>-1000</v>
      </c>
      <c r="J25" s="13">
        <v>-1000</v>
      </c>
      <c r="K25" s="13">
        <v>-1000</v>
      </c>
      <c r="L25" s="13">
        <v>-1000</v>
      </c>
      <c r="M25" s="13">
        <v>-1400</v>
      </c>
      <c r="N25" s="13">
        <v>-1000</v>
      </c>
      <c r="O25" s="13">
        <v>-1000</v>
      </c>
      <c r="P25" s="13">
        <v>-1000</v>
      </c>
      <c r="Q25" s="14">
        <f t="shared" si="1"/>
        <v>-12400</v>
      </c>
    </row>
    <row r="26" spans="2:17" x14ac:dyDescent="0.2">
      <c r="B26" s="240"/>
      <c r="D26" s="11" t="s">
        <v>16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-46.44</v>
      </c>
      <c r="M26" s="13">
        <v>0</v>
      </c>
      <c r="N26" s="13">
        <v>0</v>
      </c>
      <c r="O26" s="13">
        <v>0</v>
      </c>
      <c r="P26" s="13">
        <v>0</v>
      </c>
      <c r="Q26" s="14">
        <f t="shared" si="1"/>
        <v>-46.44</v>
      </c>
    </row>
    <row r="27" spans="2:17" x14ac:dyDescent="0.2">
      <c r="B27" s="240"/>
      <c r="D27" s="11" t="s">
        <v>20</v>
      </c>
      <c r="E27" s="13">
        <v>0</v>
      </c>
      <c r="F27" s="13">
        <v>0</v>
      </c>
      <c r="G27" s="13">
        <v>-108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4">
        <f t="shared" si="1"/>
        <v>-108</v>
      </c>
    </row>
    <row r="28" spans="2:17" x14ac:dyDescent="0.2">
      <c r="B28" s="240"/>
      <c r="D28" s="11" t="s">
        <v>83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4">
        <f t="shared" si="1"/>
        <v>0</v>
      </c>
    </row>
    <row r="29" spans="2:17" x14ac:dyDescent="0.2">
      <c r="B29" s="240"/>
      <c r="D29" s="11" t="s">
        <v>86</v>
      </c>
      <c r="E29" s="13">
        <v>0</v>
      </c>
      <c r="F29" s="13">
        <v>-45.9</v>
      </c>
      <c r="G29" s="13">
        <v>0</v>
      </c>
      <c r="H29" s="13">
        <v>0</v>
      </c>
      <c r="I29" s="13">
        <v>-25.63</v>
      </c>
      <c r="J29" s="13">
        <v>-109.13</v>
      </c>
      <c r="K29" s="13">
        <v>0</v>
      </c>
      <c r="L29" s="13">
        <v>-39.549999999999997</v>
      </c>
      <c r="M29" s="13">
        <v>0</v>
      </c>
      <c r="N29" s="13">
        <v>0</v>
      </c>
      <c r="O29" s="13">
        <v>0</v>
      </c>
      <c r="P29" s="13">
        <v>0</v>
      </c>
      <c r="Q29" s="14">
        <f t="shared" si="1"/>
        <v>-220.20999999999998</v>
      </c>
    </row>
    <row r="30" spans="2:17" x14ac:dyDescent="0.2">
      <c r="B30" s="240"/>
      <c r="D30" s="11" t="s">
        <v>38</v>
      </c>
      <c r="E30" s="13">
        <v>0</v>
      </c>
      <c r="F30" s="13">
        <v>-78.39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-118</v>
      </c>
      <c r="O30" s="13">
        <v>0</v>
      </c>
      <c r="P30" s="13">
        <v>0</v>
      </c>
      <c r="Q30" s="14">
        <f t="shared" si="1"/>
        <v>-196.39</v>
      </c>
    </row>
    <row r="31" spans="2:17" x14ac:dyDescent="0.2">
      <c r="B31" s="240"/>
      <c r="D31" s="11" t="s">
        <v>85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-200</v>
      </c>
      <c r="M31" s="13">
        <v>0</v>
      </c>
      <c r="N31" s="13">
        <v>0</v>
      </c>
      <c r="O31" s="13">
        <v>0</v>
      </c>
      <c r="P31" s="13">
        <v>0</v>
      </c>
      <c r="Q31" s="14">
        <f t="shared" si="1"/>
        <v>-200</v>
      </c>
    </row>
    <row r="32" spans="2:17" x14ac:dyDescent="0.2">
      <c r="B32" s="240"/>
      <c r="D32" s="11" t="s">
        <v>24</v>
      </c>
      <c r="E32" s="13">
        <v>0</v>
      </c>
      <c r="F32" s="13">
        <v>0</v>
      </c>
      <c r="G32" s="13">
        <v>-150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4">
        <f t="shared" si="1"/>
        <v>-150</v>
      </c>
    </row>
    <row r="33" spans="2:18" x14ac:dyDescent="0.2">
      <c r="B33" s="240"/>
      <c r="D33" s="11" t="s">
        <v>22</v>
      </c>
      <c r="E33" s="13">
        <v>0</v>
      </c>
      <c r="F33" s="13">
        <v>0</v>
      </c>
      <c r="G33" s="13">
        <v>0</v>
      </c>
      <c r="H33" s="13">
        <v>0</v>
      </c>
      <c r="I33" s="13">
        <v>-100</v>
      </c>
      <c r="J33" s="13">
        <v>-100</v>
      </c>
      <c r="K33" s="13">
        <v>-100</v>
      </c>
      <c r="L33" s="13">
        <v>-100</v>
      </c>
      <c r="M33" s="13">
        <v>-100</v>
      </c>
      <c r="N33" s="13">
        <v>0</v>
      </c>
      <c r="O33" s="13">
        <v>0</v>
      </c>
      <c r="P33" s="13">
        <v>0</v>
      </c>
      <c r="Q33" s="14">
        <f t="shared" si="1"/>
        <v>-500</v>
      </c>
    </row>
    <row r="34" spans="2:18" x14ac:dyDescent="0.2">
      <c r="B34" s="241"/>
      <c r="D34" s="15" t="s">
        <v>14</v>
      </c>
      <c r="E34" s="13">
        <v>-235.05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-132</v>
      </c>
      <c r="N34" s="13">
        <v>0</v>
      </c>
      <c r="O34" s="13">
        <v>0</v>
      </c>
      <c r="P34" s="13">
        <v>0</v>
      </c>
      <c r="Q34" s="17">
        <f t="shared" si="1"/>
        <v>-367.05</v>
      </c>
    </row>
    <row r="35" spans="2:18" x14ac:dyDescent="0.2">
      <c r="D35" s="12" t="s">
        <v>39</v>
      </c>
      <c r="E35" s="14">
        <f t="shared" ref="E35:Q35" si="2">SUM(E10:E34)</f>
        <v>-3225.02</v>
      </c>
      <c r="F35" s="14">
        <f t="shared" si="2"/>
        <v>-4220.95</v>
      </c>
      <c r="G35" s="14">
        <f t="shared" si="2"/>
        <v>-3727.06</v>
      </c>
      <c r="H35" s="14">
        <f t="shared" si="2"/>
        <v>-8321.0299999999988</v>
      </c>
      <c r="I35" s="14">
        <f t="shared" si="2"/>
        <v>-5227.55</v>
      </c>
      <c r="J35" s="14">
        <f t="shared" si="2"/>
        <v>-8521.4</v>
      </c>
      <c r="K35" s="14">
        <f t="shared" si="2"/>
        <v>-15174.72</v>
      </c>
      <c r="L35" s="14">
        <f t="shared" si="2"/>
        <v>-8455.5399999999991</v>
      </c>
      <c r="M35" s="14">
        <f t="shared" si="2"/>
        <v>-5348.58</v>
      </c>
      <c r="N35" s="14">
        <f t="shared" si="2"/>
        <v>-2125.0299999999997</v>
      </c>
      <c r="O35" s="14">
        <f t="shared" si="2"/>
        <v>-1853.33</v>
      </c>
      <c r="P35" s="14">
        <f t="shared" si="2"/>
        <v>-2173</v>
      </c>
      <c r="Q35" s="14">
        <f t="shared" si="2"/>
        <v>-68373.210000000006</v>
      </c>
    </row>
    <row r="36" spans="2:18" ht="8" customHeight="1" x14ac:dyDescent="0.2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x14ac:dyDescent="0.2">
      <c r="B37" s="12" t="s">
        <v>47</v>
      </c>
      <c r="D37" s="12" t="s">
        <v>124</v>
      </c>
      <c r="E37" s="14">
        <f t="shared" ref="E37:Q37" si="3">E8+E35</f>
        <v>-2840.02</v>
      </c>
      <c r="F37" s="14">
        <f t="shared" si="3"/>
        <v>42731</v>
      </c>
      <c r="G37" s="14">
        <f t="shared" si="3"/>
        <v>10519.01</v>
      </c>
      <c r="H37" s="14">
        <f t="shared" si="3"/>
        <v>-2635.2799999999988</v>
      </c>
      <c r="I37" s="14">
        <f t="shared" si="3"/>
        <v>-3338.55</v>
      </c>
      <c r="J37" s="14">
        <f t="shared" si="3"/>
        <v>-4638.3999999999996</v>
      </c>
      <c r="K37" s="14">
        <f t="shared" si="3"/>
        <v>-13667.72</v>
      </c>
      <c r="L37" s="14">
        <f t="shared" si="3"/>
        <v>-8430.5399999999991</v>
      </c>
      <c r="M37" s="14">
        <f t="shared" si="3"/>
        <v>-5348.58</v>
      </c>
      <c r="N37" s="14">
        <f t="shared" si="3"/>
        <v>-2125.0299999999997</v>
      </c>
      <c r="O37" s="14">
        <f t="shared" si="3"/>
        <v>-1853.33</v>
      </c>
      <c r="P37" s="14">
        <f t="shared" si="3"/>
        <v>-1437.75</v>
      </c>
      <c r="Q37" s="14">
        <f t="shared" si="3"/>
        <v>6934.7899999999936</v>
      </c>
    </row>
    <row r="38" spans="2:18" x14ac:dyDescent="0.2">
      <c r="D38" s="53" t="s">
        <v>125</v>
      </c>
    </row>
  </sheetData>
  <mergeCells count="3">
    <mergeCell ref="D2:Q2"/>
    <mergeCell ref="B6:B7"/>
    <mergeCell ref="B10:B34"/>
  </mergeCells>
  <pageMargins left="0.75" right="0.75" top="1" bottom="1" header="0.5" footer="0.5"/>
  <pageSetup paperSize="5" scale="62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3EFAE-6BAB-4E41-A4B3-CBE946CAF69F}">
  <sheetPr>
    <pageSetUpPr fitToPage="1"/>
  </sheetPr>
  <dimension ref="B1:K25"/>
  <sheetViews>
    <sheetView topLeftCell="A6" workbookViewId="0">
      <selection activeCell="C25" sqref="C25"/>
    </sheetView>
  </sheetViews>
  <sheetFormatPr baseColWidth="10" defaultColWidth="8.83203125" defaultRowHeight="16" x14ac:dyDescent="0.2"/>
  <cols>
    <col min="2" max="2" width="18" customWidth="1"/>
    <col min="3" max="7" width="11.83203125" customWidth="1"/>
    <col min="8" max="8" width="11.5" customWidth="1"/>
    <col min="9" max="11" width="11.6640625" customWidth="1"/>
  </cols>
  <sheetData>
    <row r="1" spans="2:11" ht="17" thickBot="1" x14ac:dyDescent="0.25"/>
    <row r="2" spans="2:11" x14ac:dyDescent="0.2">
      <c r="F2" s="69"/>
      <c r="H2" s="69"/>
    </row>
    <row r="3" spans="2:11" x14ac:dyDescent="0.2">
      <c r="C3" s="45" t="s">
        <v>141</v>
      </c>
      <c r="D3" s="45"/>
      <c r="E3" s="45"/>
      <c r="F3" s="70"/>
      <c r="G3" s="58" t="s">
        <v>144</v>
      </c>
      <c r="H3" s="70"/>
      <c r="I3" s="29"/>
      <c r="J3" s="29"/>
      <c r="K3" s="29"/>
    </row>
    <row r="4" spans="2:11" x14ac:dyDescent="0.2">
      <c r="B4" s="41"/>
      <c r="C4" s="10"/>
      <c r="D4" s="10"/>
      <c r="E4" s="10"/>
      <c r="F4" s="71"/>
      <c r="G4" s="56" t="s">
        <v>136</v>
      </c>
      <c r="H4" s="87" t="s">
        <v>137</v>
      </c>
      <c r="I4" s="56" t="s">
        <v>138</v>
      </c>
      <c r="J4" s="56" t="s">
        <v>139</v>
      </c>
      <c r="K4" s="56" t="s">
        <v>140</v>
      </c>
    </row>
    <row r="5" spans="2:11" x14ac:dyDescent="0.2">
      <c r="B5" s="10" t="s">
        <v>142</v>
      </c>
      <c r="C5" s="38">
        <v>2019</v>
      </c>
      <c r="D5" s="4">
        <v>2020</v>
      </c>
      <c r="E5" s="4">
        <v>2021</v>
      </c>
      <c r="F5" s="72" t="s">
        <v>120</v>
      </c>
      <c r="G5" s="57" t="s">
        <v>145</v>
      </c>
      <c r="H5" s="88" t="s">
        <v>146</v>
      </c>
      <c r="I5" s="57" t="s">
        <v>147</v>
      </c>
      <c r="J5" s="57" t="s">
        <v>148</v>
      </c>
      <c r="K5" s="57" t="s">
        <v>149</v>
      </c>
    </row>
    <row r="6" spans="2:11" x14ac:dyDescent="0.2">
      <c r="B6" s="10" t="s">
        <v>13</v>
      </c>
      <c r="C6" s="66" t="s">
        <v>143</v>
      </c>
      <c r="D6" s="67">
        <v>400</v>
      </c>
      <c r="E6" s="67">
        <v>400</v>
      </c>
      <c r="F6" s="73">
        <v>400</v>
      </c>
      <c r="G6" s="59" t="s">
        <v>122</v>
      </c>
      <c r="H6" s="89" t="s">
        <v>121</v>
      </c>
      <c r="I6" s="55" t="s">
        <v>133</v>
      </c>
      <c r="J6" s="54" t="s">
        <v>134</v>
      </c>
      <c r="K6" s="54" t="s">
        <v>135</v>
      </c>
    </row>
    <row r="7" spans="2:11" x14ac:dyDescent="0.2">
      <c r="B7" s="42" t="s">
        <v>34</v>
      </c>
      <c r="C7" s="60">
        <f>'ACTUAL 2019'!Q8</f>
        <v>75308</v>
      </c>
      <c r="D7" s="61">
        <f>'2020'!Q8</f>
        <v>74438</v>
      </c>
      <c r="E7" s="61">
        <f>'2021'!Q8</f>
        <v>74492</v>
      </c>
      <c r="F7" s="74">
        <f>'2022'!Q9</f>
        <v>76990</v>
      </c>
      <c r="G7" s="62">
        <f>'PROJ 2023'!Q10</f>
        <v>73174</v>
      </c>
      <c r="H7" s="90">
        <f>'PROJ 2023'!Q7</f>
        <v>80267</v>
      </c>
      <c r="I7" s="62">
        <f>'PROJ 2023'!Q6</f>
        <v>81726.400000000009</v>
      </c>
      <c r="J7" s="62">
        <f>'PROJ 2023'!Q8</f>
        <v>72970</v>
      </c>
      <c r="K7" s="62">
        <f>'PROJ 2023'!Q7</f>
        <v>80267</v>
      </c>
    </row>
    <row r="8" spans="2:11" x14ac:dyDescent="0.2">
      <c r="B8" s="49" t="s">
        <v>92</v>
      </c>
      <c r="C8" s="60">
        <f>-'ACTUAL 2019'!Q35</f>
        <v>68373.210000000006</v>
      </c>
      <c r="D8" s="61">
        <f>-'2020'!Q35</f>
        <v>60357.310000000005</v>
      </c>
      <c r="E8" s="61">
        <f>-'2021'!Q30</f>
        <v>67808.25</v>
      </c>
      <c r="F8" s="74">
        <f>-'2022'!Q31</f>
        <v>78868.97</v>
      </c>
      <c r="G8" s="62">
        <f>-'PROJ 2023'!Q36</f>
        <v>-85484.081600000005</v>
      </c>
      <c r="H8" s="90">
        <f>-'PROJ 2023'!Q36</f>
        <v>-85484.081600000005</v>
      </c>
      <c r="I8" s="62">
        <f>-'PROJ 2023'!Q36</f>
        <v>-85484.081600000005</v>
      </c>
      <c r="J8" s="62">
        <f>-'PROJ 2023'!Q34</f>
        <v>-80645.36</v>
      </c>
      <c r="K8" s="62">
        <f>-'PROJ 2023'!Q34</f>
        <v>-80645.36</v>
      </c>
    </row>
    <row r="9" spans="2:11" ht="17" thickBot="1" x14ac:dyDescent="0.25">
      <c r="B9" s="42" t="s">
        <v>93</v>
      </c>
      <c r="C9" s="63">
        <f>C7-C8</f>
        <v>6934.7899999999936</v>
      </c>
      <c r="D9" s="63">
        <f t="shared" ref="D9:K9" si="0">D7-D8</f>
        <v>14080.689999999995</v>
      </c>
      <c r="E9" s="63">
        <f t="shared" si="0"/>
        <v>6683.75</v>
      </c>
      <c r="F9" s="79">
        <f t="shared" si="0"/>
        <v>-1878.9700000000012</v>
      </c>
      <c r="G9" s="63">
        <f t="shared" si="0"/>
        <v>158658.0816</v>
      </c>
      <c r="H9" s="79">
        <f t="shared" si="0"/>
        <v>165751.0816</v>
      </c>
      <c r="I9" s="63">
        <f t="shared" si="0"/>
        <v>167210.4816</v>
      </c>
      <c r="J9" s="63">
        <f t="shared" si="0"/>
        <v>153615.35999999999</v>
      </c>
      <c r="K9" s="63">
        <f t="shared" si="0"/>
        <v>160912.35999999999</v>
      </c>
    </row>
    <row r="10" spans="2:11" ht="17" thickTop="1" x14ac:dyDescent="0.2">
      <c r="B10" s="42" t="s">
        <v>108</v>
      </c>
      <c r="C10" s="60">
        <v>15617</v>
      </c>
      <c r="D10" s="61">
        <v>23339</v>
      </c>
      <c r="E10" s="61">
        <v>30140</v>
      </c>
      <c r="F10" s="74">
        <f>'2022'!P34</f>
        <v>27761.95</v>
      </c>
      <c r="G10" s="62">
        <f>'PROJ 2023'!P39</f>
        <v>15451.868399999999</v>
      </c>
      <c r="H10" s="90">
        <f>G10-(H9)</f>
        <v>-150299.2132</v>
      </c>
      <c r="I10" s="62">
        <f>H10-(I9)</f>
        <v>-317509.6948</v>
      </c>
      <c r="J10" s="62">
        <f>F10+J9</f>
        <v>181377.31</v>
      </c>
      <c r="K10" s="62">
        <f>F10+K9</f>
        <v>188674.31</v>
      </c>
    </row>
    <row r="11" spans="2:11" ht="17" thickBot="1" x14ac:dyDescent="0.25">
      <c r="B11" s="41"/>
      <c r="C11" s="41"/>
      <c r="F11" s="75"/>
      <c r="H11" s="78"/>
    </row>
    <row r="12" spans="2:11" x14ac:dyDescent="0.2">
      <c r="B12" s="64" t="s">
        <v>115</v>
      </c>
      <c r="C12" s="50">
        <v>2019</v>
      </c>
      <c r="D12" s="52">
        <v>2020</v>
      </c>
      <c r="E12" s="52">
        <v>2021</v>
      </c>
      <c r="F12" s="76" t="s">
        <v>120</v>
      </c>
      <c r="G12" t="s">
        <v>128</v>
      </c>
    </row>
    <row r="13" spans="2:11" x14ac:dyDescent="0.2">
      <c r="B13" s="42" t="s">
        <v>34</v>
      </c>
      <c r="C13" s="27"/>
      <c r="D13" s="68">
        <f t="shared" ref="D13:F14" si="1">(D7-C7)/C7</f>
        <v>-1.1552557497211452E-2</v>
      </c>
      <c r="E13" s="68">
        <f t="shared" si="1"/>
        <v>7.2543593325989414E-4</v>
      </c>
      <c r="F13" s="77">
        <f t="shared" si="1"/>
        <v>3.3533802287493961E-2</v>
      </c>
      <c r="G13" s="3" t="s">
        <v>145</v>
      </c>
      <c r="H13" s="43" t="s">
        <v>127</v>
      </c>
      <c r="I13" s="65"/>
      <c r="J13" s="65"/>
      <c r="K13" s="65"/>
    </row>
    <row r="14" spans="2:11" x14ac:dyDescent="0.2">
      <c r="B14" s="42" t="s">
        <v>92</v>
      </c>
      <c r="C14" s="27"/>
      <c r="D14" s="68">
        <f t="shared" si="1"/>
        <v>-0.11723743846456822</v>
      </c>
      <c r="E14" s="68">
        <f t="shared" si="1"/>
        <v>0.1234471847734764</v>
      </c>
      <c r="F14" s="77">
        <f t="shared" si="1"/>
        <v>0.16311761474451858</v>
      </c>
      <c r="G14" s="4" t="s">
        <v>146</v>
      </c>
      <c r="H14" s="10" t="s">
        <v>129</v>
      </c>
      <c r="I14" s="91"/>
      <c r="J14" s="65"/>
      <c r="K14" s="65"/>
    </row>
    <row r="15" spans="2:11" x14ac:dyDescent="0.2">
      <c r="B15" s="42" t="s">
        <v>108</v>
      </c>
      <c r="C15" s="27"/>
      <c r="D15" s="68">
        <f>(D10-C10)/C10</f>
        <v>0.49446116411602742</v>
      </c>
      <c r="E15" s="68">
        <f>(E10-D10)/D10</f>
        <v>0.29140065983975322</v>
      </c>
      <c r="F15" s="77">
        <f>(F10-E10)/E10</f>
        <v>-7.89001327140013E-2</v>
      </c>
      <c r="G15" s="3" t="s">
        <v>147</v>
      </c>
      <c r="H15" s="43" t="s">
        <v>130</v>
      </c>
      <c r="I15" s="65"/>
      <c r="J15" s="65"/>
      <c r="K15" s="65"/>
    </row>
    <row r="16" spans="2:11" ht="17" thickBot="1" x14ac:dyDescent="0.25">
      <c r="F16" s="78"/>
      <c r="G16" s="3" t="s">
        <v>148</v>
      </c>
      <c r="H16" t="s">
        <v>131</v>
      </c>
    </row>
    <row r="17" spans="2:8" x14ac:dyDescent="0.2">
      <c r="G17" s="3" t="s">
        <v>149</v>
      </c>
      <c r="H17" t="s">
        <v>132</v>
      </c>
    </row>
    <row r="20" spans="2:8" x14ac:dyDescent="0.2">
      <c r="B20" s="93" t="s">
        <v>113</v>
      </c>
    </row>
    <row r="21" spans="2:8" x14ac:dyDescent="0.2">
      <c r="B21">
        <v>2021</v>
      </c>
      <c r="C21" s="94">
        <v>24866</v>
      </c>
    </row>
    <row r="22" spans="2:8" x14ac:dyDescent="0.2">
      <c r="B22">
        <v>2022</v>
      </c>
      <c r="C22" s="94">
        <v>27807</v>
      </c>
      <c r="D22" s="92">
        <f>C22/C21</f>
        <v>1.1182739483632269</v>
      </c>
    </row>
    <row r="23" spans="2:8" x14ac:dyDescent="0.2">
      <c r="B23">
        <v>2023</v>
      </c>
      <c r="C23" s="94">
        <v>36500</v>
      </c>
      <c r="D23" s="92">
        <f>C23/C22</f>
        <v>1.3126191246808359</v>
      </c>
    </row>
    <row r="24" spans="2:8" x14ac:dyDescent="0.2">
      <c r="C24" s="94"/>
    </row>
    <row r="25" spans="2:8" x14ac:dyDescent="0.2">
      <c r="C25" s="94"/>
    </row>
  </sheetData>
  <phoneticPr fontId="8" type="noConversion"/>
  <pageMargins left="0.7" right="0.7" top="0.75" bottom="0.75" header="0.3" footer="0.3"/>
  <pageSetup scale="90" orientation="landscape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51377-C20C-410E-A50A-204A394860F2}">
  <dimension ref="C16:H21"/>
  <sheetViews>
    <sheetView workbookViewId="0">
      <selection activeCell="C7" sqref="C7"/>
    </sheetView>
  </sheetViews>
  <sheetFormatPr baseColWidth="10" defaultColWidth="8.83203125" defaultRowHeight="16" x14ac:dyDescent="0.2"/>
  <cols>
    <col min="1" max="1" width="14.33203125" bestFit="1" customWidth="1"/>
    <col min="2" max="2" width="10.83203125" bestFit="1" customWidth="1"/>
    <col min="3" max="3" width="15.1640625" bestFit="1" customWidth="1"/>
    <col min="4" max="4" width="14.6640625" bestFit="1" customWidth="1"/>
    <col min="5" max="5" width="6.6640625" bestFit="1" customWidth="1"/>
    <col min="6" max="6" width="14" bestFit="1" customWidth="1"/>
    <col min="7" max="7" width="15.33203125" bestFit="1" customWidth="1"/>
    <col min="8" max="8" width="10.33203125" bestFit="1" customWidth="1"/>
  </cols>
  <sheetData>
    <row r="16" spans="4:4" x14ac:dyDescent="0.2">
      <c r="D16" s="1" t="s">
        <v>160</v>
      </c>
    </row>
    <row r="17" spans="3:8" x14ac:dyDescent="0.2">
      <c r="C17" s="1" t="s">
        <v>161</v>
      </c>
      <c r="D17" t="s">
        <v>92</v>
      </c>
      <c r="E17" t="s">
        <v>34</v>
      </c>
      <c r="F17" t="s">
        <v>93</v>
      </c>
      <c r="G17" t="s">
        <v>108</v>
      </c>
      <c r="H17" t="s">
        <v>10</v>
      </c>
    </row>
    <row r="18" spans="3:8" x14ac:dyDescent="0.2">
      <c r="C18" s="44" t="s">
        <v>159</v>
      </c>
      <c r="D18">
        <v>68373.210000000006</v>
      </c>
      <c r="E18">
        <v>75308</v>
      </c>
      <c r="F18">
        <v>6934.7899999999936</v>
      </c>
      <c r="G18">
        <v>15617</v>
      </c>
      <c r="H18">
        <v>166233</v>
      </c>
    </row>
    <row r="19" spans="3:8" x14ac:dyDescent="0.2">
      <c r="C19" s="44" t="s">
        <v>156</v>
      </c>
      <c r="D19">
        <v>60357.310000000005</v>
      </c>
      <c r="E19">
        <v>74438</v>
      </c>
      <c r="F19">
        <v>14080.689999999995</v>
      </c>
      <c r="G19">
        <v>23339</v>
      </c>
      <c r="H19">
        <v>172215</v>
      </c>
    </row>
    <row r="20" spans="3:8" x14ac:dyDescent="0.2">
      <c r="C20" s="44" t="s">
        <v>157</v>
      </c>
      <c r="D20">
        <v>67808.25</v>
      </c>
      <c r="E20">
        <v>74492</v>
      </c>
      <c r="F20">
        <v>6683.75</v>
      </c>
      <c r="G20">
        <v>30140</v>
      </c>
      <c r="H20">
        <v>179124</v>
      </c>
    </row>
    <row r="21" spans="3:8" x14ac:dyDescent="0.2">
      <c r="C21" s="44" t="s">
        <v>158</v>
      </c>
      <c r="D21">
        <v>80682.049999999988</v>
      </c>
      <c r="E21">
        <v>73174</v>
      </c>
      <c r="F21">
        <v>-7508.0499999999884</v>
      </c>
      <c r="G21">
        <v>22714.449999999997</v>
      </c>
      <c r="H21">
        <v>169062.45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5B768-9F4B-4402-863F-DFCC3FC9E3D9}">
  <sheetPr>
    <pageSetUpPr fitToPage="1"/>
  </sheetPr>
  <dimension ref="A1:U92"/>
  <sheetViews>
    <sheetView showGridLines="0" zoomScale="85" zoomScaleNormal="85" zoomScalePageLayoutView="85" workbookViewId="0">
      <selection activeCell="N39" sqref="N39"/>
    </sheetView>
  </sheetViews>
  <sheetFormatPr baseColWidth="10" defaultColWidth="11" defaultRowHeight="16" x14ac:dyDescent="0.2"/>
  <cols>
    <col min="1" max="1" width="1.6640625" customWidth="1"/>
    <col min="2" max="2" width="28" style="3" customWidth="1"/>
    <col min="3" max="3" width="11.83203125" customWidth="1"/>
    <col min="4" max="13" width="11" customWidth="1"/>
    <col min="14" max="14" width="12.6640625" customWidth="1"/>
    <col min="15" max="15" width="11" customWidth="1"/>
    <col min="16" max="16" width="15" customWidth="1"/>
    <col min="17" max="17" width="16.5" customWidth="1"/>
    <col min="18" max="18" width="12.6640625" customWidth="1"/>
    <col min="19" max="19" width="12.1640625" customWidth="1"/>
  </cols>
  <sheetData>
    <row r="1" spans="2:19" ht="8" customHeight="1" x14ac:dyDescent="0.2"/>
    <row r="2" spans="2:19" ht="21" customHeight="1" x14ac:dyDescent="0.2">
      <c r="B2" s="236" t="s">
        <v>387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8"/>
      <c r="P2" t="s">
        <v>388</v>
      </c>
      <c r="Q2" t="s">
        <v>315</v>
      </c>
      <c r="R2" s="7" t="s">
        <v>316</v>
      </c>
    </row>
    <row r="3" spans="2:19" ht="18.75" customHeight="1" x14ac:dyDescent="0.2">
      <c r="B3" s="3" t="s">
        <v>398</v>
      </c>
      <c r="C3">
        <v>1</v>
      </c>
      <c r="E3">
        <v>95</v>
      </c>
      <c r="F3">
        <v>71</v>
      </c>
      <c r="G3">
        <v>4</v>
      </c>
      <c r="H3">
        <v>1</v>
      </c>
      <c r="I3">
        <v>4</v>
      </c>
      <c r="P3">
        <f>186-(C3+D3+E3+F3+G3+H3+I3+J3+K3+L3)</f>
        <v>10</v>
      </c>
      <c r="Q3" s="99">
        <f>P3*440</f>
        <v>4400</v>
      </c>
      <c r="R3" s="99">
        <v>2990</v>
      </c>
      <c r="S3" s="99">
        <f>Q3+R3</f>
        <v>7390</v>
      </c>
    </row>
    <row r="4" spans="2:19" x14ac:dyDescent="0.2">
      <c r="B4" s="5" t="s">
        <v>34</v>
      </c>
      <c r="C4" s="197" t="s">
        <v>0</v>
      </c>
      <c r="D4" s="197" t="s">
        <v>1</v>
      </c>
      <c r="E4" s="197" t="s">
        <v>2</v>
      </c>
      <c r="F4" s="197" t="s">
        <v>3</v>
      </c>
      <c r="G4" s="197" t="s">
        <v>4</v>
      </c>
      <c r="H4" s="197" t="s">
        <v>36</v>
      </c>
      <c r="I4" s="197" t="s">
        <v>37</v>
      </c>
      <c r="J4" s="197" t="s">
        <v>5</v>
      </c>
      <c r="K4" s="197" t="s">
        <v>6</v>
      </c>
      <c r="L4" s="197" t="s">
        <v>7</v>
      </c>
      <c r="M4" s="197" t="s">
        <v>8</v>
      </c>
      <c r="N4" s="197" t="s">
        <v>9</v>
      </c>
      <c r="O4" s="197" t="s">
        <v>39</v>
      </c>
      <c r="P4" s="40" t="s">
        <v>183</v>
      </c>
      <c r="S4" s="3" t="s">
        <v>175</v>
      </c>
    </row>
    <row r="5" spans="2:19" x14ac:dyDescent="0.2">
      <c r="B5" s="11" t="s">
        <v>220</v>
      </c>
      <c r="C5" s="198">
        <f>150+440</f>
        <v>590</v>
      </c>
      <c r="D5" s="198">
        <v>440</v>
      </c>
      <c r="E5" s="198">
        <v>42284</v>
      </c>
      <c r="F5" s="198">
        <v>31520</v>
      </c>
      <c r="G5" s="198">
        <f>220+440+440+100+(1030-150)</f>
        <v>2080</v>
      </c>
      <c r="H5" s="198">
        <v>440</v>
      </c>
      <c r="I5" s="198">
        <f>(7*440)+66</f>
        <v>3146</v>
      </c>
      <c r="J5" s="198">
        <v>100</v>
      </c>
      <c r="K5" s="198">
        <v>600</v>
      </c>
      <c r="L5" s="198">
        <v>200</v>
      </c>
      <c r="M5" s="198">
        <v>0</v>
      </c>
      <c r="N5" s="198">
        <v>0</v>
      </c>
      <c r="O5" s="199">
        <f>SUM(C5:N5)</f>
        <v>81400</v>
      </c>
      <c r="P5" s="95">
        <f>180*440</f>
        <v>79200</v>
      </c>
      <c r="Q5" t="s">
        <v>174</v>
      </c>
      <c r="R5" s="216">
        <v>440</v>
      </c>
      <c r="S5" s="95">
        <f>440*186</f>
        <v>81840</v>
      </c>
    </row>
    <row r="6" spans="2:19" x14ac:dyDescent="0.2">
      <c r="B6" s="11" t="s">
        <v>167</v>
      </c>
      <c r="C6" s="198">
        <v>0</v>
      </c>
      <c r="D6" s="198">
        <v>0</v>
      </c>
      <c r="E6" s="198">
        <v>0</v>
      </c>
      <c r="F6" s="198">
        <v>0</v>
      </c>
      <c r="G6" s="198">
        <v>150</v>
      </c>
      <c r="H6" s="198">
        <v>300</v>
      </c>
      <c r="I6" s="198">
        <v>150</v>
      </c>
      <c r="J6" s="198">
        <v>0</v>
      </c>
      <c r="K6" s="198">
        <v>0</v>
      </c>
      <c r="L6" s="198">
        <v>0</v>
      </c>
      <c r="M6" s="198">
        <v>0</v>
      </c>
      <c r="N6" s="198"/>
      <c r="O6" s="199">
        <f t="shared" ref="O6:O7" si="0">SUM(C6:N6)</f>
        <v>600</v>
      </c>
      <c r="Q6" s="213"/>
      <c r="R6" s="212">
        <v>0.1</v>
      </c>
      <c r="S6" s="213"/>
    </row>
    <row r="7" spans="2:19" x14ac:dyDescent="0.2">
      <c r="B7" s="11" t="s">
        <v>380</v>
      </c>
      <c r="C7" s="198">
        <v>0</v>
      </c>
      <c r="D7" s="198">
        <v>0</v>
      </c>
      <c r="E7" s="198">
        <v>0</v>
      </c>
      <c r="F7" s="198">
        <v>0</v>
      </c>
      <c r="G7" s="198">
        <v>0</v>
      </c>
      <c r="H7" s="198">
        <v>0</v>
      </c>
      <c r="I7" s="198">
        <v>0</v>
      </c>
      <c r="J7" s="198">
        <v>0</v>
      </c>
      <c r="K7" s="198">
        <v>0</v>
      </c>
      <c r="L7" s="198">
        <v>0</v>
      </c>
      <c r="M7" s="198">
        <v>55.77</v>
      </c>
      <c r="N7" s="198">
        <v>66.7</v>
      </c>
      <c r="O7" s="199">
        <f t="shared" si="0"/>
        <v>122.47</v>
      </c>
      <c r="P7" s="99"/>
      <c r="Q7" s="213"/>
      <c r="R7" s="216">
        <f>R5*R6</f>
        <v>44</v>
      </c>
      <c r="S7" s="216">
        <f>R5+R7</f>
        <v>484</v>
      </c>
    </row>
    <row r="8" spans="2:19" x14ac:dyDescent="0.2">
      <c r="B8" s="12" t="s">
        <v>39</v>
      </c>
      <c r="C8" s="200">
        <f t="shared" ref="C8:O8" si="1">SUM(C5:C7)</f>
        <v>590</v>
      </c>
      <c r="D8" s="200">
        <f t="shared" si="1"/>
        <v>440</v>
      </c>
      <c r="E8" s="200">
        <f t="shared" si="1"/>
        <v>42284</v>
      </c>
      <c r="F8" s="200">
        <f t="shared" si="1"/>
        <v>31520</v>
      </c>
      <c r="G8" s="200">
        <f t="shared" si="1"/>
        <v>2230</v>
      </c>
      <c r="H8" s="200">
        <f t="shared" si="1"/>
        <v>740</v>
      </c>
      <c r="I8" s="200">
        <f t="shared" si="1"/>
        <v>3296</v>
      </c>
      <c r="J8" s="200">
        <f t="shared" si="1"/>
        <v>100</v>
      </c>
      <c r="K8" s="200">
        <f t="shared" si="1"/>
        <v>600</v>
      </c>
      <c r="L8" s="200">
        <f t="shared" si="1"/>
        <v>200</v>
      </c>
      <c r="M8" s="200">
        <f t="shared" si="1"/>
        <v>55.77</v>
      </c>
      <c r="N8" s="200">
        <f t="shared" si="1"/>
        <v>66.7</v>
      </c>
      <c r="O8" s="200">
        <f t="shared" si="1"/>
        <v>82122.47</v>
      </c>
      <c r="Q8" s="213"/>
      <c r="R8" s="215">
        <f>R7*186</f>
        <v>8184</v>
      </c>
      <c r="S8" s="213">
        <f>S7*186</f>
        <v>90024</v>
      </c>
    </row>
    <row r="9" spans="2:19" x14ac:dyDescent="0.2">
      <c r="B9" s="4" t="s">
        <v>92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Q9" s="213"/>
      <c r="R9" s="214"/>
      <c r="S9" s="213"/>
    </row>
    <row r="10" spans="2:19" x14ac:dyDescent="0.2">
      <c r="B10" s="11" t="s">
        <v>79</v>
      </c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9">
        <f t="shared" ref="O10:O34" si="2">SUM(C10:N10)</f>
        <v>0</v>
      </c>
      <c r="Q10" s="213"/>
      <c r="R10" s="214"/>
      <c r="S10" s="213"/>
    </row>
    <row r="11" spans="2:19" x14ac:dyDescent="0.2">
      <c r="B11" s="11" t="s">
        <v>82</v>
      </c>
      <c r="C11" s="198"/>
      <c r="D11" s="198"/>
      <c r="E11" s="198"/>
      <c r="F11" s="198"/>
      <c r="G11" s="51"/>
      <c r="H11" s="198">
        <f>1451+1036</f>
        <v>2487</v>
      </c>
      <c r="I11" s="198"/>
      <c r="J11" s="198"/>
      <c r="K11" s="198"/>
      <c r="L11" s="198"/>
      <c r="M11" s="198"/>
      <c r="N11" s="198"/>
      <c r="O11" s="199">
        <f t="shared" si="2"/>
        <v>2487</v>
      </c>
      <c r="Q11" s="213"/>
      <c r="R11" s="213"/>
      <c r="S11" s="213"/>
    </row>
    <row r="12" spans="2:19" x14ac:dyDescent="0.2">
      <c r="B12" s="11" t="s">
        <v>165</v>
      </c>
      <c r="C12" s="198"/>
      <c r="D12" s="51"/>
      <c r="E12" s="198">
        <v>1162.5</v>
      </c>
      <c r="F12" s="198">
        <v>6.25</v>
      </c>
      <c r="G12" s="198"/>
      <c r="H12" s="198"/>
      <c r="I12" s="198"/>
      <c r="J12" s="198">
        <v>0.15</v>
      </c>
      <c r="K12" s="198"/>
      <c r="L12" s="198"/>
      <c r="M12" s="198"/>
      <c r="N12" s="198"/>
      <c r="O12" s="199">
        <f t="shared" si="2"/>
        <v>1168.9000000000001</v>
      </c>
    </row>
    <row r="13" spans="2:19" x14ac:dyDescent="0.2">
      <c r="B13" s="11" t="s">
        <v>301</v>
      </c>
      <c r="C13" s="198"/>
      <c r="D13" s="198"/>
      <c r="E13" s="198"/>
      <c r="F13" s="198"/>
      <c r="G13" s="198"/>
      <c r="H13" s="198"/>
      <c r="I13" s="198"/>
      <c r="J13" s="198">
        <v>100</v>
      </c>
      <c r="K13" s="198"/>
      <c r="L13" s="201"/>
      <c r="M13" s="198"/>
      <c r="N13" s="198"/>
      <c r="O13" s="199">
        <f t="shared" si="2"/>
        <v>100</v>
      </c>
      <c r="P13" s="105"/>
      <c r="Q13" s="114"/>
      <c r="R13" s="106"/>
      <c r="S13" s="2"/>
    </row>
    <row r="14" spans="2:19" x14ac:dyDescent="0.2">
      <c r="B14" s="11" t="s">
        <v>14</v>
      </c>
      <c r="C14" s="198"/>
      <c r="D14" s="198"/>
      <c r="E14" s="198"/>
      <c r="F14" s="198"/>
      <c r="G14" s="198"/>
      <c r="H14" s="198">
        <v>60.33</v>
      </c>
      <c r="I14" s="198"/>
      <c r="J14" s="198"/>
      <c r="K14" s="198"/>
      <c r="L14" s="201"/>
      <c r="M14" s="198"/>
      <c r="N14" s="198"/>
      <c r="O14" s="199">
        <f t="shared" si="2"/>
        <v>60.33</v>
      </c>
      <c r="P14" s="105"/>
      <c r="Q14" s="114"/>
      <c r="S14" s="2"/>
    </row>
    <row r="15" spans="2:19" x14ac:dyDescent="0.2">
      <c r="B15" s="11" t="s">
        <v>344</v>
      </c>
      <c r="C15" s="198"/>
      <c r="D15" s="198"/>
      <c r="E15" s="198"/>
      <c r="F15" s="198"/>
      <c r="G15" s="198"/>
      <c r="H15" s="198"/>
      <c r="I15" s="198"/>
      <c r="J15" s="198"/>
      <c r="K15" s="198"/>
      <c r="L15" s="201"/>
      <c r="M15" s="198"/>
      <c r="N15" s="198"/>
      <c r="O15" s="199">
        <f t="shared" si="2"/>
        <v>0</v>
      </c>
      <c r="P15" s="173"/>
      <c r="Q15" s="114"/>
      <c r="S15" s="2"/>
    </row>
    <row r="16" spans="2:19" x14ac:dyDescent="0.2">
      <c r="B16" s="11" t="s">
        <v>287</v>
      </c>
      <c r="C16" s="198"/>
      <c r="D16" s="198"/>
      <c r="E16" s="198"/>
      <c r="F16" s="198"/>
      <c r="G16" s="198"/>
      <c r="H16" s="198"/>
      <c r="I16" s="198"/>
      <c r="J16" s="198"/>
      <c r="K16" s="198"/>
      <c r="L16" s="201">
        <v>216</v>
      </c>
      <c r="M16" s="198"/>
      <c r="N16" s="198"/>
      <c r="O16" s="199">
        <f t="shared" si="2"/>
        <v>216</v>
      </c>
      <c r="P16" s="105"/>
      <c r="Q16" s="114"/>
      <c r="R16" s="106"/>
      <c r="S16" s="2"/>
    </row>
    <row r="17" spans="2:21" x14ac:dyDescent="0.2">
      <c r="B17" s="11" t="s">
        <v>86</v>
      </c>
      <c r="C17" s="198"/>
      <c r="D17" s="198"/>
      <c r="E17" s="198"/>
      <c r="F17" s="198"/>
      <c r="G17" s="198">
        <f>345</f>
        <v>345</v>
      </c>
      <c r="H17" s="198">
        <f>509.22+377.68+51.35</f>
        <v>938.25000000000011</v>
      </c>
      <c r="I17" s="198">
        <f>15.6+277.29</f>
        <v>292.89000000000004</v>
      </c>
      <c r="J17" s="198"/>
      <c r="K17" s="198">
        <v>190.16</v>
      </c>
      <c r="L17" s="198"/>
      <c r="M17" s="198"/>
      <c r="N17" s="198"/>
      <c r="O17" s="199">
        <f t="shared" si="2"/>
        <v>1766.3000000000002</v>
      </c>
      <c r="P17" s="105"/>
      <c r="Q17" s="114"/>
      <c r="R17" s="106"/>
      <c r="S17" s="2"/>
    </row>
    <row r="18" spans="2:21" x14ac:dyDescent="0.2">
      <c r="B18" s="11" t="s">
        <v>346</v>
      </c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9">
        <f t="shared" si="2"/>
        <v>0</v>
      </c>
      <c r="P18" s="173"/>
      <c r="Q18" s="114"/>
      <c r="R18" s="106"/>
      <c r="S18" s="2"/>
    </row>
    <row r="19" spans="2:21" x14ac:dyDescent="0.2">
      <c r="B19" s="11" t="s">
        <v>218</v>
      </c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9">
        <f t="shared" ref="O19" si="3">SUM(C19:N19)</f>
        <v>0</v>
      </c>
      <c r="P19" s="105"/>
      <c r="R19" s="106"/>
      <c r="S19" s="2"/>
    </row>
    <row r="20" spans="2:21" x14ac:dyDescent="0.2">
      <c r="B20" s="11" t="s">
        <v>348</v>
      </c>
      <c r="C20" s="198"/>
      <c r="D20" s="198"/>
      <c r="E20" s="198"/>
      <c r="F20" s="198"/>
      <c r="G20" s="198"/>
      <c r="H20" s="198"/>
      <c r="I20" s="198"/>
      <c r="J20" s="198"/>
      <c r="K20" s="198">
        <v>360</v>
      </c>
      <c r="L20" s="198"/>
      <c r="M20" s="198"/>
      <c r="N20" s="198"/>
      <c r="O20" s="199">
        <f t="shared" si="2"/>
        <v>360</v>
      </c>
      <c r="P20" s="173"/>
      <c r="R20" s="106"/>
      <c r="S20" s="2"/>
    </row>
    <row r="21" spans="2:21" x14ac:dyDescent="0.2">
      <c r="B21" s="11" t="s">
        <v>373</v>
      </c>
      <c r="C21" s="198">
        <v>111</v>
      </c>
      <c r="D21" s="198"/>
      <c r="E21" s="198"/>
      <c r="F21" s="198"/>
      <c r="G21" s="198"/>
      <c r="H21" s="198"/>
      <c r="I21" s="198"/>
      <c r="J21" s="198"/>
      <c r="K21" s="198"/>
      <c r="L21" s="198"/>
      <c r="M21" s="198">
        <v>350</v>
      </c>
      <c r="N21" s="198"/>
      <c r="O21" s="199">
        <f t="shared" si="2"/>
        <v>461</v>
      </c>
      <c r="P21" s="173"/>
      <c r="R21" s="106"/>
      <c r="S21" s="2"/>
    </row>
    <row r="22" spans="2:21" x14ac:dyDescent="0.2">
      <c r="B22" s="11" t="s">
        <v>15</v>
      </c>
      <c r="C22" s="198">
        <f>22.18+22.62+25.04+26.62+118.84+263.6+281.89+346.82</f>
        <v>1107.6099999999999</v>
      </c>
      <c r="D22" s="198">
        <v>1123.4100000000001</v>
      </c>
      <c r="E22" s="198">
        <v>1212.6300000000001</v>
      </c>
      <c r="F22" s="198">
        <v>1220.95</v>
      </c>
      <c r="G22" s="198">
        <v>1217.33</v>
      </c>
      <c r="H22" s="198">
        <v>1224.03</v>
      </c>
      <c r="I22" s="198">
        <v>1251.77</v>
      </c>
      <c r="J22" s="198">
        <v>1216.9000000000001</v>
      </c>
      <c r="K22" s="198">
        <v>1250.47</v>
      </c>
      <c r="L22" s="198">
        <v>1504.23</v>
      </c>
      <c r="M22" s="198">
        <v>896.62</v>
      </c>
      <c r="N22" s="198">
        <v>1185.3900000000001</v>
      </c>
      <c r="O22" s="199">
        <f t="shared" ref="O22:O23" si="4">SUM(C22:N22)</f>
        <v>14411.339999999998</v>
      </c>
      <c r="P22" s="96"/>
      <c r="Q22" s="43"/>
    </row>
    <row r="23" spans="2:21" x14ac:dyDescent="0.2">
      <c r="B23" s="11" t="s">
        <v>180</v>
      </c>
      <c r="C23" s="198">
        <f>96.24+96.53</f>
        <v>192.76999999999998</v>
      </c>
      <c r="D23" s="198">
        <f>88.59+81.76</f>
        <v>170.35000000000002</v>
      </c>
      <c r="E23" s="198"/>
      <c r="F23" s="198">
        <f>81.88+99.2</f>
        <v>181.07999999999998</v>
      </c>
      <c r="G23" s="198">
        <v>161.52000000000001</v>
      </c>
      <c r="H23" s="198"/>
      <c r="I23" s="198"/>
      <c r="J23" s="198">
        <f>181.08+109.62</f>
        <v>290.70000000000005</v>
      </c>
      <c r="K23" s="198">
        <f>201.27+108.67</f>
        <v>309.94</v>
      </c>
      <c r="L23" s="198">
        <v>20.13</v>
      </c>
      <c r="M23" s="198">
        <f>110.41+121.99</f>
        <v>232.39999999999998</v>
      </c>
      <c r="N23" s="198"/>
      <c r="O23" s="199">
        <f t="shared" si="4"/>
        <v>1558.8900000000003</v>
      </c>
    </row>
    <row r="24" spans="2:21" x14ac:dyDescent="0.2">
      <c r="B24" s="11" t="s">
        <v>12</v>
      </c>
      <c r="C24" s="198">
        <v>86.06</v>
      </c>
      <c r="D24" s="198">
        <v>86.09</v>
      </c>
      <c r="E24" s="198">
        <v>86.09</v>
      </c>
      <c r="F24" s="198">
        <v>86.09</v>
      </c>
      <c r="G24" s="198">
        <v>85.79</v>
      </c>
      <c r="H24" s="198">
        <v>85.79</v>
      </c>
      <c r="I24" s="198">
        <v>85.79</v>
      </c>
      <c r="J24" s="198">
        <v>86.05</v>
      </c>
      <c r="K24" s="198">
        <v>86.05</v>
      </c>
      <c r="L24" s="198">
        <v>86.05</v>
      </c>
      <c r="M24" s="198">
        <v>86.28</v>
      </c>
      <c r="N24" s="198">
        <v>86.28</v>
      </c>
      <c r="O24" s="199">
        <f t="shared" si="2"/>
        <v>1032.4099999999999</v>
      </c>
    </row>
    <row r="25" spans="2:21" x14ac:dyDescent="0.2">
      <c r="B25" s="11" t="s">
        <v>356</v>
      </c>
      <c r="C25" s="198">
        <v>2010.79</v>
      </c>
      <c r="D25" s="198">
        <v>3490</v>
      </c>
      <c r="E25" s="198">
        <v>3490</v>
      </c>
      <c r="F25" s="198">
        <v>6979</v>
      </c>
      <c r="G25" s="198">
        <v>6979</v>
      </c>
      <c r="H25" s="198">
        <v>6979</v>
      </c>
      <c r="I25" s="198">
        <v>3490</v>
      </c>
      <c r="J25" s="198">
        <v>1745</v>
      </c>
      <c r="K25" s="198"/>
      <c r="L25" s="198">
        <v>1916.46</v>
      </c>
      <c r="M25" s="198"/>
      <c r="N25" s="198"/>
      <c r="O25" s="199">
        <f t="shared" si="2"/>
        <v>37079.25</v>
      </c>
      <c r="P25" t="s">
        <v>311</v>
      </c>
      <c r="S25" t="s">
        <v>313</v>
      </c>
    </row>
    <row r="26" spans="2:21" x14ac:dyDescent="0.2">
      <c r="B26" s="11" t="s">
        <v>226</v>
      </c>
      <c r="C26" s="198"/>
      <c r="D26" s="198"/>
      <c r="E26" s="198"/>
      <c r="F26" s="198"/>
      <c r="G26" s="51"/>
      <c r="H26" s="198"/>
      <c r="I26" s="198"/>
      <c r="J26" s="198"/>
      <c r="K26" s="198">
        <v>781.13</v>
      </c>
      <c r="L26" s="198"/>
      <c r="M26" s="198"/>
      <c r="N26" s="198"/>
      <c r="O26" s="199">
        <f t="shared" si="2"/>
        <v>781.13</v>
      </c>
      <c r="P26" s="96">
        <v>38500</v>
      </c>
      <c r="Q26" s="43" t="s">
        <v>312</v>
      </c>
      <c r="R26" s="41">
        <v>2024</v>
      </c>
      <c r="S26" t="s">
        <v>389</v>
      </c>
      <c r="T26" s="119">
        <f>5%*$P$27</f>
        <v>1744.75</v>
      </c>
      <c r="U26" t="s">
        <v>397</v>
      </c>
    </row>
    <row r="27" spans="2:21" x14ac:dyDescent="0.2">
      <c r="B27" s="11" t="s">
        <v>294</v>
      </c>
      <c r="C27" s="198">
        <v>1400</v>
      </c>
      <c r="D27" s="198">
        <v>1400</v>
      </c>
      <c r="E27" s="198">
        <v>1400</v>
      </c>
      <c r="F27" s="198">
        <v>1400</v>
      </c>
      <c r="G27" s="198">
        <v>1400</v>
      </c>
      <c r="H27" s="198">
        <v>1400</v>
      </c>
      <c r="I27" s="198">
        <v>1400</v>
      </c>
      <c r="J27" s="198">
        <v>1400</v>
      </c>
      <c r="K27" s="198">
        <v>1400</v>
      </c>
      <c r="L27" s="198">
        <v>1800</v>
      </c>
      <c r="M27" s="198">
        <v>1400</v>
      </c>
      <c r="N27" s="198">
        <v>1400</v>
      </c>
      <c r="O27" s="199">
        <f>SUM(C27:N27)</f>
        <v>17200</v>
      </c>
      <c r="P27" s="96">
        <v>34895</v>
      </c>
      <c r="Q27" s="43" t="s">
        <v>312</v>
      </c>
      <c r="R27">
        <v>2025</v>
      </c>
      <c r="S27" t="s">
        <v>390</v>
      </c>
      <c r="T27" s="119">
        <f>10%*$P$27</f>
        <v>3489.5</v>
      </c>
    </row>
    <row r="28" spans="2:21" x14ac:dyDescent="0.2">
      <c r="B28" s="11" t="s">
        <v>16</v>
      </c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8"/>
      <c r="N28" s="198"/>
      <c r="O28" s="199">
        <f t="shared" ref="O28:O29" si="5">SUM(C28:N28)</f>
        <v>0</v>
      </c>
      <c r="P28" s="96">
        <v>35941</v>
      </c>
      <c r="Q28" s="43" t="s">
        <v>312</v>
      </c>
      <c r="R28">
        <v>2026</v>
      </c>
      <c r="S28" t="s">
        <v>391</v>
      </c>
      <c r="T28" s="119">
        <f>10%*$P$27</f>
        <v>3489.5</v>
      </c>
    </row>
    <row r="29" spans="2:21" x14ac:dyDescent="0.2">
      <c r="B29" s="11" t="s">
        <v>225</v>
      </c>
      <c r="C29" s="198">
        <v>165</v>
      </c>
      <c r="D29" s="198"/>
      <c r="E29" s="198"/>
      <c r="F29" s="198"/>
      <c r="G29" s="198"/>
      <c r="H29" s="198"/>
      <c r="I29" s="198">
        <v>328.56</v>
      </c>
      <c r="J29" s="198">
        <v>124.21</v>
      </c>
      <c r="K29" s="198">
        <v>247.67</v>
      </c>
      <c r="L29" s="201"/>
      <c r="M29" s="198">
        <v>123.52</v>
      </c>
      <c r="N29" s="198"/>
      <c r="O29" s="199">
        <f t="shared" si="5"/>
        <v>988.95999999999992</v>
      </c>
      <c r="P29" s="105"/>
      <c r="Q29" s="114"/>
      <c r="R29" s="106"/>
      <c r="S29" t="s">
        <v>392</v>
      </c>
      <c r="T29" s="119">
        <f>20%*$P$27</f>
        <v>6979</v>
      </c>
    </row>
    <row r="30" spans="2:21" x14ac:dyDescent="0.2">
      <c r="B30" s="11" t="s">
        <v>179</v>
      </c>
      <c r="C30" s="198"/>
      <c r="D30" s="198"/>
      <c r="E30" s="198"/>
      <c r="F30" s="198"/>
      <c r="G30" s="198"/>
      <c r="H30" s="198"/>
      <c r="I30" s="198">
        <v>1750</v>
      </c>
      <c r="J30" s="198"/>
      <c r="K30" s="198"/>
      <c r="L30" s="198"/>
      <c r="M30" s="198"/>
      <c r="N30" s="198"/>
      <c r="O30" s="199">
        <f t="shared" si="2"/>
        <v>1750</v>
      </c>
      <c r="S30" t="s">
        <v>393</v>
      </c>
      <c r="T30" s="119">
        <f>20%*$P$27</f>
        <v>6979</v>
      </c>
    </row>
    <row r="31" spans="2:21" x14ac:dyDescent="0.2">
      <c r="B31" s="11" t="s">
        <v>374</v>
      </c>
      <c r="C31" s="198"/>
      <c r="D31" s="198"/>
      <c r="E31" s="198"/>
      <c r="F31" s="198"/>
      <c r="G31" s="198"/>
      <c r="H31" s="198"/>
      <c r="I31" s="198">
        <f>285</f>
        <v>285</v>
      </c>
      <c r="J31" s="198">
        <v>507.14</v>
      </c>
      <c r="K31" s="198"/>
      <c r="L31" s="198"/>
      <c r="M31" s="198"/>
      <c r="N31" s="198"/>
      <c r="O31" s="199">
        <f t="shared" ref="O31" si="6">SUM(C31:N31)</f>
        <v>792.14</v>
      </c>
      <c r="P31" s="105"/>
      <c r="Q31" s="114"/>
      <c r="R31" s="106"/>
      <c r="S31" t="s">
        <v>394</v>
      </c>
      <c r="T31" s="119">
        <f>20%*$P$27</f>
        <v>6979</v>
      </c>
    </row>
    <row r="32" spans="2:21" x14ac:dyDescent="0.2">
      <c r="B32" s="11" t="s">
        <v>20</v>
      </c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9">
        <f t="shared" si="2"/>
        <v>0</v>
      </c>
      <c r="P32" s="125"/>
      <c r="S32" t="s">
        <v>395</v>
      </c>
      <c r="T32" s="119">
        <f>10%*$P$27</f>
        <v>3489.5</v>
      </c>
    </row>
    <row r="33" spans="2:20" x14ac:dyDescent="0.2">
      <c r="B33" s="11" t="s">
        <v>83</v>
      </c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9">
        <f t="shared" si="2"/>
        <v>0</v>
      </c>
      <c r="P33" s="105"/>
      <c r="Q33" s="3"/>
      <c r="R33" s="3"/>
      <c r="S33" s="2" t="s">
        <v>396</v>
      </c>
      <c r="T33" s="144">
        <f>5%*$P$27</f>
        <v>1744.75</v>
      </c>
    </row>
    <row r="34" spans="2:20" x14ac:dyDescent="0.2">
      <c r="B34" s="11" t="s">
        <v>24</v>
      </c>
      <c r="C34" s="198"/>
      <c r="D34" s="198"/>
      <c r="E34" s="198">
        <v>0</v>
      </c>
      <c r="F34" s="198"/>
      <c r="G34" s="198"/>
      <c r="H34" s="198"/>
      <c r="I34" s="198"/>
      <c r="J34" s="198"/>
      <c r="K34" s="198"/>
      <c r="L34" s="201"/>
      <c r="M34" s="198"/>
      <c r="N34" s="198"/>
      <c r="O34" s="199">
        <f t="shared" si="2"/>
        <v>0</v>
      </c>
      <c r="P34" s="105"/>
      <c r="Q34" s="114"/>
      <c r="R34" s="106"/>
      <c r="S34" s="2"/>
      <c r="T34" s="2">
        <f>SUM(T26:T33)</f>
        <v>34895</v>
      </c>
    </row>
    <row r="35" spans="2:20" x14ac:dyDescent="0.2">
      <c r="B35" s="12" t="s">
        <v>95</v>
      </c>
      <c r="C35" s="202">
        <f t="shared" ref="C35:O35" si="7">SUM(C10:C34)</f>
        <v>5073.2299999999996</v>
      </c>
      <c r="D35" s="202">
        <f t="shared" si="7"/>
        <v>6269.85</v>
      </c>
      <c r="E35" s="202">
        <f t="shared" si="7"/>
        <v>7351.22</v>
      </c>
      <c r="F35" s="202">
        <f t="shared" si="7"/>
        <v>9873.369999999999</v>
      </c>
      <c r="G35" s="202">
        <f t="shared" si="7"/>
        <v>10188.64</v>
      </c>
      <c r="H35" s="202">
        <f t="shared" si="7"/>
        <v>13174.4</v>
      </c>
      <c r="I35" s="202">
        <f t="shared" si="7"/>
        <v>8884.01</v>
      </c>
      <c r="J35" s="202">
        <f t="shared" si="7"/>
        <v>5470.1500000000005</v>
      </c>
      <c r="K35" s="202">
        <f t="shared" si="7"/>
        <v>4625.42</v>
      </c>
      <c r="L35" s="202">
        <f t="shared" si="7"/>
        <v>5542.87</v>
      </c>
      <c r="M35" s="202">
        <f t="shared" si="7"/>
        <v>3088.82</v>
      </c>
      <c r="N35" s="202">
        <f t="shared" si="7"/>
        <v>2671.67</v>
      </c>
      <c r="O35" s="202">
        <f t="shared" si="7"/>
        <v>82213.649999999994</v>
      </c>
      <c r="P35" s="105"/>
      <c r="Q35" s="114"/>
      <c r="R35" s="106"/>
    </row>
    <row r="36" spans="2:20" x14ac:dyDescent="0.2">
      <c r="B36" s="12" t="s">
        <v>171</v>
      </c>
      <c r="C36" s="200">
        <f t="shared" ref="C36:N36" si="8">C8-C35</f>
        <v>-4483.2299999999996</v>
      </c>
      <c r="D36" s="200">
        <f t="shared" si="8"/>
        <v>-5829.85</v>
      </c>
      <c r="E36" s="200">
        <f t="shared" si="8"/>
        <v>34932.78</v>
      </c>
      <c r="F36" s="200">
        <f t="shared" si="8"/>
        <v>21646.63</v>
      </c>
      <c r="G36" s="200">
        <f t="shared" si="8"/>
        <v>-7958.6399999999994</v>
      </c>
      <c r="H36" s="200">
        <f t="shared" si="8"/>
        <v>-12434.4</v>
      </c>
      <c r="I36" s="200">
        <f t="shared" si="8"/>
        <v>-5588.01</v>
      </c>
      <c r="J36" s="200">
        <f t="shared" si="8"/>
        <v>-5370.1500000000005</v>
      </c>
      <c r="K36" s="200">
        <f t="shared" si="8"/>
        <v>-4025.42</v>
      </c>
      <c r="L36" s="200">
        <f t="shared" si="8"/>
        <v>-5342.87</v>
      </c>
      <c r="M36" s="200">
        <f t="shared" si="8"/>
        <v>-3033.05</v>
      </c>
      <c r="N36" s="200">
        <f t="shared" si="8"/>
        <v>-2604.9700000000003</v>
      </c>
      <c r="O36" s="200">
        <f>SUM(C36:N36)</f>
        <v>-91.18000000000302</v>
      </c>
      <c r="P36" s="96"/>
      <c r="Q36" s="2"/>
      <c r="R36" s="106"/>
    </row>
    <row r="37" spans="2:20" x14ac:dyDescent="0.2">
      <c r="B37" s="12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203"/>
      <c r="P37" s="93"/>
      <c r="Q37" s="99"/>
    </row>
    <row r="38" spans="2:20" x14ac:dyDescent="0.2">
      <c r="B38" s="97" t="s">
        <v>173</v>
      </c>
      <c r="C38" s="200">
        <f>(B40+C8)-C35</f>
        <v>20507.060000000009</v>
      </c>
      <c r="D38" s="200">
        <f>C38+D36</f>
        <v>14677.210000000008</v>
      </c>
      <c r="E38" s="200">
        <f t="shared" ref="E38:N38" si="9">D38+E36</f>
        <v>49609.990000000005</v>
      </c>
      <c r="F38" s="200">
        <f t="shared" si="9"/>
        <v>71256.62000000001</v>
      </c>
      <c r="G38" s="200">
        <f t="shared" si="9"/>
        <v>63297.98000000001</v>
      </c>
      <c r="H38" s="200">
        <f t="shared" si="9"/>
        <v>50863.580000000009</v>
      </c>
      <c r="I38" s="200">
        <f t="shared" si="9"/>
        <v>45275.570000000007</v>
      </c>
      <c r="J38" s="200">
        <f t="shared" si="9"/>
        <v>39905.420000000006</v>
      </c>
      <c r="K38" s="200">
        <f t="shared" si="9"/>
        <v>35880.000000000007</v>
      </c>
      <c r="L38" s="200">
        <f t="shared" si="9"/>
        <v>30537.130000000008</v>
      </c>
      <c r="M38" s="200">
        <f t="shared" si="9"/>
        <v>27504.080000000009</v>
      </c>
      <c r="N38" s="200">
        <f t="shared" si="9"/>
        <v>24899.110000000008</v>
      </c>
      <c r="O38" s="51"/>
    </row>
    <row r="39" spans="2:20" x14ac:dyDescent="0.2">
      <c r="B39" s="93" t="s">
        <v>304</v>
      </c>
      <c r="C39" s="204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217">
        <f>N38/O35</f>
        <v>0.30285858856771364</v>
      </c>
      <c r="O39" s="205"/>
    </row>
    <row r="40" spans="2:20" x14ac:dyDescent="0.2">
      <c r="B40" s="13">
        <f>'2023 actual'!N56</f>
        <v>24990.290000000008</v>
      </c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205"/>
    </row>
    <row r="41" spans="2:20" ht="16.5" hidden="1" customHeight="1" x14ac:dyDescent="0.2">
      <c r="B41" s="3" t="s">
        <v>197</v>
      </c>
      <c r="C41" s="204">
        <v>1453.51</v>
      </c>
      <c r="D41" s="204">
        <v>7136.66</v>
      </c>
      <c r="E41" s="204">
        <v>1620</v>
      </c>
      <c r="F41" s="204">
        <v>6027.11</v>
      </c>
      <c r="G41" s="204"/>
      <c r="H41" s="204"/>
      <c r="I41" s="204"/>
      <c r="J41" s="204"/>
      <c r="K41" s="204"/>
      <c r="L41" s="204"/>
      <c r="M41" s="204"/>
      <c r="N41" s="204"/>
      <c r="O41" s="205"/>
    </row>
    <row r="42" spans="2:20" hidden="1" x14ac:dyDescent="0.2">
      <c r="B42" s="3" t="s">
        <v>198</v>
      </c>
      <c r="C42" s="204">
        <v>1557.89</v>
      </c>
      <c r="D42" s="204">
        <v>2074.34</v>
      </c>
      <c r="E42" s="204">
        <v>2046.45</v>
      </c>
      <c r="F42" s="204">
        <v>1180.08</v>
      </c>
      <c r="G42" s="204"/>
      <c r="H42" s="204"/>
      <c r="I42" s="204"/>
      <c r="J42" s="204"/>
      <c r="K42" s="204"/>
      <c r="L42" s="204"/>
      <c r="M42" s="204"/>
      <c r="N42" s="204"/>
      <c r="O42" s="51"/>
      <c r="P42" s="2"/>
    </row>
    <row r="43" spans="2:20" hidden="1" x14ac:dyDescent="0.2">
      <c r="B43" s="3" t="s">
        <v>199</v>
      </c>
      <c r="C43" s="204">
        <f>SUM(C41:C42)</f>
        <v>3011.4</v>
      </c>
      <c r="D43" s="204">
        <f>SUM(D41:D42)</f>
        <v>9211</v>
      </c>
      <c r="E43" s="204">
        <f>SUM(E41:E42)</f>
        <v>3666.45</v>
      </c>
      <c r="F43" s="204">
        <f>SUM(F41:F42)</f>
        <v>7207.19</v>
      </c>
      <c r="G43" s="204"/>
      <c r="H43" s="204"/>
      <c r="I43" s="204"/>
      <c r="J43" s="204"/>
      <c r="K43" s="204"/>
      <c r="L43" s="204"/>
      <c r="M43" s="204"/>
      <c r="N43" s="204"/>
      <c r="O43" s="51"/>
    </row>
    <row r="44" spans="2:20" hidden="1" x14ac:dyDescent="0.2"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</row>
    <row r="45" spans="2:20" x14ac:dyDescent="0.2">
      <c r="B45" s="39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</row>
    <row r="46" spans="2:20" x14ac:dyDescent="0.2">
      <c r="C46" s="197" t="s">
        <v>0</v>
      </c>
      <c r="D46" s="197" t="s">
        <v>1</v>
      </c>
      <c r="E46" s="197" t="s">
        <v>2</v>
      </c>
      <c r="F46" s="197" t="s">
        <v>3</v>
      </c>
      <c r="G46" s="197" t="s">
        <v>4</v>
      </c>
      <c r="H46" s="197" t="s">
        <v>36</v>
      </c>
      <c r="I46" s="197" t="s">
        <v>37</v>
      </c>
      <c r="J46" s="197" t="s">
        <v>5</v>
      </c>
      <c r="K46" s="197" t="s">
        <v>6</v>
      </c>
      <c r="L46" s="197" t="s">
        <v>7</v>
      </c>
      <c r="M46" s="197" t="s">
        <v>8</v>
      </c>
      <c r="N46" s="197" t="s">
        <v>9</v>
      </c>
      <c r="O46" s="197" t="s">
        <v>39</v>
      </c>
    </row>
    <row r="47" spans="2:20" x14ac:dyDescent="0.2">
      <c r="B47" s="12" t="s">
        <v>203</v>
      </c>
      <c r="C47" s="202">
        <f>'2024 Fixed'!C32</f>
        <v>3011.4000000000005</v>
      </c>
      <c r="D47" s="202">
        <f>'2024 Fixed'!D32</f>
        <v>9211</v>
      </c>
      <c r="E47" s="202">
        <f>'2024 Fixed'!E32</f>
        <v>3666.45</v>
      </c>
      <c r="F47" s="202">
        <f>'2024 Fixed'!F32</f>
        <v>7034.27</v>
      </c>
      <c r="G47" s="202">
        <f>'2024 Fixed'!G32</f>
        <v>19002.510000000002</v>
      </c>
      <c r="H47" s="202">
        <f>'2024 Fixed'!H32</f>
        <v>11699.41</v>
      </c>
      <c r="I47" s="202">
        <f>'2024 Fixed'!I32</f>
        <v>9849.82</v>
      </c>
      <c r="J47" s="202">
        <f>'2024 Fixed'!J32</f>
        <v>6340.4199999999992</v>
      </c>
      <c r="K47" s="202">
        <f>'2024 Fixed'!K32</f>
        <v>3153.26</v>
      </c>
      <c r="L47" s="202">
        <f>'2024 Fixed'!L32</f>
        <v>1571.95</v>
      </c>
      <c r="M47" s="202">
        <f>'2024 Fixed'!M32</f>
        <v>6486.92</v>
      </c>
      <c r="N47" s="202">
        <f>'2024 Fixed'!N32</f>
        <v>5297.27</v>
      </c>
      <c r="O47" s="202">
        <f>SUM(C47:N47)</f>
        <v>86324.680000000008</v>
      </c>
    </row>
    <row r="48" spans="2:20" x14ac:dyDescent="0.2">
      <c r="B48" s="3" t="s">
        <v>204</v>
      </c>
      <c r="C48" s="206">
        <f t="shared" ref="C48:N48" si="10">C36-C47</f>
        <v>-7494.63</v>
      </c>
      <c r="D48" s="206">
        <f t="shared" si="10"/>
        <v>-15040.85</v>
      </c>
      <c r="E48" s="206">
        <f t="shared" si="10"/>
        <v>31266.329999999998</v>
      </c>
      <c r="F48" s="206">
        <f t="shared" si="10"/>
        <v>14612.36</v>
      </c>
      <c r="G48" s="206">
        <f t="shared" si="10"/>
        <v>-26961.15</v>
      </c>
      <c r="H48" s="206">
        <f t="shared" si="10"/>
        <v>-24133.809999999998</v>
      </c>
      <c r="I48" s="206">
        <f t="shared" si="10"/>
        <v>-15437.83</v>
      </c>
      <c r="J48" s="206">
        <f t="shared" si="10"/>
        <v>-11710.57</v>
      </c>
      <c r="K48" s="206">
        <f t="shared" si="10"/>
        <v>-7178.68</v>
      </c>
      <c r="L48" s="206">
        <f t="shared" si="10"/>
        <v>-6914.82</v>
      </c>
      <c r="M48" s="206">
        <f t="shared" si="10"/>
        <v>-9519.9700000000012</v>
      </c>
      <c r="N48" s="206">
        <f t="shared" si="10"/>
        <v>-7902.2400000000007</v>
      </c>
      <c r="O48" s="206">
        <f>SUM(C48:N48)</f>
        <v>-86415.86</v>
      </c>
    </row>
    <row r="49" spans="1:21" x14ac:dyDescent="0.2">
      <c r="C49" s="205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</row>
    <row r="50" spans="1:21" x14ac:dyDescent="0.2">
      <c r="B50" s="4" t="s">
        <v>216</v>
      </c>
      <c r="C50" s="205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</row>
    <row r="51" spans="1:21" s="3" customFormat="1" x14ac:dyDescent="0.2">
      <c r="A51" s="41"/>
      <c r="B51" s="3" t="s">
        <v>211</v>
      </c>
      <c r="C51" s="207">
        <v>24990.29</v>
      </c>
      <c r="D51" s="207">
        <f t="shared" ref="D51:L51" si="11">C55</f>
        <v>21310.170000000002</v>
      </c>
      <c r="E51" s="207">
        <f t="shared" si="11"/>
        <v>18018.370000000003</v>
      </c>
      <c r="F51" s="207">
        <f t="shared" si="11"/>
        <v>52307.240000000005</v>
      </c>
      <c r="G51" s="207">
        <f t="shared" si="11"/>
        <v>76837.279999999999</v>
      </c>
      <c r="H51" s="207">
        <f t="shared" si="11"/>
        <v>68191.8</v>
      </c>
      <c r="I51" s="207">
        <f t="shared" si="11"/>
        <v>53431.26</v>
      </c>
      <c r="J51" s="207">
        <f t="shared" si="11"/>
        <v>43467.41</v>
      </c>
      <c r="K51" s="207">
        <f t="shared" si="11"/>
        <v>36009.340000000004</v>
      </c>
      <c r="L51" s="207">
        <f t="shared" si="11"/>
        <v>31983.920000000006</v>
      </c>
      <c r="M51" s="207">
        <f>L55</f>
        <v>26641.050000000007</v>
      </c>
      <c r="N51" s="207">
        <f>M55</f>
        <v>23608.000000000007</v>
      </c>
      <c r="O51" s="207"/>
      <c r="P51"/>
      <c r="Q51"/>
      <c r="R51"/>
      <c r="S51"/>
      <c r="T51"/>
      <c r="U51"/>
    </row>
    <row r="52" spans="1:21" x14ac:dyDescent="0.2">
      <c r="B52" s="3" t="s">
        <v>213</v>
      </c>
      <c r="C52" s="208">
        <v>4786.6499999999996</v>
      </c>
      <c r="D52" s="208">
        <v>3351.95</v>
      </c>
      <c r="E52" s="208">
        <v>5533.91</v>
      </c>
      <c r="F52" s="208">
        <v>5495.59</v>
      </c>
      <c r="G52" s="208">
        <v>9410.84</v>
      </c>
      <c r="H52" s="208">
        <v>14190.72</v>
      </c>
      <c r="I52" s="208">
        <v>11578.13</v>
      </c>
      <c r="J52" s="208">
        <v>5232.92</v>
      </c>
      <c r="K52" s="208">
        <v>2541.13</v>
      </c>
      <c r="L52" s="208">
        <v>3926.46</v>
      </c>
      <c r="M52" s="208">
        <v>1400</v>
      </c>
      <c r="N52" s="208">
        <v>1400</v>
      </c>
      <c r="O52" s="208"/>
    </row>
    <row r="53" spans="1:21" x14ac:dyDescent="0.2">
      <c r="B53" s="3" t="s">
        <v>212</v>
      </c>
      <c r="C53" s="208">
        <v>1358.67</v>
      </c>
      <c r="D53" s="208">
        <v>1379.85</v>
      </c>
      <c r="E53" s="208">
        <v>2461.2199999999998</v>
      </c>
      <c r="F53" s="208">
        <v>1494.37</v>
      </c>
      <c r="G53" s="208">
        <v>1464.64</v>
      </c>
      <c r="H53" s="208">
        <v>1309.82</v>
      </c>
      <c r="I53" s="208">
        <v>1681.72</v>
      </c>
      <c r="J53" s="208">
        <v>2325.15</v>
      </c>
      <c r="K53" s="208">
        <v>2084.29</v>
      </c>
      <c r="L53" s="208">
        <v>1616.41</v>
      </c>
      <c r="M53" s="208">
        <f>21688.82-20000</f>
        <v>1688.8199999999997</v>
      </c>
      <c r="N53" s="208">
        <v>1271.67</v>
      </c>
      <c r="O53" s="208"/>
    </row>
    <row r="54" spans="1:21" x14ac:dyDescent="0.2">
      <c r="B54" s="3" t="s">
        <v>214</v>
      </c>
      <c r="C54" s="208">
        <v>2465.1999999999998</v>
      </c>
      <c r="D54" s="208">
        <v>1440</v>
      </c>
      <c r="E54" s="208">
        <v>42284</v>
      </c>
      <c r="F54" s="208">
        <v>31520</v>
      </c>
      <c r="G54" s="208">
        <v>2230</v>
      </c>
      <c r="H54" s="208">
        <v>740</v>
      </c>
      <c r="I54" s="208">
        <v>3296</v>
      </c>
      <c r="J54" s="208">
        <v>100</v>
      </c>
      <c r="K54" s="208">
        <v>600</v>
      </c>
      <c r="L54" s="208">
        <v>200</v>
      </c>
      <c r="M54" s="208">
        <v>55.77</v>
      </c>
      <c r="N54" s="208">
        <v>66.7</v>
      </c>
      <c r="O54" s="209"/>
    </row>
    <row r="55" spans="1:21" ht="17" thickBot="1" x14ac:dyDescent="0.25">
      <c r="B55" s="3" t="s">
        <v>215</v>
      </c>
      <c r="C55" s="210">
        <f t="shared" ref="C55:N55" si="12">C51-(C52+C53)+C54</f>
        <v>21310.170000000002</v>
      </c>
      <c r="D55" s="210">
        <f t="shared" si="12"/>
        <v>18018.370000000003</v>
      </c>
      <c r="E55" s="210">
        <f t="shared" si="12"/>
        <v>52307.240000000005</v>
      </c>
      <c r="F55" s="210">
        <f t="shared" si="12"/>
        <v>76837.279999999999</v>
      </c>
      <c r="G55" s="210">
        <f t="shared" si="12"/>
        <v>68191.8</v>
      </c>
      <c r="H55" s="210">
        <f t="shared" si="12"/>
        <v>53431.26</v>
      </c>
      <c r="I55" s="210">
        <f t="shared" si="12"/>
        <v>43467.41</v>
      </c>
      <c r="J55" s="210">
        <f t="shared" si="12"/>
        <v>36009.340000000004</v>
      </c>
      <c r="K55" s="210">
        <f t="shared" si="12"/>
        <v>31983.920000000006</v>
      </c>
      <c r="L55" s="210">
        <f t="shared" si="12"/>
        <v>26641.050000000007</v>
      </c>
      <c r="M55" s="210">
        <f t="shared" si="12"/>
        <v>23608.000000000007</v>
      </c>
      <c r="N55" s="210">
        <f t="shared" si="12"/>
        <v>21003.03000000001</v>
      </c>
      <c r="O55" s="209"/>
      <c r="P55" s="140"/>
    </row>
    <row r="56" spans="1:21" ht="17" thickTop="1" x14ac:dyDescent="0.2"/>
    <row r="57" spans="1:21" x14ac:dyDescent="0.2">
      <c r="N57" s="130"/>
      <c r="O57" s="130"/>
    </row>
    <row r="58" spans="1:21" x14ac:dyDescent="0.2">
      <c r="B58" s="3" t="s">
        <v>217</v>
      </c>
      <c r="C58" s="132">
        <f t="shared" ref="C58:N58" si="13">C52+C53</f>
        <v>6145.32</v>
      </c>
      <c r="D58" s="132">
        <f t="shared" si="13"/>
        <v>4731.7999999999993</v>
      </c>
      <c r="E58" s="132">
        <f t="shared" si="13"/>
        <v>7995.1299999999992</v>
      </c>
      <c r="F58" s="132">
        <f t="shared" si="13"/>
        <v>6989.96</v>
      </c>
      <c r="G58" s="132">
        <f t="shared" si="13"/>
        <v>10875.48</v>
      </c>
      <c r="H58" s="132">
        <f t="shared" si="13"/>
        <v>15500.539999999999</v>
      </c>
      <c r="I58" s="132">
        <f t="shared" si="13"/>
        <v>13259.849999999999</v>
      </c>
      <c r="J58" s="132">
        <f t="shared" si="13"/>
        <v>7558.07</v>
      </c>
      <c r="K58" s="132">
        <f t="shared" si="13"/>
        <v>4625.42</v>
      </c>
      <c r="L58" s="132">
        <f t="shared" si="13"/>
        <v>5542.87</v>
      </c>
      <c r="M58" s="132">
        <f t="shared" si="13"/>
        <v>3088.8199999999997</v>
      </c>
      <c r="N58" s="132">
        <f t="shared" si="13"/>
        <v>2671.67</v>
      </c>
      <c r="O58" s="130"/>
    </row>
    <row r="59" spans="1:21" x14ac:dyDescent="0.2">
      <c r="B59" s="3" t="s">
        <v>227</v>
      </c>
      <c r="C59" s="137">
        <f t="shared" ref="C59:N59" si="14">C38-C55</f>
        <v>-803.10999999999331</v>
      </c>
      <c r="D59" s="137">
        <f t="shared" si="14"/>
        <v>-3341.1599999999944</v>
      </c>
      <c r="E59" s="137">
        <f t="shared" si="14"/>
        <v>-2697.25</v>
      </c>
      <c r="F59" s="137">
        <f t="shared" si="14"/>
        <v>-5580.6599999999889</v>
      </c>
      <c r="G59" s="137">
        <f t="shared" si="14"/>
        <v>-4893.8199999999924</v>
      </c>
      <c r="H59" s="137">
        <f t="shared" si="14"/>
        <v>-2567.679999999993</v>
      </c>
      <c r="I59" s="137">
        <f t="shared" si="14"/>
        <v>1808.1600000000035</v>
      </c>
      <c r="J59" s="137">
        <f t="shared" si="14"/>
        <v>3896.0800000000017</v>
      </c>
      <c r="K59" s="137">
        <f t="shared" si="14"/>
        <v>3896.0800000000017</v>
      </c>
      <c r="L59" s="137">
        <f t="shared" si="14"/>
        <v>3896.0800000000017</v>
      </c>
      <c r="M59" s="137">
        <f t="shared" si="14"/>
        <v>3896.0800000000017</v>
      </c>
      <c r="N59" s="137">
        <f t="shared" si="14"/>
        <v>3896.0799999999981</v>
      </c>
    </row>
    <row r="60" spans="1:21" x14ac:dyDescent="0.2"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</row>
    <row r="61" spans="1:21" x14ac:dyDescent="0.2"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</row>
    <row r="62" spans="1:21" x14ac:dyDescent="0.2"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</row>
    <row r="63" spans="1:21" x14ac:dyDescent="0.2">
      <c r="G63" s="2">
        <f>G38</f>
        <v>63297.98000000001</v>
      </c>
    </row>
    <row r="64" spans="1:21" x14ac:dyDescent="0.2">
      <c r="F64" t="s">
        <v>228</v>
      </c>
      <c r="G64" s="2">
        <v>7402</v>
      </c>
    </row>
    <row r="65" spans="1:15" x14ac:dyDescent="0.2">
      <c r="F65" t="s">
        <v>229</v>
      </c>
      <c r="G65" s="2">
        <f>G63+G64</f>
        <v>70699.98000000001</v>
      </c>
    </row>
    <row r="67" spans="1:15" x14ac:dyDescent="0.2">
      <c r="D67" s="51"/>
    </row>
    <row r="68" spans="1:15" x14ac:dyDescent="0.2">
      <c r="M68" s="10" t="s">
        <v>291</v>
      </c>
    </row>
    <row r="69" spans="1:15" x14ac:dyDescent="0.2">
      <c r="B69" s="3" t="s">
        <v>275</v>
      </c>
      <c r="C69" t="s">
        <v>288</v>
      </c>
      <c r="G69" s="2">
        <f>G38</f>
        <v>63297.98000000001</v>
      </c>
      <c r="H69" s="114">
        <f>H55</f>
        <v>53431.26</v>
      </c>
      <c r="M69" t="s">
        <v>292</v>
      </c>
      <c r="O69" s="2">
        <f>N38</f>
        <v>24899.110000000008</v>
      </c>
    </row>
    <row r="70" spans="1:15" x14ac:dyDescent="0.2">
      <c r="C70" s="119" t="s">
        <v>290</v>
      </c>
      <c r="G70" s="2"/>
      <c r="H70" s="114">
        <v>-1400</v>
      </c>
      <c r="O70" s="2"/>
    </row>
    <row r="71" spans="1:15" x14ac:dyDescent="0.2">
      <c r="B71" s="10"/>
      <c r="C71" t="s">
        <v>289</v>
      </c>
      <c r="G71" s="2">
        <f>'2024 Fixed'!G34</f>
        <v>0</v>
      </c>
      <c r="H71">
        <f>'2024 Fixed'!H34</f>
        <v>0</v>
      </c>
      <c r="M71" t="s">
        <v>293</v>
      </c>
      <c r="O71" s="2">
        <f>'2024 Fixed'!N34</f>
        <v>0</v>
      </c>
    </row>
    <row r="72" spans="1:15" ht="17" thickBot="1" x14ac:dyDescent="0.25">
      <c r="B72" s="41"/>
      <c r="C72" s="120" t="s">
        <v>204</v>
      </c>
      <c r="D72" s="98"/>
      <c r="E72" s="98"/>
      <c r="F72" s="98"/>
      <c r="G72" s="120">
        <f>G69-G71</f>
        <v>63297.98000000001</v>
      </c>
      <c r="H72" s="120">
        <f>+SUM(H69:H70)-H71</f>
        <v>52031.26</v>
      </c>
      <c r="M72" s="120" t="s">
        <v>204</v>
      </c>
      <c r="N72" s="120"/>
      <c r="O72" s="80">
        <f>O69-O71</f>
        <v>24899.110000000008</v>
      </c>
    </row>
    <row r="73" spans="1:15" ht="17" thickTop="1" x14ac:dyDescent="0.2">
      <c r="B73" s="41"/>
      <c r="C73" s="39"/>
      <c r="G73" s="2"/>
      <c r="O73" s="2"/>
    </row>
    <row r="74" spans="1:15" x14ac:dyDescent="0.2">
      <c r="B74" s="41"/>
      <c r="C74" s="39" t="s">
        <v>277</v>
      </c>
      <c r="G74" s="2"/>
      <c r="M74" s="39" t="s">
        <v>277</v>
      </c>
      <c r="O74" s="2"/>
    </row>
    <row r="75" spans="1:15" x14ac:dyDescent="0.2">
      <c r="B75"/>
      <c r="C75" t="s">
        <v>276</v>
      </c>
      <c r="G75" s="2">
        <v>5300</v>
      </c>
      <c r="H75" s="2">
        <f>G75</f>
        <v>5300</v>
      </c>
      <c r="M75" t="s">
        <v>276</v>
      </c>
      <c r="O75" s="2">
        <v>5300</v>
      </c>
    </row>
    <row r="76" spans="1:15" x14ac:dyDescent="0.2">
      <c r="A76" s="38"/>
      <c r="B76" s="10"/>
      <c r="C76" t="s">
        <v>278</v>
      </c>
      <c r="G76" s="2">
        <v>2500</v>
      </c>
      <c r="H76" s="2"/>
      <c r="M76" t="s">
        <v>278</v>
      </c>
      <c r="O76" s="119">
        <f>O72-O75</f>
        <v>19599.110000000008</v>
      </c>
    </row>
    <row r="77" spans="1:15" ht="17" thickBot="1" x14ac:dyDescent="0.25">
      <c r="A77" s="40"/>
      <c r="B77" s="41"/>
      <c r="C77" s="10" t="s">
        <v>285</v>
      </c>
      <c r="E77" s="10"/>
      <c r="F77" s="10"/>
      <c r="G77" s="120">
        <f>SUM(G75:G76)</f>
        <v>7800</v>
      </c>
      <c r="H77" s="120">
        <f>SUM(H75:H76)</f>
        <v>5300</v>
      </c>
    </row>
    <row r="78" spans="1:15" ht="17" thickTop="1" x14ac:dyDescent="0.2">
      <c r="A78" s="40"/>
      <c r="B78" s="41"/>
      <c r="C78" s="119" t="s">
        <v>284</v>
      </c>
      <c r="G78" s="2"/>
    </row>
    <row r="79" spans="1:15" x14ac:dyDescent="0.2">
      <c r="A79" s="40"/>
      <c r="B79" s="41"/>
      <c r="C79" s="39"/>
    </row>
    <row r="80" spans="1:15" x14ac:dyDescent="0.2">
      <c r="A80" s="40"/>
      <c r="B80" s="41"/>
      <c r="C80" s="39"/>
    </row>
    <row r="81" spans="1:3" x14ac:dyDescent="0.2">
      <c r="A81" s="3"/>
    </row>
    <row r="82" spans="1:3" x14ac:dyDescent="0.2">
      <c r="A82" s="38"/>
    </row>
    <row r="83" spans="1:3" x14ac:dyDescent="0.2">
      <c r="A83" s="40"/>
      <c r="B83" s="3" t="s">
        <v>92</v>
      </c>
    </row>
    <row r="84" spans="1:3" x14ac:dyDescent="0.2">
      <c r="A84" s="40"/>
      <c r="B84" s="3" t="s">
        <v>280</v>
      </c>
      <c r="C84" s="2">
        <f>SUM(C35:G35)</f>
        <v>38756.31</v>
      </c>
    </row>
    <row r="85" spans="1:3" x14ac:dyDescent="0.2">
      <c r="A85" s="40"/>
      <c r="B85" s="3" t="s">
        <v>282</v>
      </c>
      <c r="C85" s="2" t="e">
        <f>#REF!</f>
        <v>#REF!</v>
      </c>
    </row>
    <row r="86" spans="1:3" x14ac:dyDescent="0.2">
      <c r="A86" s="40"/>
      <c r="B86" s="3" t="s">
        <v>283</v>
      </c>
      <c r="C86" s="2" t="e">
        <f>C84-C85</f>
        <v>#REF!</v>
      </c>
    </row>
    <row r="87" spans="1:3" x14ac:dyDescent="0.2">
      <c r="A87" s="40"/>
      <c r="B87" s="3" t="s">
        <v>281</v>
      </c>
      <c r="C87" s="2">
        <f>SUM('2024 Fixed'!C31:G31)</f>
        <v>452</v>
      </c>
    </row>
    <row r="88" spans="1:3" x14ac:dyDescent="0.2">
      <c r="A88" s="40"/>
      <c r="B88" s="3" t="s">
        <v>204</v>
      </c>
      <c r="C88" s="2" t="e">
        <f>C86-C87</f>
        <v>#REF!</v>
      </c>
    </row>
    <row r="89" spans="1:3" x14ac:dyDescent="0.2">
      <c r="C89" s="2"/>
    </row>
    <row r="90" spans="1:3" x14ac:dyDescent="0.2">
      <c r="C90" s="2"/>
    </row>
    <row r="91" spans="1:3" x14ac:dyDescent="0.2">
      <c r="C91" s="2"/>
    </row>
    <row r="92" spans="1:3" x14ac:dyDescent="0.2">
      <c r="C92" s="2"/>
    </row>
  </sheetData>
  <mergeCells count="1">
    <mergeCell ref="B2:O2"/>
  </mergeCells>
  <pageMargins left="1" right="1" top="1" bottom="1" header="0.5" footer="0.5"/>
  <pageSetup paperSize="5" scale="36" orientation="landscape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B3A88-2B67-4151-A088-209F468F6BF2}">
  <dimension ref="A1:F17"/>
  <sheetViews>
    <sheetView workbookViewId="0">
      <selection activeCell="H12" sqref="H12"/>
    </sheetView>
  </sheetViews>
  <sheetFormatPr baseColWidth="10" defaultColWidth="8.83203125" defaultRowHeight="16" x14ac:dyDescent="0.2"/>
  <cols>
    <col min="1" max="1" width="21.6640625" customWidth="1"/>
    <col min="2" max="2" width="13.5" customWidth="1"/>
    <col min="3" max="4" width="14.5" customWidth="1"/>
  </cols>
  <sheetData>
    <row r="1" spans="1:6" x14ac:dyDescent="0.2">
      <c r="A1" t="s">
        <v>111</v>
      </c>
    </row>
    <row r="2" spans="1:6" s="10" customFormat="1" x14ac:dyDescent="0.2">
      <c r="A2" s="45"/>
      <c r="B2" s="45">
        <v>2021</v>
      </c>
      <c r="C2" s="45">
        <v>2022</v>
      </c>
      <c r="D2" s="52" t="s">
        <v>117</v>
      </c>
      <c r="E2" s="52" t="s">
        <v>118</v>
      </c>
    </row>
    <row r="3" spans="1:6" x14ac:dyDescent="0.2">
      <c r="A3" t="s">
        <v>34</v>
      </c>
      <c r="B3" s="2">
        <f>'2021'!Q8</f>
        <v>74492</v>
      </c>
      <c r="C3" s="2">
        <f>'2022'!Q9</f>
        <v>76990</v>
      </c>
      <c r="D3" s="2">
        <f>C3-B3</f>
        <v>2498</v>
      </c>
      <c r="E3" s="27">
        <f>D3/B3</f>
        <v>3.3533802287493961E-2</v>
      </c>
    </row>
    <row r="4" spans="1:6" x14ac:dyDescent="0.2">
      <c r="A4" t="s">
        <v>112</v>
      </c>
      <c r="B4" s="2">
        <f>-'2021'!Q30</f>
        <v>67808.25</v>
      </c>
      <c r="C4" s="2">
        <f>-'PROJ 2023'!Q34</f>
        <v>-80645.36</v>
      </c>
      <c r="D4" s="2">
        <f t="shared" ref="D4:D10" si="0">C4-B4</f>
        <v>-148453.60999999999</v>
      </c>
      <c r="E4" s="27">
        <v>0.19</v>
      </c>
    </row>
    <row r="5" spans="1:6" ht="17" thickBot="1" x14ac:dyDescent="0.25">
      <c r="A5" t="s">
        <v>155</v>
      </c>
      <c r="B5" s="2"/>
      <c r="C5" s="2"/>
      <c r="D5" s="80">
        <f>D4-D3</f>
        <v>-150951.60999999999</v>
      </c>
      <c r="E5" s="27"/>
    </row>
    <row r="6" spans="1:6" ht="17" thickTop="1" x14ac:dyDescent="0.2">
      <c r="B6" s="2"/>
      <c r="C6" s="2"/>
      <c r="D6" s="2"/>
      <c r="E6" s="27"/>
    </row>
    <row r="7" spans="1:6" x14ac:dyDescent="0.2">
      <c r="A7" t="s">
        <v>119</v>
      </c>
      <c r="B7" s="2"/>
      <c r="C7" s="2"/>
      <c r="D7" s="2"/>
      <c r="E7" s="27"/>
    </row>
    <row r="8" spans="1:6" x14ac:dyDescent="0.2">
      <c r="A8" t="s">
        <v>113</v>
      </c>
      <c r="B8" s="2">
        <f>-'2021'!Q15</f>
        <v>24885.79</v>
      </c>
      <c r="C8" s="2">
        <f>-'2022'!Q16</f>
        <v>27807.16</v>
      </c>
      <c r="D8" s="2">
        <f t="shared" si="0"/>
        <v>2921.369999999999</v>
      </c>
      <c r="E8" s="27">
        <v>0.12</v>
      </c>
    </row>
    <row r="9" spans="1:6" x14ac:dyDescent="0.2">
      <c r="A9" t="s">
        <v>114</v>
      </c>
      <c r="B9" s="2">
        <f>-'2021'!Q19</f>
        <v>17950</v>
      </c>
      <c r="C9" s="2">
        <f>-'2022'!Q20</f>
        <v>18950</v>
      </c>
      <c r="D9" s="2">
        <f t="shared" si="0"/>
        <v>1000</v>
      </c>
      <c r="E9" s="27">
        <v>0.13</v>
      </c>
    </row>
    <row r="10" spans="1:6" x14ac:dyDescent="0.2">
      <c r="A10" t="s">
        <v>116</v>
      </c>
      <c r="B10" s="2">
        <f>-'2021'!Q16</f>
        <v>176.94</v>
      </c>
      <c r="C10" s="2">
        <f>-'2022'!Q17</f>
        <v>7567.49</v>
      </c>
      <c r="D10" s="2">
        <f t="shared" si="0"/>
        <v>7390.55</v>
      </c>
      <c r="E10" s="2">
        <f>D10</f>
        <v>7390.55</v>
      </c>
    </row>
    <row r="11" spans="1:6" ht="17" thickBot="1" x14ac:dyDescent="0.25">
      <c r="A11" t="s">
        <v>163</v>
      </c>
      <c r="B11" s="2"/>
      <c r="C11" s="2"/>
      <c r="D11" s="80">
        <f>SUM(D8:D10)</f>
        <v>11311.919999999998</v>
      </c>
      <c r="E11" s="2"/>
    </row>
    <row r="12" spans="1:6" ht="17" thickTop="1" x14ac:dyDescent="0.2">
      <c r="B12" s="2"/>
      <c r="C12" s="2"/>
      <c r="E12" s="27"/>
    </row>
    <row r="13" spans="1:6" x14ac:dyDescent="0.2">
      <c r="A13" t="s">
        <v>154</v>
      </c>
      <c r="B13" s="2"/>
      <c r="C13" s="2"/>
      <c r="E13" s="27"/>
    </row>
    <row r="14" spans="1:6" ht="31.5" customHeight="1" x14ac:dyDescent="0.2">
      <c r="A14" s="259" t="s">
        <v>150</v>
      </c>
      <c r="B14" s="259"/>
      <c r="C14" s="259"/>
      <c r="D14" s="259"/>
      <c r="E14" s="259"/>
      <c r="F14" s="259"/>
    </row>
    <row r="15" spans="1:6" ht="30.75" customHeight="1" x14ac:dyDescent="0.2">
      <c r="A15" s="259" t="s">
        <v>151</v>
      </c>
      <c r="B15" s="259"/>
      <c r="C15" s="259"/>
      <c r="D15" s="259"/>
      <c r="E15" s="259"/>
      <c r="F15" s="259"/>
    </row>
    <row r="16" spans="1:6" ht="17.25" customHeight="1" x14ac:dyDescent="0.2">
      <c r="A16" t="s">
        <v>152</v>
      </c>
    </row>
    <row r="17" spans="1:6" x14ac:dyDescent="0.2">
      <c r="A17" s="259" t="s">
        <v>153</v>
      </c>
      <c r="B17" s="259"/>
      <c r="C17" s="259"/>
      <c r="D17" s="259"/>
      <c r="E17" s="259"/>
      <c r="F17" s="259"/>
    </row>
  </sheetData>
  <mergeCells count="3">
    <mergeCell ref="A14:F14"/>
    <mergeCell ref="A15:F15"/>
    <mergeCell ref="A17:F1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L44"/>
  <sheetViews>
    <sheetView showGridLines="0" topLeftCell="A21" workbookViewId="0">
      <selection activeCell="D25" sqref="D25"/>
    </sheetView>
  </sheetViews>
  <sheetFormatPr baseColWidth="10" defaultColWidth="10.83203125" defaultRowHeight="16" x14ac:dyDescent="0.2"/>
  <cols>
    <col min="1" max="1" width="4.83203125" customWidth="1"/>
    <col min="2" max="2" width="30.6640625" bestFit="1" customWidth="1"/>
    <col min="3" max="3" width="4.83203125" customWidth="1"/>
    <col min="4" max="4" width="11" bestFit="1" customWidth="1"/>
    <col min="5" max="5" width="4.83203125" customWidth="1"/>
    <col min="7" max="7" width="4.83203125" customWidth="1"/>
    <col min="9" max="9" width="4.83203125" customWidth="1"/>
    <col min="11" max="11" width="4.83203125" customWidth="1"/>
  </cols>
  <sheetData>
    <row r="3" spans="2:12" x14ac:dyDescent="0.2">
      <c r="C3" s="260" t="s">
        <v>48</v>
      </c>
      <c r="D3" s="260"/>
      <c r="E3" s="260"/>
      <c r="F3" s="260"/>
      <c r="G3" s="260"/>
      <c r="H3" s="260"/>
      <c r="I3" s="260"/>
      <c r="J3" s="260"/>
      <c r="K3" s="260"/>
      <c r="L3" s="260"/>
    </row>
    <row r="4" spans="2:12" x14ac:dyDescent="0.2">
      <c r="C4" s="260" t="s">
        <v>49</v>
      </c>
      <c r="D4" s="260"/>
      <c r="E4" s="260"/>
      <c r="F4" s="260"/>
      <c r="G4" s="260"/>
      <c r="H4" s="260"/>
      <c r="I4" s="260"/>
      <c r="J4" s="260"/>
      <c r="K4" s="260"/>
      <c r="L4" s="260"/>
    </row>
    <row r="6" spans="2:12" x14ac:dyDescent="0.2">
      <c r="C6" s="18"/>
      <c r="D6" s="19">
        <v>40542</v>
      </c>
      <c r="E6" s="18"/>
      <c r="F6" s="19">
        <v>40177</v>
      </c>
      <c r="G6" s="18"/>
      <c r="H6" s="19">
        <v>39812</v>
      </c>
      <c r="I6" s="18"/>
      <c r="J6" s="18" t="s">
        <v>50</v>
      </c>
      <c r="K6" s="18"/>
      <c r="L6" s="18" t="s">
        <v>51</v>
      </c>
    </row>
    <row r="8" spans="2:12" x14ac:dyDescent="0.2">
      <c r="B8" t="s">
        <v>52</v>
      </c>
    </row>
    <row r="9" spans="2:12" x14ac:dyDescent="0.2">
      <c r="B9" s="20" t="s">
        <v>53</v>
      </c>
    </row>
    <row r="10" spans="2:12" x14ac:dyDescent="0.2">
      <c r="B10" s="21" t="s">
        <v>54</v>
      </c>
    </row>
    <row r="11" spans="2:12" x14ac:dyDescent="0.2">
      <c r="B11" s="22" t="s">
        <v>55</v>
      </c>
      <c r="D11" s="23">
        <v>27395.03</v>
      </c>
      <c r="F11" s="23">
        <v>18042.39</v>
      </c>
      <c r="H11" s="23">
        <v>23856.03</v>
      </c>
      <c r="J11" s="24">
        <f>D11-F11</f>
        <v>9352.64</v>
      </c>
      <c r="L11" s="25">
        <f>J11/H11</f>
        <v>0.39204511396070513</v>
      </c>
    </row>
    <row r="13" spans="2:12" x14ac:dyDescent="0.2">
      <c r="B13" s="21" t="s">
        <v>56</v>
      </c>
      <c r="D13" s="23">
        <f>D11</f>
        <v>27395.03</v>
      </c>
      <c r="F13" s="23">
        <f>F11</f>
        <v>18042.39</v>
      </c>
      <c r="H13" s="23">
        <f>H11</f>
        <v>23856.03</v>
      </c>
      <c r="J13" s="24">
        <f>D13-F13</f>
        <v>9352.64</v>
      </c>
      <c r="L13" s="25">
        <f>J13/H13</f>
        <v>0.39204511396070513</v>
      </c>
    </row>
    <row r="14" spans="2:12" x14ac:dyDescent="0.2">
      <c r="H14" s="23"/>
    </row>
    <row r="15" spans="2:12" x14ac:dyDescent="0.2">
      <c r="B15" s="26" t="s">
        <v>57</v>
      </c>
      <c r="H15" s="23"/>
    </row>
    <row r="16" spans="2:12" x14ac:dyDescent="0.2">
      <c r="B16" s="21" t="s">
        <v>57</v>
      </c>
      <c r="D16">
        <v>0</v>
      </c>
      <c r="F16">
        <v>0</v>
      </c>
      <c r="H16" s="23">
        <v>-107.25</v>
      </c>
      <c r="J16" s="24">
        <f>D16-F16</f>
        <v>0</v>
      </c>
      <c r="L16" s="25">
        <f>J16/H16</f>
        <v>0</v>
      </c>
    </row>
    <row r="17" spans="2:12" x14ac:dyDescent="0.2">
      <c r="H17" s="23"/>
    </row>
    <row r="18" spans="2:12" x14ac:dyDescent="0.2">
      <c r="B18" s="26" t="s">
        <v>58</v>
      </c>
      <c r="D18" s="23">
        <f>SUM(D13:D16)</f>
        <v>27395.03</v>
      </c>
      <c r="F18" s="23">
        <f>SUM(F13:F16)</f>
        <v>18042.39</v>
      </c>
      <c r="H18" s="23">
        <f>SUM(H13:H16)</f>
        <v>23748.78</v>
      </c>
      <c r="J18" s="24">
        <f>D18-F18</f>
        <v>9352.64</v>
      </c>
      <c r="L18" s="25">
        <f>J18/H18</f>
        <v>0.39381559810651323</v>
      </c>
    </row>
    <row r="19" spans="2:12" x14ac:dyDescent="0.2">
      <c r="H19" s="23"/>
    </row>
    <row r="20" spans="2:12" x14ac:dyDescent="0.2">
      <c r="B20" t="s">
        <v>59</v>
      </c>
      <c r="H20" s="23"/>
    </row>
    <row r="21" spans="2:12" x14ac:dyDescent="0.2">
      <c r="B21" s="26" t="s">
        <v>59</v>
      </c>
      <c r="H21" s="23"/>
    </row>
    <row r="22" spans="2:12" x14ac:dyDescent="0.2">
      <c r="B22" s="21" t="s">
        <v>60</v>
      </c>
      <c r="D22" s="23">
        <v>2194.87</v>
      </c>
      <c r="F22" s="23">
        <v>2194.87</v>
      </c>
      <c r="H22" s="23">
        <v>2194.87</v>
      </c>
      <c r="J22" s="24">
        <f t="shared" ref="J22:J30" si="0">D22-F22</f>
        <v>0</v>
      </c>
      <c r="L22" s="25">
        <f>J22/H22</f>
        <v>0</v>
      </c>
    </row>
    <row r="23" spans="2:12" x14ac:dyDescent="0.2">
      <c r="B23" s="21" t="s">
        <v>61</v>
      </c>
      <c r="D23" s="23">
        <v>400</v>
      </c>
      <c r="F23" s="23">
        <v>400</v>
      </c>
      <c r="H23" s="23">
        <v>400</v>
      </c>
      <c r="J23" s="24">
        <f t="shared" si="0"/>
        <v>0</v>
      </c>
      <c r="L23" s="25">
        <f t="shared" ref="L23:L30" si="1">J23/H23</f>
        <v>0</v>
      </c>
    </row>
    <row r="24" spans="2:12" x14ac:dyDescent="0.2">
      <c r="B24" s="21" t="s">
        <v>62</v>
      </c>
      <c r="D24" s="23">
        <v>9761.99</v>
      </c>
      <c r="F24" s="23">
        <v>9761.99</v>
      </c>
      <c r="H24" s="23">
        <v>9761.99</v>
      </c>
      <c r="J24" s="24">
        <f t="shared" si="0"/>
        <v>0</v>
      </c>
      <c r="L24" s="25">
        <f t="shared" si="1"/>
        <v>0</v>
      </c>
    </row>
    <row r="25" spans="2:12" x14ac:dyDescent="0.2">
      <c r="B25" s="21" t="s">
        <v>63</v>
      </c>
      <c r="D25" s="23">
        <v>7927</v>
      </c>
      <c r="F25" s="23">
        <v>7927</v>
      </c>
      <c r="H25" s="23">
        <v>7927</v>
      </c>
      <c r="J25" s="24">
        <f t="shared" si="0"/>
        <v>0</v>
      </c>
      <c r="L25" s="25">
        <f t="shared" si="1"/>
        <v>0</v>
      </c>
    </row>
    <row r="26" spans="2:12" x14ac:dyDescent="0.2">
      <c r="B26" s="21" t="s">
        <v>64</v>
      </c>
      <c r="D26" s="23">
        <v>13686.5</v>
      </c>
      <c r="F26" s="23">
        <v>13686.5</v>
      </c>
      <c r="H26" s="23">
        <v>13686.5</v>
      </c>
      <c r="J26" s="24">
        <f t="shared" si="0"/>
        <v>0</v>
      </c>
      <c r="L26" s="25">
        <f t="shared" si="1"/>
        <v>0</v>
      </c>
    </row>
    <row r="27" spans="2:12" x14ac:dyDescent="0.2">
      <c r="B27" s="21" t="s">
        <v>65</v>
      </c>
      <c r="D27" s="23">
        <v>2299</v>
      </c>
      <c r="F27" s="23">
        <v>2299</v>
      </c>
      <c r="H27" s="23">
        <v>2299</v>
      </c>
      <c r="J27" s="24">
        <f t="shared" si="0"/>
        <v>0</v>
      </c>
      <c r="L27" s="25">
        <f t="shared" si="1"/>
        <v>0</v>
      </c>
    </row>
    <row r="28" spans="2:12" x14ac:dyDescent="0.2">
      <c r="B28" s="21" t="s">
        <v>66</v>
      </c>
      <c r="D28" s="23">
        <v>7862.42</v>
      </c>
      <c r="F28" s="23">
        <v>7862.42</v>
      </c>
      <c r="H28" s="23">
        <v>7862.42</v>
      </c>
      <c r="J28" s="24">
        <f t="shared" si="0"/>
        <v>0</v>
      </c>
      <c r="L28" s="25">
        <f t="shared" si="1"/>
        <v>0</v>
      </c>
    </row>
    <row r="29" spans="2:12" x14ac:dyDescent="0.2">
      <c r="B29" s="21" t="s">
        <v>67</v>
      </c>
      <c r="D29" s="23">
        <v>3232</v>
      </c>
      <c r="F29" s="23">
        <v>3232</v>
      </c>
      <c r="H29" s="23">
        <v>3232</v>
      </c>
      <c r="J29" s="24">
        <f t="shared" si="0"/>
        <v>0</v>
      </c>
      <c r="L29" s="25">
        <f t="shared" si="1"/>
        <v>0</v>
      </c>
    </row>
    <row r="30" spans="2:12" x14ac:dyDescent="0.2">
      <c r="B30" s="21" t="s">
        <v>68</v>
      </c>
      <c r="D30" s="23">
        <v>-37774.28</v>
      </c>
      <c r="F30" s="23">
        <v>-37774.28</v>
      </c>
      <c r="H30" s="23">
        <v>-37774.28</v>
      </c>
      <c r="J30" s="24">
        <f t="shared" si="0"/>
        <v>0</v>
      </c>
      <c r="L30" s="25">
        <f t="shared" si="1"/>
        <v>0</v>
      </c>
    </row>
    <row r="31" spans="2:12" x14ac:dyDescent="0.2">
      <c r="H31" s="23"/>
    </row>
    <row r="32" spans="2:12" x14ac:dyDescent="0.2">
      <c r="B32" s="26" t="s">
        <v>69</v>
      </c>
      <c r="D32" s="23">
        <f>SUM(D22:D30)</f>
        <v>9589.5</v>
      </c>
      <c r="F32" s="23">
        <f>SUM(F22:F30)</f>
        <v>9589.5</v>
      </c>
      <c r="H32" s="23">
        <f>SUM(H22:H30)</f>
        <v>9589.5</v>
      </c>
      <c r="J32" s="24">
        <f>D32-F32</f>
        <v>0</v>
      </c>
      <c r="L32" s="25">
        <f>J32/H32</f>
        <v>0</v>
      </c>
    </row>
    <row r="33" spans="2:12" x14ac:dyDescent="0.2">
      <c r="D33" s="23"/>
      <c r="F33" s="23"/>
      <c r="H33" s="23"/>
    </row>
    <row r="34" spans="2:12" x14ac:dyDescent="0.2">
      <c r="B34" t="s">
        <v>70</v>
      </c>
      <c r="D34" s="23">
        <f>D18+D32</f>
        <v>36984.53</v>
      </c>
      <c r="F34" s="23">
        <f>F18+F32</f>
        <v>27631.89</v>
      </c>
      <c r="H34" s="23">
        <f>H18+H32</f>
        <v>33338.28</v>
      </c>
      <c r="J34" s="24">
        <f>D34-F34</f>
        <v>9352.64</v>
      </c>
      <c r="L34" s="25">
        <f>J34/H34</f>
        <v>0.28053756822487541</v>
      </c>
    </row>
    <row r="36" spans="2:12" x14ac:dyDescent="0.2">
      <c r="B36" t="s">
        <v>71</v>
      </c>
    </row>
    <row r="37" spans="2:12" x14ac:dyDescent="0.2">
      <c r="B37" s="26" t="s">
        <v>72</v>
      </c>
    </row>
    <row r="38" spans="2:12" x14ac:dyDescent="0.2">
      <c r="B38" s="21" t="s">
        <v>73</v>
      </c>
      <c r="D38" s="23">
        <v>-21.059999999997672</v>
      </c>
      <c r="F38" s="23">
        <v>-35.67</v>
      </c>
      <c r="H38" s="23">
        <v>-35.67</v>
      </c>
      <c r="J38" s="24">
        <f>D38-F38</f>
        <v>14.61000000000233</v>
      </c>
      <c r="L38" s="25">
        <f>J38/H38</f>
        <v>-0.40958788898240339</v>
      </c>
    </row>
    <row r="39" spans="2:12" x14ac:dyDescent="0.2">
      <c r="B39" s="21" t="s">
        <v>74</v>
      </c>
      <c r="D39" s="23">
        <f>F39+F40</f>
        <v>27667.56</v>
      </c>
      <c r="F39" s="23">
        <v>33354.22</v>
      </c>
      <c r="H39" s="23">
        <v>29841.42</v>
      </c>
      <c r="J39" s="24">
        <f>D39-F39</f>
        <v>-5686.66</v>
      </c>
      <c r="L39" s="25">
        <f>J39/H39</f>
        <v>-0.19056264748795468</v>
      </c>
    </row>
    <row r="40" spans="2:12" x14ac:dyDescent="0.2">
      <c r="B40" s="21" t="s">
        <v>47</v>
      </c>
      <c r="D40" s="23">
        <f>D34-D39-D38</f>
        <v>9338.0299999999952</v>
      </c>
      <c r="F40" s="23">
        <v>-5686.66</v>
      </c>
      <c r="H40" s="23">
        <v>3532.53</v>
      </c>
      <c r="J40" s="24">
        <f>D40-F40</f>
        <v>15024.689999999995</v>
      </c>
      <c r="L40" s="25">
        <f>J40/H40</f>
        <v>4.25323776443512</v>
      </c>
    </row>
    <row r="41" spans="2:12" x14ac:dyDescent="0.2">
      <c r="D41" s="23"/>
      <c r="F41" s="23"/>
      <c r="H41" s="23"/>
    </row>
    <row r="42" spans="2:12" x14ac:dyDescent="0.2">
      <c r="B42" s="26" t="s">
        <v>75</v>
      </c>
      <c r="D42" s="23">
        <f>SUM(D38:D40)</f>
        <v>36984.53</v>
      </c>
      <c r="F42" s="23">
        <f>SUM(F38:F40)</f>
        <v>27631.890000000003</v>
      </c>
      <c r="H42" s="23">
        <f>SUM(H38:H40)</f>
        <v>33338.28</v>
      </c>
      <c r="J42" s="24">
        <f>D42-F42</f>
        <v>9352.6399999999958</v>
      </c>
      <c r="L42" s="25">
        <f>J42/H42</f>
        <v>0.2805375682248753</v>
      </c>
    </row>
    <row r="43" spans="2:12" x14ac:dyDescent="0.2">
      <c r="D43" s="23"/>
      <c r="F43" s="23"/>
      <c r="H43" s="23"/>
    </row>
    <row r="44" spans="2:12" x14ac:dyDescent="0.2">
      <c r="B44" t="s">
        <v>76</v>
      </c>
      <c r="D44" s="23">
        <f>D42</f>
        <v>36984.53</v>
      </c>
      <c r="F44" s="23">
        <f>F42</f>
        <v>27631.890000000003</v>
      </c>
      <c r="H44" s="23">
        <f>H42</f>
        <v>33338.28</v>
      </c>
      <c r="J44" s="24">
        <f>D44-F44</f>
        <v>9352.6399999999958</v>
      </c>
      <c r="L44" s="25">
        <f>J44/H44</f>
        <v>0.2805375682248753</v>
      </c>
    </row>
  </sheetData>
  <mergeCells count="2">
    <mergeCell ref="C3:L3"/>
    <mergeCell ref="C4:L4"/>
  </mergeCells>
  <pageMargins left="0.75" right="0.75" top="1" bottom="1" header="0.5" footer="0.5"/>
  <pageSetup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D89E9-AC8E-46D4-B619-131C2E101BBB}">
  <sheetPr>
    <pageSetUpPr fitToPage="1"/>
  </sheetPr>
  <dimension ref="A1:U92"/>
  <sheetViews>
    <sheetView showGridLines="0" topLeftCell="A13" zoomScale="85" zoomScaleNormal="85" zoomScalePageLayoutView="85" workbookViewId="0">
      <selection activeCell="N56" sqref="N56"/>
    </sheetView>
  </sheetViews>
  <sheetFormatPr baseColWidth="10" defaultColWidth="11" defaultRowHeight="16" x14ac:dyDescent="0.2"/>
  <cols>
    <col min="1" max="1" width="1.6640625" customWidth="1"/>
    <col min="2" max="2" width="28" style="3" customWidth="1"/>
    <col min="3" max="3" width="11.83203125" customWidth="1"/>
    <col min="4" max="13" width="11" customWidth="1"/>
    <col min="14" max="14" width="12.6640625" customWidth="1"/>
    <col min="15" max="15" width="11" customWidth="1"/>
    <col min="16" max="16" width="15" customWidth="1"/>
    <col min="17" max="17" width="16.5" customWidth="1"/>
    <col min="18" max="18" width="12.6640625" customWidth="1"/>
    <col min="19" max="19" width="12.1640625" customWidth="1"/>
  </cols>
  <sheetData>
    <row r="1" spans="2:19" ht="8" customHeight="1" x14ac:dyDescent="0.2"/>
    <row r="2" spans="2:19" ht="21" customHeight="1" x14ac:dyDescent="0.2">
      <c r="B2" s="236" t="s">
        <v>309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8"/>
      <c r="P2" t="s">
        <v>314</v>
      </c>
      <c r="Q2" t="s">
        <v>315</v>
      </c>
      <c r="R2" s="7" t="s">
        <v>316</v>
      </c>
    </row>
    <row r="3" spans="2:19" ht="18.75" customHeight="1" x14ac:dyDescent="0.2">
      <c r="B3" s="3" t="s">
        <v>310</v>
      </c>
      <c r="C3">
        <v>1</v>
      </c>
      <c r="E3">
        <v>95</v>
      </c>
      <c r="F3">
        <v>71</v>
      </c>
      <c r="G3">
        <v>4</v>
      </c>
      <c r="H3">
        <v>1</v>
      </c>
      <c r="I3">
        <v>4</v>
      </c>
      <c r="P3">
        <f>186-(C3+D3+E3+F3+G3+H3+I3+J3+K3+L3)</f>
        <v>10</v>
      </c>
      <c r="Q3" s="99">
        <f>P3*440</f>
        <v>4400</v>
      </c>
      <c r="R3" s="99">
        <v>2990</v>
      </c>
      <c r="S3" s="99">
        <f>Q3+R3</f>
        <v>7390</v>
      </c>
    </row>
    <row r="4" spans="2:19" x14ac:dyDescent="0.2">
      <c r="B4" s="5" t="s">
        <v>34</v>
      </c>
      <c r="C4" s="109" t="s">
        <v>0</v>
      </c>
      <c r="D4" s="109" t="s">
        <v>1</v>
      </c>
      <c r="E4" s="109" t="s">
        <v>2</v>
      </c>
      <c r="F4" s="109" t="s">
        <v>3</v>
      </c>
      <c r="G4" s="109" t="s">
        <v>4</v>
      </c>
      <c r="H4" s="109" t="s">
        <v>36</v>
      </c>
      <c r="I4" s="109" t="s">
        <v>37</v>
      </c>
      <c r="J4" s="109" t="s">
        <v>5</v>
      </c>
      <c r="K4" s="109" t="s">
        <v>6</v>
      </c>
      <c r="L4" s="109" t="s">
        <v>7</v>
      </c>
      <c r="M4" s="109" t="s">
        <v>8</v>
      </c>
      <c r="N4" s="109" t="s">
        <v>9</v>
      </c>
      <c r="O4" s="109" t="s">
        <v>39</v>
      </c>
      <c r="P4" s="40" t="s">
        <v>183</v>
      </c>
      <c r="S4" s="3" t="s">
        <v>175</v>
      </c>
    </row>
    <row r="5" spans="2:19" x14ac:dyDescent="0.2">
      <c r="B5" s="11" t="s">
        <v>220</v>
      </c>
      <c r="C5" s="104">
        <f>440+2025.2</f>
        <v>2465.1999999999998</v>
      </c>
      <c r="D5" s="104">
        <v>440</v>
      </c>
      <c r="E5" s="104">
        <v>42284</v>
      </c>
      <c r="F5" s="104">
        <v>31520</v>
      </c>
      <c r="G5" s="104">
        <f>220+440+440+100+(1030-150)</f>
        <v>2080</v>
      </c>
      <c r="H5" s="104">
        <v>440</v>
      </c>
      <c r="I5" s="104">
        <f>(7*440)+66</f>
        <v>3146</v>
      </c>
      <c r="J5" s="104">
        <v>100</v>
      </c>
      <c r="K5" s="104">
        <v>600</v>
      </c>
      <c r="L5" s="104">
        <v>200</v>
      </c>
      <c r="M5" s="104">
        <v>0</v>
      </c>
      <c r="N5" s="104">
        <v>0</v>
      </c>
      <c r="O5" s="110">
        <f>SUM(C5:N5)</f>
        <v>83275.199999999997</v>
      </c>
      <c r="P5" s="95">
        <f>180*440</f>
        <v>79200</v>
      </c>
      <c r="Q5" t="s">
        <v>174</v>
      </c>
      <c r="S5" s="95">
        <f>440*186</f>
        <v>81840</v>
      </c>
    </row>
    <row r="6" spans="2:19" x14ac:dyDescent="0.2">
      <c r="B6" s="11" t="s">
        <v>167</v>
      </c>
      <c r="C6" s="104">
        <v>0</v>
      </c>
      <c r="D6" s="104">
        <v>0</v>
      </c>
      <c r="E6" s="104">
        <v>0</v>
      </c>
      <c r="F6" s="104">
        <v>0</v>
      </c>
      <c r="G6" s="104">
        <v>150</v>
      </c>
      <c r="H6" s="104">
        <v>300</v>
      </c>
      <c r="I6" s="104">
        <v>150</v>
      </c>
      <c r="J6" s="104">
        <v>0</v>
      </c>
      <c r="K6" s="104">
        <v>0</v>
      </c>
      <c r="L6" s="104">
        <v>0</v>
      </c>
      <c r="M6" s="104">
        <v>0</v>
      </c>
      <c r="N6" s="104"/>
      <c r="O6" s="110">
        <f t="shared" ref="O6" si="0">SUM(C6:N6)</f>
        <v>600</v>
      </c>
      <c r="S6" s="95"/>
    </row>
    <row r="7" spans="2:19" x14ac:dyDescent="0.2">
      <c r="B7" s="11" t="s">
        <v>380</v>
      </c>
      <c r="C7" s="104">
        <v>0</v>
      </c>
      <c r="D7" s="104">
        <v>0</v>
      </c>
      <c r="E7" s="104">
        <v>0</v>
      </c>
      <c r="F7" s="104">
        <v>0</v>
      </c>
      <c r="G7" s="104">
        <v>0</v>
      </c>
      <c r="H7" s="104">
        <v>0</v>
      </c>
      <c r="I7" s="104">
        <v>0</v>
      </c>
      <c r="J7" s="104">
        <v>0</v>
      </c>
      <c r="K7" s="104">
        <v>0</v>
      </c>
      <c r="L7" s="104">
        <v>0</v>
      </c>
      <c r="M7" s="104">
        <v>55.77</v>
      </c>
      <c r="N7" s="104">
        <v>66.7</v>
      </c>
      <c r="O7" s="110">
        <f t="shared" ref="O7" si="1">SUM(C7:N7)</f>
        <v>122.47</v>
      </c>
      <c r="P7" s="99"/>
    </row>
    <row r="8" spans="2:19" x14ac:dyDescent="0.2">
      <c r="B8" s="12" t="s">
        <v>39</v>
      </c>
      <c r="C8" s="135">
        <f t="shared" ref="C8:O8" si="2">SUM(C5:C7)</f>
        <v>2465.1999999999998</v>
      </c>
      <c r="D8" s="135">
        <f t="shared" si="2"/>
        <v>440</v>
      </c>
      <c r="E8" s="135">
        <f t="shared" si="2"/>
        <v>42284</v>
      </c>
      <c r="F8" s="135">
        <f t="shared" si="2"/>
        <v>31520</v>
      </c>
      <c r="G8" s="135">
        <f t="shared" si="2"/>
        <v>2230</v>
      </c>
      <c r="H8" s="135">
        <f t="shared" si="2"/>
        <v>740</v>
      </c>
      <c r="I8" s="135">
        <f t="shared" si="2"/>
        <v>3296</v>
      </c>
      <c r="J8" s="135">
        <f t="shared" si="2"/>
        <v>100</v>
      </c>
      <c r="K8" s="135">
        <f t="shared" si="2"/>
        <v>600</v>
      </c>
      <c r="L8" s="135">
        <f t="shared" si="2"/>
        <v>200</v>
      </c>
      <c r="M8" s="135">
        <f t="shared" si="2"/>
        <v>55.77</v>
      </c>
      <c r="N8" s="135">
        <f t="shared" si="2"/>
        <v>66.7</v>
      </c>
      <c r="O8" s="135">
        <f t="shared" si="2"/>
        <v>83997.67</v>
      </c>
      <c r="R8" s="145"/>
    </row>
    <row r="9" spans="2:19" x14ac:dyDescent="0.2">
      <c r="B9" s="4" t="s">
        <v>92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</row>
    <row r="10" spans="2:19" x14ac:dyDescent="0.2">
      <c r="B10" s="11" t="s">
        <v>79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10">
        <f t="shared" ref="O10:O34" si="3">SUM(C10:N10)</f>
        <v>0</v>
      </c>
    </row>
    <row r="11" spans="2:19" x14ac:dyDescent="0.2">
      <c r="B11" s="11" t="s">
        <v>82</v>
      </c>
      <c r="C11" s="104"/>
      <c r="D11" s="104"/>
      <c r="E11" s="104"/>
      <c r="F11" s="104"/>
      <c r="G11" s="29"/>
      <c r="H11" s="104">
        <f>1451+1036</f>
        <v>2487</v>
      </c>
      <c r="I11" s="104"/>
      <c r="J11" s="104"/>
      <c r="K11" s="104"/>
      <c r="L11" s="104"/>
      <c r="M11" s="104"/>
      <c r="N11" s="104"/>
      <c r="O11" s="110">
        <f t="shared" ref="O11:O14" si="4">SUM(C11:N11)</f>
        <v>2487</v>
      </c>
    </row>
    <row r="12" spans="2:19" x14ac:dyDescent="0.2">
      <c r="B12" s="11" t="s">
        <v>165</v>
      </c>
      <c r="C12" s="104"/>
      <c r="D12" s="29"/>
      <c r="E12" s="104">
        <v>1162.5</v>
      </c>
      <c r="F12" s="104">
        <v>6.25</v>
      </c>
      <c r="G12" s="104"/>
      <c r="H12" s="104"/>
      <c r="I12" s="104"/>
      <c r="J12" s="104">
        <v>0.15</v>
      </c>
      <c r="K12" s="104"/>
      <c r="L12" s="104"/>
      <c r="M12" s="104"/>
      <c r="N12" s="104"/>
      <c r="O12" s="110">
        <f t="shared" si="4"/>
        <v>1168.9000000000001</v>
      </c>
    </row>
    <row r="13" spans="2:19" x14ac:dyDescent="0.2">
      <c r="B13" s="11" t="s">
        <v>301</v>
      </c>
      <c r="C13" s="104"/>
      <c r="D13" s="104"/>
      <c r="E13" s="104"/>
      <c r="F13" s="104"/>
      <c r="G13" s="104"/>
      <c r="H13" s="104"/>
      <c r="I13" s="104"/>
      <c r="J13" s="104">
        <v>100</v>
      </c>
      <c r="K13" s="104"/>
      <c r="L13" s="138"/>
      <c r="M13" s="104"/>
      <c r="N13" s="104"/>
      <c r="O13" s="110">
        <f t="shared" si="4"/>
        <v>100</v>
      </c>
      <c r="P13" s="105"/>
      <c r="Q13" s="114"/>
      <c r="R13" s="106"/>
      <c r="S13" s="2"/>
    </row>
    <row r="14" spans="2:19" x14ac:dyDescent="0.2">
      <c r="B14" s="11" t="s">
        <v>14</v>
      </c>
      <c r="C14" s="104"/>
      <c r="D14" s="104"/>
      <c r="E14" s="104"/>
      <c r="F14" s="104"/>
      <c r="G14" s="104"/>
      <c r="H14" s="104">
        <v>60.33</v>
      </c>
      <c r="I14" s="104"/>
      <c r="J14" s="104"/>
      <c r="K14" s="104"/>
      <c r="L14" s="138"/>
      <c r="M14" s="104"/>
      <c r="N14" s="104"/>
      <c r="O14" s="110">
        <f t="shared" si="4"/>
        <v>60.33</v>
      </c>
      <c r="P14" s="105"/>
      <c r="Q14" s="114"/>
      <c r="S14" s="2"/>
    </row>
    <row r="15" spans="2:19" x14ac:dyDescent="0.2">
      <c r="B15" s="11" t="s">
        <v>344</v>
      </c>
      <c r="C15" s="104"/>
      <c r="D15" s="104"/>
      <c r="E15" s="104"/>
      <c r="F15" s="104"/>
      <c r="G15" s="104"/>
      <c r="H15" s="104"/>
      <c r="I15" s="104"/>
      <c r="J15" s="104"/>
      <c r="K15" s="104"/>
      <c r="L15" s="138"/>
      <c r="M15" s="104"/>
      <c r="N15" s="104"/>
      <c r="O15" s="110">
        <f t="shared" si="3"/>
        <v>0</v>
      </c>
      <c r="P15" s="173"/>
      <c r="Q15" s="114"/>
      <c r="S15" s="2"/>
    </row>
    <row r="16" spans="2:19" x14ac:dyDescent="0.2">
      <c r="B16" s="11" t="s">
        <v>287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38">
        <v>216</v>
      </c>
      <c r="M16" s="104"/>
      <c r="N16" s="104"/>
      <c r="O16" s="110">
        <f t="shared" ref="O16:O17" si="5">SUM(C16:N16)</f>
        <v>216</v>
      </c>
      <c r="P16" s="105"/>
      <c r="Q16" s="114"/>
      <c r="R16" s="106"/>
      <c r="S16" s="2"/>
    </row>
    <row r="17" spans="2:21" x14ac:dyDescent="0.2">
      <c r="B17" s="11" t="s">
        <v>86</v>
      </c>
      <c r="C17" s="104"/>
      <c r="D17" s="104"/>
      <c r="E17" s="104"/>
      <c r="F17" s="104"/>
      <c r="G17" s="104">
        <f>345</f>
        <v>345</v>
      </c>
      <c r="H17" s="104">
        <f>509.22+377.68+51.35</f>
        <v>938.25000000000011</v>
      </c>
      <c r="I17" s="104">
        <f>15.6+277.29</f>
        <v>292.89000000000004</v>
      </c>
      <c r="J17" s="104"/>
      <c r="K17" s="104">
        <v>190.16</v>
      </c>
      <c r="L17" s="104"/>
      <c r="M17" s="104"/>
      <c r="N17" s="104"/>
      <c r="O17" s="110">
        <f t="shared" si="5"/>
        <v>1766.3000000000002</v>
      </c>
      <c r="P17" s="105"/>
      <c r="Q17" s="114"/>
      <c r="R17" s="106"/>
      <c r="S17" s="2"/>
    </row>
    <row r="18" spans="2:21" x14ac:dyDescent="0.2">
      <c r="B18" s="11" t="s">
        <v>346</v>
      </c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10">
        <f t="shared" si="3"/>
        <v>0</v>
      </c>
      <c r="P18" s="173"/>
      <c r="Q18" s="114"/>
      <c r="R18" s="106"/>
      <c r="S18" s="2"/>
    </row>
    <row r="19" spans="2:21" x14ac:dyDescent="0.2">
      <c r="B19" s="11" t="s">
        <v>218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10">
        <f t="shared" ref="O19" si="6">SUM(C19:N19)</f>
        <v>0</v>
      </c>
      <c r="P19" s="105"/>
      <c r="R19" s="106"/>
      <c r="S19" s="2"/>
    </row>
    <row r="20" spans="2:21" x14ac:dyDescent="0.2">
      <c r="B20" s="11" t="s">
        <v>348</v>
      </c>
      <c r="C20" s="104"/>
      <c r="D20" s="104"/>
      <c r="E20" s="104"/>
      <c r="F20" s="104"/>
      <c r="G20" s="104"/>
      <c r="H20" s="104"/>
      <c r="I20" s="104"/>
      <c r="J20" s="104"/>
      <c r="K20" s="104">
        <v>360</v>
      </c>
      <c r="L20" s="104"/>
      <c r="M20" s="104"/>
      <c r="N20" s="104"/>
      <c r="O20" s="110">
        <f t="shared" si="3"/>
        <v>360</v>
      </c>
      <c r="P20" s="173"/>
      <c r="R20" s="106"/>
      <c r="S20" s="2"/>
    </row>
    <row r="21" spans="2:21" x14ac:dyDescent="0.2">
      <c r="B21" s="11" t="s">
        <v>373</v>
      </c>
      <c r="C21" s="104">
        <v>3017.5</v>
      </c>
      <c r="D21" s="104">
        <v>-1000</v>
      </c>
      <c r="E21" s="104"/>
      <c r="F21" s="104"/>
      <c r="G21" s="104"/>
      <c r="H21" s="104"/>
      <c r="I21" s="104"/>
      <c r="J21" s="104"/>
      <c r="K21" s="104"/>
      <c r="L21" s="104"/>
      <c r="M21" s="104">
        <v>350</v>
      </c>
      <c r="N21" s="104"/>
      <c r="O21" s="110">
        <f t="shared" si="3"/>
        <v>2367.5</v>
      </c>
      <c r="P21" s="173"/>
      <c r="R21" s="106"/>
      <c r="S21" s="2"/>
    </row>
    <row r="22" spans="2:21" x14ac:dyDescent="0.2">
      <c r="B22" s="11" t="s">
        <v>15</v>
      </c>
      <c r="C22" s="104">
        <f>22.18+22.62+25.04+26.62+118.84+263.6+281.89+346.82</f>
        <v>1107.6099999999999</v>
      </c>
      <c r="D22" s="104">
        <v>1123.4100000000001</v>
      </c>
      <c r="E22" s="104">
        <v>1212.6300000000001</v>
      </c>
      <c r="F22" s="104">
        <v>1220.95</v>
      </c>
      <c r="G22" s="104">
        <v>1217.33</v>
      </c>
      <c r="H22" s="104">
        <v>1224.03</v>
      </c>
      <c r="I22" s="104">
        <v>1251.77</v>
      </c>
      <c r="J22" s="104">
        <v>1216.9000000000001</v>
      </c>
      <c r="K22" s="104">
        <v>1250.47</v>
      </c>
      <c r="L22" s="104">
        <v>1504.23</v>
      </c>
      <c r="M22" s="104">
        <v>896.62</v>
      </c>
      <c r="N22" s="104">
        <v>1185.3900000000001</v>
      </c>
      <c r="O22" s="110">
        <f t="shared" ref="O22:O23" si="7">SUM(C22:N22)</f>
        <v>14411.339999999998</v>
      </c>
      <c r="P22" s="96"/>
      <c r="Q22" s="43"/>
    </row>
    <row r="23" spans="2:21" x14ac:dyDescent="0.2">
      <c r="B23" s="11" t="s">
        <v>180</v>
      </c>
      <c r="C23" s="104"/>
      <c r="D23" s="104">
        <f>88.59+81.76</f>
        <v>170.35000000000002</v>
      </c>
      <c r="E23" s="104"/>
      <c r="F23" s="104">
        <f>81.88+99.2</f>
        <v>181.07999999999998</v>
      </c>
      <c r="G23" s="104">
        <v>161.52000000000001</v>
      </c>
      <c r="H23" s="104"/>
      <c r="I23" s="104"/>
      <c r="J23" s="104">
        <f>181.08+109.62</f>
        <v>290.70000000000005</v>
      </c>
      <c r="K23" s="104">
        <f>201.27+108.67</f>
        <v>309.94</v>
      </c>
      <c r="L23" s="104">
        <v>20.13</v>
      </c>
      <c r="M23" s="104">
        <f>110.41+121.99</f>
        <v>232.39999999999998</v>
      </c>
      <c r="N23" s="104"/>
      <c r="O23" s="110">
        <f t="shared" si="7"/>
        <v>1366.1200000000003</v>
      </c>
    </row>
    <row r="24" spans="2:21" x14ac:dyDescent="0.2">
      <c r="B24" s="11" t="s">
        <v>12</v>
      </c>
      <c r="C24" s="104">
        <v>86.06</v>
      </c>
      <c r="D24" s="104">
        <v>86.09</v>
      </c>
      <c r="E24" s="104">
        <v>86.09</v>
      </c>
      <c r="F24" s="104">
        <v>86.09</v>
      </c>
      <c r="G24" s="104">
        <v>85.79</v>
      </c>
      <c r="H24" s="104">
        <v>85.79</v>
      </c>
      <c r="I24" s="104">
        <v>85.79</v>
      </c>
      <c r="J24" s="104">
        <v>86.05</v>
      </c>
      <c r="K24" s="104">
        <v>86.05</v>
      </c>
      <c r="L24" s="104">
        <v>86.05</v>
      </c>
      <c r="M24" s="104">
        <v>86.28</v>
      </c>
      <c r="N24" s="104">
        <v>86.28</v>
      </c>
      <c r="O24" s="110">
        <f t="shared" si="3"/>
        <v>1032.4099999999999</v>
      </c>
    </row>
    <row r="25" spans="2:21" x14ac:dyDescent="0.2">
      <c r="B25" s="11" t="s">
        <v>356</v>
      </c>
      <c r="C25" s="104">
        <v>369.15</v>
      </c>
      <c r="D25" s="104">
        <v>1951.95</v>
      </c>
      <c r="E25" s="104">
        <f>230+3903.91</f>
        <v>4133.91</v>
      </c>
      <c r="F25" s="104">
        <f>3832.92+262.67</f>
        <v>4095.59</v>
      </c>
      <c r="G25" s="104">
        <v>7665.84</v>
      </c>
      <c r="H25" s="104">
        <f>7665.84+1639.3</f>
        <v>9305.14</v>
      </c>
      <c r="I25" s="104">
        <f>7665.84+200</f>
        <v>7865.84</v>
      </c>
      <c r="J25" s="104">
        <v>3832.92</v>
      </c>
      <c r="K25" s="104"/>
      <c r="L25" s="104">
        <v>1916.46</v>
      </c>
      <c r="M25" s="104"/>
      <c r="N25" s="104"/>
      <c r="O25" s="110">
        <f t="shared" si="3"/>
        <v>41136.799999999996</v>
      </c>
      <c r="P25" t="s">
        <v>311</v>
      </c>
      <c r="S25" t="s">
        <v>313</v>
      </c>
    </row>
    <row r="26" spans="2:21" x14ac:dyDescent="0.2">
      <c r="B26" s="11" t="s">
        <v>226</v>
      </c>
      <c r="C26" s="104"/>
      <c r="D26" s="104"/>
      <c r="E26" s="104"/>
      <c r="F26" s="104"/>
      <c r="G26" s="29"/>
      <c r="H26" s="104"/>
      <c r="I26" s="104"/>
      <c r="J26" s="104"/>
      <c r="K26" s="104">
        <v>781.13</v>
      </c>
      <c r="L26" s="104"/>
      <c r="M26" s="104"/>
      <c r="N26" s="104"/>
      <c r="O26" s="110">
        <f t="shared" si="3"/>
        <v>781.13</v>
      </c>
      <c r="P26" s="96">
        <v>38500</v>
      </c>
      <c r="Q26" s="43" t="s">
        <v>312</v>
      </c>
      <c r="R26" s="41">
        <v>2024</v>
      </c>
      <c r="S26" t="s">
        <v>318</v>
      </c>
      <c r="T26" s="119">
        <f>$P$26*5%</f>
        <v>1925</v>
      </c>
      <c r="U26" t="s">
        <v>331</v>
      </c>
    </row>
    <row r="27" spans="2:21" x14ac:dyDescent="0.2">
      <c r="B27" s="11" t="s">
        <v>294</v>
      </c>
      <c r="C27" s="104">
        <v>1400</v>
      </c>
      <c r="D27" s="104">
        <v>1400</v>
      </c>
      <c r="E27" s="104">
        <v>1400</v>
      </c>
      <c r="F27" s="104">
        <v>1400</v>
      </c>
      <c r="G27" s="104">
        <v>1400</v>
      </c>
      <c r="H27" s="104">
        <v>1400</v>
      </c>
      <c r="I27" s="104">
        <v>1400</v>
      </c>
      <c r="J27" s="104">
        <v>1400</v>
      </c>
      <c r="K27" s="104">
        <v>1400</v>
      </c>
      <c r="L27" s="104">
        <v>1800</v>
      </c>
      <c r="M27" s="104">
        <v>1400</v>
      </c>
      <c r="N27" s="104">
        <v>1400</v>
      </c>
      <c r="O27" s="110">
        <f>SUM(C27:N27)</f>
        <v>17200</v>
      </c>
      <c r="P27" s="96">
        <v>34895</v>
      </c>
      <c r="Q27" s="43" t="s">
        <v>312</v>
      </c>
      <c r="R27">
        <v>2025</v>
      </c>
      <c r="S27" t="s">
        <v>319</v>
      </c>
      <c r="T27" s="119">
        <f>$P$26*10%</f>
        <v>3850</v>
      </c>
      <c r="U27" t="s">
        <v>330</v>
      </c>
    </row>
    <row r="28" spans="2:21" x14ac:dyDescent="0.2">
      <c r="B28" s="11" t="s">
        <v>16</v>
      </c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10">
        <f t="shared" ref="O28:O29" si="8">SUM(C28:N28)</f>
        <v>0</v>
      </c>
      <c r="P28" s="96">
        <v>35941</v>
      </c>
      <c r="Q28" s="43" t="s">
        <v>312</v>
      </c>
      <c r="R28">
        <v>2026</v>
      </c>
      <c r="S28" t="s">
        <v>320</v>
      </c>
      <c r="T28" s="119">
        <f>$P$26*10%</f>
        <v>3850</v>
      </c>
      <c r="U28" t="s">
        <v>329</v>
      </c>
    </row>
    <row r="29" spans="2:21" x14ac:dyDescent="0.2">
      <c r="B29" s="11" t="s">
        <v>225</v>
      </c>
      <c r="C29" s="104">
        <v>165</v>
      </c>
      <c r="D29" s="104"/>
      <c r="E29" s="104"/>
      <c r="F29" s="104"/>
      <c r="G29" s="104"/>
      <c r="H29" s="104"/>
      <c r="I29" s="104">
        <v>328.56</v>
      </c>
      <c r="J29" s="104">
        <v>124.21</v>
      </c>
      <c r="K29" s="104">
        <v>247.67</v>
      </c>
      <c r="L29" s="138"/>
      <c r="M29" s="104">
        <v>123.52</v>
      </c>
      <c r="N29" s="104"/>
      <c r="O29" s="110">
        <f t="shared" si="8"/>
        <v>988.95999999999992</v>
      </c>
      <c r="P29" s="105"/>
      <c r="Q29" s="114"/>
      <c r="R29" s="106"/>
      <c r="S29" t="s">
        <v>321</v>
      </c>
      <c r="T29" s="119">
        <f>$P$26*20%</f>
        <v>7700</v>
      </c>
      <c r="U29" t="s">
        <v>328</v>
      </c>
    </row>
    <row r="30" spans="2:21" x14ac:dyDescent="0.2">
      <c r="B30" s="11" t="s">
        <v>179</v>
      </c>
      <c r="C30" s="104"/>
      <c r="D30" s="104"/>
      <c r="E30" s="104"/>
      <c r="F30" s="104"/>
      <c r="G30" s="104"/>
      <c r="H30" s="104"/>
      <c r="I30" s="104">
        <v>1750</v>
      </c>
      <c r="J30" s="104"/>
      <c r="K30" s="104"/>
      <c r="L30" s="104"/>
      <c r="M30" s="104"/>
      <c r="N30" s="104"/>
      <c r="O30" s="110">
        <f t="shared" si="3"/>
        <v>1750</v>
      </c>
      <c r="S30" t="s">
        <v>322</v>
      </c>
      <c r="T30" s="119">
        <f>$P$26*20%</f>
        <v>7700</v>
      </c>
      <c r="U30" t="s">
        <v>327</v>
      </c>
    </row>
    <row r="31" spans="2:21" x14ac:dyDescent="0.2">
      <c r="B31" s="11" t="s">
        <v>374</v>
      </c>
      <c r="C31" s="104"/>
      <c r="D31" s="104"/>
      <c r="E31" s="104"/>
      <c r="F31" s="104"/>
      <c r="G31" s="104"/>
      <c r="H31" s="104"/>
      <c r="I31" s="104">
        <f>285</f>
        <v>285</v>
      </c>
      <c r="J31" s="104">
        <v>507.14</v>
      </c>
      <c r="K31" s="104"/>
      <c r="L31" s="104"/>
      <c r="M31" s="104"/>
      <c r="N31" s="104"/>
      <c r="O31" s="110">
        <f t="shared" ref="O31" si="9">SUM(C31:N31)</f>
        <v>792.14</v>
      </c>
      <c r="P31" s="105"/>
      <c r="Q31" s="114"/>
      <c r="R31" s="106"/>
      <c r="S31" t="s">
        <v>323</v>
      </c>
      <c r="T31" s="119">
        <f>$P$26*20%</f>
        <v>7700</v>
      </c>
      <c r="U31" t="s">
        <v>326</v>
      </c>
    </row>
    <row r="32" spans="2:21" x14ac:dyDescent="0.2">
      <c r="B32" s="11" t="s">
        <v>20</v>
      </c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10">
        <f t="shared" si="3"/>
        <v>0</v>
      </c>
      <c r="P32" s="125"/>
      <c r="S32" t="s">
        <v>324</v>
      </c>
      <c r="T32" s="119">
        <f>$P$26*10%</f>
        <v>3850</v>
      </c>
      <c r="U32" t="s">
        <v>317</v>
      </c>
    </row>
    <row r="33" spans="2:21" x14ac:dyDescent="0.2">
      <c r="B33" s="11" t="s">
        <v>83</v>
      </c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10">
        <f t="shared" si="3"/>
        <v>0</v>
      </c>
      <c r="P33" s="105"/>
      <c r="Q33" s="3"/>
      <c r="R33" s="3"/>
      <c r="S33" s="2" t="s">
        <v>325</v>
      </c>
      <c r="T33" s="144">
        <f>$P$26*5%</f>
        <v>1925</v>
      </c>
      <c r="U33" t="s">
        <v>378</v>
      </c>
    </row>
    <row r="34" spans="2:21" x14ac:dyDescent="0.2">
      <c r="B34" s="11" t="s">
        <v>24</v>
      </c>
      <c r="C34" s="104"/>
      <c r="D34" s="104"/>
      <c r="E34" s="104">
        <v>0</v>
      </c>
      <c r="F34" s="104"/>
      <c r="G34" s="104"/>
      <c r="H34" s="104"/>
      <c r="I34" s="104"/>
      <c r="J34" s="104"/>
      <c r="K34" s="104"/>
      <c r="L34" s="138"/>
      <c r="M34" s="104"/>
      <c r="N34" s="104"/>
      <c r="O34" s="110">
        <f t="shared" si="3"/>
        <v>0</v>
      </c>
      <c r="P34" s="105"/>
      <c r="Q34" s="114"/>
      <c r="R34" s="106"/>
      <c r="S34" s="2"/>
      <c r="T34" s="2">
        <f>SUM(T26:T33)</f>
        <v>38500</v>
      </c>
    </row>
    <row r="35" spans="2:21" x14ac:dyDescent="0.2">
      <c r="B35" s="12" t="s">
        <v>95</v>
      </c>
      <c r="C35" s="127">
        <f t="shared" ref="C35:O35" si="10">SUM(C10:C34)</f>
        <v>6145.32</v>
      </c>
      <c r="D35" s="127">
        <f t="shared" si="10"/>
        <v>3731.8</v>
      </c>
      <c r="E35" s="127">
        <f t="shared" si="10"/>
        <v>7995.13</v>
      </c>
      <c r="F35" s="127">
        <f t="shared" si="10"/>
        <v>6989.96</v>
      </c>
      <c r="G35" s="127">
        <f t="shared" si="10"/>
        <v>10875.48</v>
      </c>
      <c r="H35" s="127">
        <f t="shared" si="10"/>
        <v>15500.539999999999</v>
      </c>
      <c r="I35" s="127">
        <f t="shared" si="10"/>
        <v>13259.85</v>
      </c>
      <c r="J35" s="127">
        <f t="shared" si="10"/>
        <v>7558.0700000000006</v>
      </c>
      <c r="K35" s="127">
        <f t="shared" si="10"/>
        <v>4625.42</v>
      </c>
      <c r="L35" s="127">
        <f t="shared" si="10"/>
        <v>5542.87</v>
      </c>
      <c r="M35" s="127">
        <f t="shared" si="10"/>
        <v>3088.82</v>
      </c>
      <c r="N35" s="127">
        <f t="shared" si="10"/>
        <v>2671.67</v>
      </c>
      <c r="O35" s="127">
        <f t="shared" si="10"/>
        <v>87984.930000000008</v>
      </c>
      <c r="P35" s="105"/>
      <c r="Q35" s="114"/>
      <c r="R35" s="106"/>
    </row>
    <row r="36" spans="2:21" x14ac:dyDescent="0.2">
      <c r="B36" s="12" t="s">
        <v>171</v>
      </c>
      <c r="C36" s="135">
        <f t="shared" ref="C36:N36" si="11">C8-C35</f>
        <v>-3680.12</v>
      </c>
      <c r="D36" s="135">
        <f t="shared" si="11"/>
        <v>-3291.8</v>
      </c>
      <c r="E36" s="135">
        <f t="shared" si="11"/>
        <v>34288.870000000003</v>
      </c>
      <c r="F36" s="135">
        <f t="shared" si="11"/>
        <v>24530.04</v>
      </c>
      <c r="G36" s="135">
        <f t="shared" si="11"/>
        <v>-8645.48</v>
      </c>
      <c r="H36" s="135">
        <f t="shared" si="11"/>
        <v>-14760.539999999999</v>
      </c>
      <c r="I36" s="135">
        <f t="shared" si="11"/>
        <v>-9963.85</v>
      </c>
      <c r="J36" s="135">
        <f t="shared" si="11"/>
        <v>-7458.0700000000006</v>
      </c>
      <c r="K36" s="135">
        <f t="shared" si="11"/>
        <v>-4025.42</v>
      </c>
      <c r="L36" s="135">
        <f t="shared" si="11"/>
        <v>-5342.87</v>
      </c>
      <c r="M36" s="135">
        <f t="shared" si="11"/>
        <v>-3033.05</v>
      </c>
      <c r="N36" s="135">
        <f t="shared" si="11"/>
        <v>-2604.9700000000003</v>
      </c>
      <c r="O36" s="135">
        <f>SUM(C36:N36)</f>
        <v>-3987.2599999999902</v>
      </c>
      <c r="P36" s="96"/>
      <c r="R36" s="106"/>
    </row>
    <row r="37" spans="2:21" x14ac:dyDescent="0.2">
      <c r="B37" s="12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1"/>
      <c r="P37" s="93"/>
    </row>
    <row r="38" spans="2:21" x14ac:dyDescent="0.2">
      <c r="B38" s="97" t="s">
        <v>173</v>
      </c>
      <c r="C38" s="135">
        <f>(B40+C8)-C35</f>
        <v>21310.170000000009</v>
      </c>
      <c r="D38" s="135">
        <f>C38+D36</f>
        <v>18018.37000000001</v>
      </c>
      <c r="E38" s="135">
        <f t="shared" ref="E38:N38" si="12">D38+E36</f>
        <v>52307.240000000013</v>
      </c>
      <c r="F38" s="135">
        <f t="shared" si="12"/>
        <v>76837.280000000013</v>
      </c>
      <c r="G38" s="135">
        <f t="shared" si="12"/>
        <v>68191.800000000017</v>
      </c>
      <c r="H38" s="135">
        <f t="shared" si="12"/>
        <v>53431.260000000017</v>
      </c>
      <c r="I38" s="135">
        <f t="shared" si="12"/>
        <v>43467.410000000018</v>
      </c>
      <c r="J38" s="135">
        <f t="shared" si="12"/>
        <v>36009.340000000018</v>
      </c>
      <c r="K38" s="135">
        <f t="shared" si="12"/>
        <v>31983.92000000002</v>
      </c>
      <c r="L38" s="135">
        <f t="shared" si="12"/>
        <v>26641.050000000021</v>
      </c>
      <c r="M38" s="135">
        <f t="shared" si="12"/>
        <v>23608.000000000022</v>
      </c>
      <c r="N38" s="135">
        <f t="shared" si="12"/>
        <v>21003.030000000021</v>
      </c>
      <c r="O38" s="29"/>
    </row>
    <row r="39" spans="2:21" x14ac:dyDescent="0.2">
      <c r="B39" s="93" t="s">
        <v>304</v>
      </c>
      <c r="C39" s="112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113"/>
    </row>
    <row r="40" spans="2:21" x14ac:dyDescent="0.2">
      <c r="B40" s="13">
        <f>'2023 actual'!N56</f>
        <v>24990.290000000008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113"/>
    </row>
    <row r="41" spans="2:21" ht="16.5" hidden="1" customHeight="1" x14ac:dyDescent="0.2">
      <c r="B41" s="3" t="s">
        <v>197</v>
      </c>
      <c r="C41" s="112">
        <v>1453.51</v>
      </c>
      <c r="D41" s="112">
        <v>7136.66</v>
      </c>
      <c r="E41" s="112">
        <v>1620</v>
      </c>
      <c r="F41" s="112">
        <v>6027.11</v>
      </c>
      <c r="G41" s="112"/>
      <c r="H41" s="112"/>
      <c r="I41" s="112"/>
      <c r="J41" s="112"/>
      <c r="K41" s="112"/>
      <c r="L41" s="112"/>
      <c r="M41" s="112"/>
      <c r="N41" s="112"/>
      <c r="O41" s="113"/>
    </row>
    <row r="42" spans="2:21" hidden="1" x14ac:dyDescent="0.2">
      <c r="B42" s="3" t="s">
        <v>198</v>
      </c>
      <c r="C42" s="112">
        <v>1557.89</v>
      </c>
      <c r="D42" s="112">
        <v>2074.34</v>
      </c>
      <c r="E42" s="112">
        <v>2046.45</v>
      </c>
      <c r="F42" s="112">
        <v>1180.08</v>
      </c>
      <c r="G42" s="112"/>
      <c r="H42" s="112"/>
      <c r="I42" s="112"/>
      <c r="J42" s="112"/>
      <c r="K42" s="112"/>
      <c r="L42" s="112"/>
      <c r="M42" s="112"/>
      <c r="N42" s="112"/>
      <c r="O42" s="29"/>
      <c r="P42" s="2"/>
    </row>
    <row r="43" spans="2:21" hidden="1" x14ac:dyDescent="0.2">
      <c r="B43" s="3" t="s">
        <v>199</v>
      </c>
      <c r="C43" s="112">
        <f>SUM(C41:C42)</f>
        <v>3011.4</v>
      </c>
      <c r="D43" s="112">
        <f>SUM(D41:D42)</f>
        <v>9211</v>
      </c>
      <c r="E43" s="112">
        <f>SUM(E41:E42)</f>
        <v>3666.45</v>
      </c>
      <c r="F43" s="112">
        <f>SUM(F41:F42)</f>
        <v>7207.19</v>
      </c>
      <c r="G43" s="112"/>
      <c r="H43" s="112"/>
      <c r="I43" s="112"/>
      <c r="J43" s="112"/>
      <c r="K43" s="112"/>
      <c r="L43" s="112"/>
      <c r="M43" s="112"/>
      <c r="N43" s="112"/>
      <c r="O43" s="29"/>
    </row>
    <row r="44" spans="2:21" hidden="1" x14ac:dyDescent="0.2"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</row>
    <row r="45" spans="2:21" x14ac:dyDescent="0.2">
      <c r="B45" s="3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</row>
    <row r="46" spans="2:21" x14ac:dyDescent="0.2">
      <c r="C46" s="109" t="s">
        <v>0</v>
      </c>
      <c r="D46" s="109" t="s">
        <v>1</v>
      </c>
      <c r="E46" s="109" t="s">
        <v>2</v>
      </c>
      <c r="F46" s="109" t="s">
        <v>3</v>
      </c>
      <c r="G46" s="109" t="s">
        <v>4</v>
      </c>
      <c r="H46" s="109" t="s">
        <v>36</v>
      </c>
      <c r="I46" s="109" t="s">
        <v>37</v>
      </c>
      <c r="J46" s="109" t="s">
        <v>5</v>
      </c>
      <c r="K46" s="109" t="s">
        <v>6</v>
      </c>
      <c r="L46" s="109" t="s">
        <v>7</v>
      </c>
      <c r="M46" s="109" t="s">
        <v>8</v>
      </c>
      <c r="N46" s="109" t="s">
        <v>9</v>
      </c>
      <c r="O46" s="109" t="s">
        <v>39</v>
      </c>
    </row>
    <row r="47" spans="2:21" x14ac:dyDescent="0.2">
      <c r="B47" s="12" t="s">
        <v>203</v>
      </c>
      <c r="C47" s="127">
        <f>'2024 Fixed'!C32</f>
        <v>3011.4000000000005</v>
      </c>
      <c r="D47" s="127">
        <f>'2024 Fixed'!D32</f>
        <v>9211</v>
      </c>
      <c r="E47" s="127">
        <f>'2024 Fixed'!E32</f>
        <v>3666.45</v>
      </c>
      <c r="F47" s="127">
        <f>'2024 Fixed'!F32</f>
        <v>7034.27</v>
      </c>
      <c r="G47" s="127">
        <f>'2024 Fixed'!G32</f>
        <v>19002.510000000002</v>
      </c>
      <c r="H47" s="127">
        <f>'2024 Fixed'!H32</f>
        <v>11699.41</v>
      </c>
      <c r="I47" s="127">
        <f>'2024 Fixed'!I32</f>
        <v>9849.82</v>
      </c>
      <c r="J47" s="127">
        <f>'2024 Fixed'!J32</f>
        <v>6340.4199999999992</v>
      </c>
      <c r="K47" s="127">
        <f>'2024 Fixed'!K32</f>
        <v>3153.26</v>
      </c>
      <c r="L47" s="127">
        <f>'2024 Fixed'!L32</f>
        <v>1571.95</v>
      </c>
      <c r="M47" s="127">
        <f>'2024 Fixed'!M32</f>
        <v>6486.92</v>
      </c>
      <c r="N47" s="127">
        <f>'2024 Fixed'!N32</f>
        <v>5297.27</v>
      </c>
      <c r="O47" s="127">
        <f>SUM(C47:N47)</f>
        <v>86324.680000000008</v>
      </c>
    </row>
    <row r="48" spans="2:21" x14ac:dyDescent="0.2">
      <c r="B48" s="3" t="s">
        <v>204</v>
      </c>
      <c r="C48" s="129">
        <f t="shared" ref="C48:N48" si="13">C36-C47</f>
        <v>-6691.52</v>
      </c>
      <c r="D48" s="129">
        <f t="shared" si="13"/>
        <v>-12502.8</v>
      </c>
      <c r="E48" s="129">
        <f t="shared" si="13"/>
        <v>30622.420000000002</v>
      </c>
      <c r="F48" s="129">
        <f t="shared" si="13"/>
        <v>17495.77</v>
      </c>
      <c r="G48" s="129">
        <f t="shared" si="13"/>
        <v>-27647.99</v>
      </c>
      <c r="H48" s="129">
        <f t="shared" si="13"/>
        <v>-26459.949999999997</v>
      </c>
      <c r="I48" s="129">
        <f t="shared" si="13"/>
        <v>-19813.669999999998</v>
      </c>
      <c r="J48" s="129">
        <f t="shared" si="13"/>
        <v>-13798.49</v>
      </c>
      <c r="K48" s="129">
        <f t="shared" si="13"/>
        <v>-7178.68</v>
      </c>
      <c r="L48" s="129">
        <f t="shared" si="13"/>
        <v>-6914.82</v>
      </c>
      <c r="M48" s="129">
        <f t="shared" si="13"/>
        <v>-9519.9700000000012</v>
      </c>
      <c r="N48" s="129">
        <f t="shared" si="13"/>
        <v>-7902.2400000000007</v>
      </c>
      <c r="O48" s="129">
        <f>SUM(C48:N48)</f>
        <v>-90311.939999999988</v>
      </c>
    </row>
    <row r="49" spans="1:21" x14ac:dyDescent="0.2">
      <c r="C49" s="113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</row>
    <row r="50" spans="1:21" x14ac:dyDescent="0.2">
      <c r="B50" s="4" t="s">
        <v>216</v>
      </c>
      <c r="C50" s="113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</row>
    <row r="51" spans="1:21" s="3" customFormat="1" x14ac:dyDescent="0.2">
      <c r="A51" s="41"/>
      <c r="B51" s="3" t="s">
        <v>211</v>
      </c>
      <c r="C51" s="126">
        <v>24990.29</v>
      </c>
      <c r="D51" s="126">
        <f t="shared" ref="D51:L51" si="14">C55</f>
        <v>21310.170000000002</v>
      </c>
      <c r="E51" s="126">
        <f t="shared" si="14"/>
        <v>18018.370000000003</v>
      </c>
      <c r="F51" s="126">
        <f t="shared" si="14"/>
        <v>52307.240000000005</v>
      </c>
      <c r="G51" s="126">
        <f t="shared" si="14"/>
        <v>76837.279999999999</v>
      </c>
      <c r="H51" s="126">
        <f t="shared" si="14"/>
        <v>68191.8</v>
      </c>
      <c r="I51" s="126">
        <f t="shared" si="14"/>
        <v>53431.26</v>
      </c>
      <c r="J51" s="126">
        <f t="shared" si="14"/>
        <v>43467.41</v>
      </c>
      <c r="K51" s="126">
        <f t="shared" si="14"/>
        <v>36009.340000000004</v>
      </c>
      <c r="L51" s="126">
        <f t="shared" si="14"/>
        <v>31983.920000000006</v>
      </c>
      <c r="M51" s="126">
        <f>L55</f>
        <v>26641.050000000007</v>
      </c>
      <c r="N51" s="126">
        <f>M55</f>
        <v>23608.000000000007</v>
      </c>
      <c r="O51" s="126"/>
      <c r="P51"/>
      <c r="Q51"/>
      <c r="R51"/>
      <c r="S51"/>
      <c r="T51"/>
      <c r="U51"/>
    </row>
    <row r="52" spans="1:21" x14ac:dyDescent="0.2">
      <c r="B52" s="3" t="s">
        <v>213</v>
      </c>
      <c r="C52" s="141">
        <v>4786.6499999999996</v>
      </c>
      <c r="D52" s="141">
        <v>3351.95</v>
      </c>
      <c r="E52" s="141">
        <v>5533.91</v>
      </c>
      <c r="F52" s="141">
        <v>5495.59</v>
      </c>
      <c r="G52" s="141">
        <v>9410.84</v>
      </c>
      <c r="H52" s="141">
        <v>14190.72</v>
      </c>
      <c r="I52" s="141">
        <v>11578.13</v>
      </c>
      <c r="J52" s="141">
        <v>5232.92</v>
      </c>
      <c r="K52" s="141">
        <v>2541.13</v>
      </c>
      <c r="L52" s="141">
        <v>3926.46</v>
      </c>
      <c r="M52" s="141">
        <v>1400</v>
      </c>
      <c r="N52" s="141">
        <v>1400</v>
      </c>
      <c r="O52" s="141"/>
    </row>
    <row r="53" spans="1:21" x14ac:dyDescent="0.2">
      <c r="B53" s="3" t="s">
        <v>212</v>
      </c>
      <c r="C53" s="141">
        <v>1358.67</v>
      </c>
      <c r="D53" s="141">
        <v>1379.85</v>
      </c>
      <c r="E53" s="141">
        <v>2461.2199999999998</v>
      </c>
      <c r="F53" s="141">
        <v>1494.37</v>
      </c>
      <c r="G53" s="141">
        <v>1464.64</v>
      </c>
      <c r="H53" s="141">
        <v>1309.82</v>
      </c>
      <c r="I53" s="141">
        <v>1681.72</v>
      </c>
      <c r="J53" s="141">
        <v>2325.15</v>
      </c>
      <c r="K53" s="141">
        <v>2084.29</v>
      </c>
      <c r="L53" s="141">
        <v>1616.41</v>
      </c>
      <c r="M53" s="141">
        <f>21688.82-20000</f>
        <v>1688.8199999999997</v>
      </c>
      <c r="N53" s="141">
        <v>1271.67</v>
      </c>
      <c r="O53" s="141"/>
    </row>
    <row r="54" spans="1:21" x14ac:dyDescent="0.2">
      <c r="B54" s="3" t="s">
        <v>214</v>
      </c>
      <c r="C54" s="141">
        <v>2465.1999999999998</v>
      </c>
      <c r="D54" s="141">
        <v>1440</v>
      </c>
      <c r="E54" s="141">
        <v>42284</v>
      </c>
      <c r="F54" s="141">
        <v>31520</v>
      </c>
      <c r="G54" s="141">
        <v>2230</v>
      </c>
      <c r="H54" s="141">
        <v>740</v>
      </c>
      <c r="I54" s="141">
        <v>3296</v>
      </c>
      <c r="J54" s="141">
        <v>100</v>
      </c>
      <c r="K54" s="141">
        <v>600</v>
      </c>
      <c r="L54" s="141">
        <v>200</v>
      </c>
      <c r="M54" s="141">
        <v>55.77</v>
      </c>
      <c r="N54" s="141">
        <v>66.7</v>
      </c>
      <c r="O54" s="133"/>
    </row>
    <row r="55" spans="1:21" ht="17" thickBot="1" x14ac:dyDescent="0.25">
      <c r="B55" s="3" t="s">
        <v>215</v>
      </c>
      <c r="C55" s="139">
        <f t="shared" ref="C55:N55" si="15">C51-(C52+C53)+C54</f>
        <v>21310.170000000002</v>
      </c>
      <c r="D55" s="139">
        <f t="shared" si="15"/>
        <v>18018.370000000003</v>
      </c>
      <c r="E55" s="139">
        <f t="shared" si="15"/>
        <v>52307.240000000005</v>
      </c>
      <c r="F55" s="139">
        <f t="shared" si="15"/>
        <v>76837.279999999999</v>
      </c>
      <c r="G55" s="139">
        <f t="shared" si="15"/>
        <v>68191.8</v>
      </c>
      <c r="H55" s="139">
        <f t="shared" si="15"/>
        <v>53431.26</v>
      </c>
      <c r="I55" s="139">
        <f t="shared" si="15"/>
        <v>43467.41</v>
      </c>
      <c r="J55" s="139">
        <f t="shared" si="15"/>
        <v>36009.340000000004</v>
      </c>
      <c r="K55" s="139">
        <f t="shared" si="15"/>
        <v>31983.920000000006</v>
      </c>
      <c r="L55" s="139">
        <f t="shared" si="15"/>
        <v>26641.050000000007</v>
      </c>
      <c r="M55" s="139">
        <f t="shared" si="15"/>
        <v>23608.000000000007</v>
      </c>
      <c r="N55" s="139">
        <f t="shared" si="15"/>
        <v>21003.03000000001</v>
      </c>
      <c r="O55" s="133"/>
      <c r="P55" s="140"/>
    </row>
    <row r="56" spans="1:21" ht="17" thickTop="1" x14ac:dyDescent="0.2">
      <c r="N56" s="212">
        <f>N55/O35</f>
        <v>0.23871167482885999</v>
      </c>
    </row>
    <row r="57" spans="1:21" x14ac:dyDescent="0.2">
      <c r="N57" s="130"/>
      <c r="O57" s="130"/>
    </row>
    <row r="58" spans="1:21" x14ac:dyDescent="0.2">
      <c r="B58" s="3" t="s">
        <v>217</v>
      </c>
      <c r="C58" s="132">
        <f t="shared" ref="C58:N58" si="16">C52+C53</f>
        <v>6145.32</v>
      </c>
      <c r="D58" s="132">
        <f t="shared" si="16"/>
        <v>4731.7999999999993</v>
      </c>
      <c r="E58" s="132">
        <f t="shared" si="16"/>
        <v>7995.1299999999992</v>
      </c>
      <c r="F58" s="132">
        <f t="shared" si="16"/>
        <v>6989.96</v>
      </c>
      <c r="G58" s="132">
        <f t="shared" si="16"/>
        <v>10875.48</v>
      </c>
      <c r="H58" s="132">
        <f t="shared" si="16"/>
        <v>15500.539999999999</v>
      </c>
      <c r="I58" s="132">
        <f t="shared" si="16"/>
        <v>13259.849999999999</v>
      </c>
      <c r="J58" s="132">
        <f t="shared" si="16"/>
        <v>7558.07</v>
      </c>
      <c r="K58" s="132">
        <f t="shared" si="16"/>
        <v>4625.42</v>
      </c>
      <c r="L58" s="132">
        <f t="shared" si="16"/>
        <v>5542.87</v>
      </c>
      <c r="M58" s="132">
        <f t="shared" si="16"/>
        <v>3088.8199999999997</v>
      </c>
      <c r="N58" s="132">
        <f t="shared" si="16"/>
        <v>2671.67</v>
      </c>
      <c r="O58" s="130"/>
    </row>
    <row r="59" spans="1:21" x14ac:dyDescent="0.2">
      <c r="B59" s="3" t="s">
        <v>227</v>
      </c>
      <c r="C59" s="137">
        <f t="shared" ref="C59:N59" si="17">C38-C55</f>
        <v>0</v>
      </c>
      <c r="D59" s="137">
        <f t="shared" si="17"/>
        <v>0</v>
      </c>
      <c r="E59" s="137">
        <f t="shared" si="17"/>
        <v>0</v>
      </c>
      <c r="F59" s="137">
        <f t="shared" si="17"/>
        <v>0</v>
      </c>
      <c r="G59" s="137">
        <f t="shared" si="17"/>
        <v>0</v>
      </c>
      <c r="H59" s="137">
        <f t="shared" si="17"/>
        <v>0</v>
      </c>
      <c r="I59" s="137">
        <f t="shared" si="17"/>
        <v>0</v>
      </c>
      <c r="J59" s="137">
        <f t="shared" si="17"/>
        <v>0</v>
      </c>
      <c r="K59" s="137">
        <f t="shared" si="17"/>
        <v>0</v>
      </c>
      <c r="L59" s="137">
        <f t="shared" si="17"/>
        <v>0</v>
      </c>
      <c r="M59" s="137">
        <f t="shared" si="17"/>
        <v>0</v>
      </c>
      <c r="N59" s="137">
        <f t="shared" si="17"/>
        <v>0</v>
      </c>
    </row>
    <row r="60" spans="1:21" x14ac:dyDescent="0.2"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</row>
    <row r="61" spans="1:21" x14ac:dyDescent="0.2"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</row>
    <row r="62" spans="1:21" x14ac:dyDescent="0.2"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</row>
    <row r="63" spans="1:21" x14ac:dyDescent="0.2">
      <c r="G63" s="2">
        <f>G38</f>
        <v>68191.800000000017</v>
      </c>
    </row>
    <row r="64" spans="1:21" x14ac:dyDescent="0.2">
      <c r="F64" t="s">
        <v>228</v>
      </c>
      <c r="G64" s="2">
        <v>7402</v>
      </c>
    </row>
    <row r="65" spans="1:15" x14ac:dyDescent="0.2">
      <c r="F65" t="s">
        <v>229</v>
      </c>
      <c r="G65" s="2">
        <f>G63+G64</f>
        <v>75593.800000000017</v>
      </c>
    </row>
    <row r="67" spans="1:15" x14ac:dyDescent="0.2">
      <c r="D67" s="51"/>
    </row>
    <row r="68" spans="1:15" x14ac:dyDescent="0.2">
      <c r="M68" s="10" t="s">
        <v>291</v>
      </c>
    </row>
    <row r="69" spans="1:15" x14ac:dyDescent="0.2">
      <c r="B69" s="3" t="s">
        <v>275</v>
      </c>
      <c r="C69" t="s">
        <v>288</v>
      </c>
      <c r="G69" s="2">
        <f>G38</f>
        <v>68191.800000000017</v>
      </c>
      <c r="H69" s="114">
        <f>H55</f>
        <v>53431.26</v>
      </c>
      <c r="M69" t="s">
        <v>292</v>
      </c>
      <c r="O69" s="2">
        <f>N38</f>
        <v>21003.030000000021</v>
      </c>
    </row>
    <row r="70" spans="1:15" x14ac:dyDescent="0.2">
      <c r="C70" s="119" t="s">
        <v>290</v>
      </c>
      <c r="G70" s="2"/>
      <c r="H70" s="114">
        <v>-1400</v>
      </c>
      <c r="O70" s="2"/>
    </row>
    <row r="71" spans="1:15" x14ac:dyDescent="0.2">
      <c r="B71" s="10"/>
      <c r="C71" t="s">
        <v>289</v>
      </c>
      <c r="G71" s="2">
        <f>'2024 Fixed'!G34</f>
        <v>0</v>
      </c>
      <c r="H71">
        <f>'2024 Fixed'!H34</f>
        <v>0</v>
      </c>
      <c r="M71" t="s">
        <v>293</v>
      </c>
      <c r="O71" s="2">
        <f>'2024 Fixed'!N34</f>
        <v>0</v>
      </c>
    </row>
    <row r="72" spans="1:15" ht="17" thickBot="1" x14ac:dyDescent="0.25">
      <c r="B72" s="41"/>
      <c r="C72" s="120" t="s">
        <v>204</v>
      </c>
      <c r="D72" s="98"/>
      <c r="E72" s="98"/>
      <c r="F72" s="98"/>
      <c r="G72" s="120">
        <f>G69-G71</f>
        <v>68191.800000000017</v>
      </c>
      <c r="H72" s="120">
        <f>+SUM(H69:H70)-H71</f>
        <v>52031.26</v>
      </c>
      <c r="M72" s="120" t="s">
        <v>204</v>
      </c>
      <c r="N72" s="120"/>
      <c r="O72" s="80">
        <f>O69-O71</f>
        <v>21003.030000000021</v>
      </c>
    </row>
    <row r="73" spans="1:15" ht="17" thickTop="1" x14ac:dyDescent="0.2">
      <c r="B73" s="41"/>
      <c r="C73" s="39"/>
      <c r="G73" s="2"/>
      <c r="O73" s="2"/>
    </row>
    <row r="74" spans="1:15" x14ac:dyDescent="0.2">
      <c r="B74" s="41"/>
      <c r="C74" s="39" t="s">
        <v>277</v>
      </c>
      <c r="G74" s="2"/>
      <c r="M74" s="39" t="s">
        <v>277</v>
      </c>
      <c r="O74" s="2"/>
    </row>
    <row r="75" spans="1:15" x14ac:dyDescent="0.2">
      <c r="B75"/>
      <c r="C75" t="s">
        <v>276</v>
      </c>
      <c r="G75" s="2">
        <v>5300</v>
      </c>
      <c r="H75" s="2">
        <f>G75</f>
        <v>5300</v>
      </c>
      <c r="M75" t="s">
        <v>276</v>
      </c>
      <c r="O75" s="2">
        <v>5300</v>
      </c>
    </row>
    <row r="76" spans="1:15" x14ac:dyDescent="0.2">
      <c r="A76" s="38"/>
      <c r="B76" s="10"/>
      <c r="C76" t="s">
        <v>278</v>
      </c>
      <c r="G76" s="2">
        <v>2500</v>
      </c>
      <c r="H76" s="2"/>
      <c r="M76" t="s">
        <v>278</v>
      </c>
      <c r="O76" s="119">
        <f>O72-O75</f>
        <v>15703.030000000021</v>
      </c>
    </row>
    <row r="77" spans="1:15" ht="17" thickBot="1" x14ac:dyDescent="0.25">
      <c r="A77" s="40"/>
      <c r="B77" s="41"/>
      <c r="C77" s="10" t="s">
        <v>285</v>
      </c>
      <c r="E77" s="10"/>
      <c r="F77" s="10"/>
      <c r="G77" s="120">
        <f>SUM(G75:G76)</f>
        <v>7800</v>
      </c>
      <c r="H77" s="120">
        <f>SUM(H75:H76)</f>
        <v>5300</v>
      </c>
    </row>
    <row r="78" spans="1:15" ht="17" thickTop="1" x14ac:dyDescent="0.2">
      <c r="A78" s="40"/>
      <c r="B78" s="41"/>
      <c r="C78" s="119" t="s">
        <v>284</v>
      </c>
      <c r="G78" s="2"/>
    </row>
    <row r="79" spans="1:15" x14ac:dyDescent="0.2">
      <c r="A79" s="40"/>
      <c r="B79" s="41"/>
      <c r="C79" s="39"/>
    </row>
    <row r="80" spans="1:15" x14ac:dyDescent="0.2">
      <c r="A80" s="40"/>
      <c r="B80" s="41"/>
      <c r="C80" s="39"/>
    </row>
    <row r="81" spans="1:3" x14ac:dyDescent="0.2">
      <c r="A81" s="3"/>
    </row>
    <row r="82" spans="1:3" x14ac:dyDescent="0.2">
      <c r="A82" s="38"/>
    </row>
    <row r="83" spans="1:3" x14ac:dyDescent="0.2">
      <c r="A83" s="40"/>
      <c r="B83" s="3" t="s">
        <v>92</v>
      </c>
    </row>
    <row r="84" spans="1:3" x14ac:dyDescent="0.2">
      <c r="A84" s="40"/>
      <c r="B84" s="3" t="s">
        <v>280</v>
      </c>
      <c r="C84" s="2">
        <f>SUM(C35:G35)</f>
        <v>35737.69</v>
      </c>
    </row>
    <row r="85" spans="1:3" x14ac:dyDescent="0.2">
      <c r="A85" s="40"/>
      <c r="B85" s="3" t="s">
        <v>282</v>
      </c>
      <c r="C85" s="2" t="e">
        <f>#REF!</f>
        <v>#REF!</v>
      </c>
    </row>
    <row r="86" spans="1:3" x14ac:dyDescent="0.2">
      <c r="A86" s="40"/>
      <c r="B86" s="3" t="s">
        <v>283</v>
      </c>
      <c r="C86" s="2" t="e">
        <f>C84-C85</f>
        <v>#REF!</v>
      </c>
    </row>
    <row r="87" spans="1:3" x14ac:dyDescent="0.2">
      <c r="A87" s="40"/>
      <c r="B87" s="3" t="s">
        <v>281</v>
      </c>
      <c r="C87" s="2">
        <f>SUM('2024 Fixed'!C31:G31)</f>
        <v>452</v>
      </c>
    </row>
    <row r="88" spans="1:3" x14ac:dyDescent="0.2">
      <c r="A88" s="40"/>
      <c r="B88" s="3" t="s">
        <v>204</v>
      </c>
      <c r="C88" s="2" t="e">
        <f>C86-C87</f>
        <v>#REF!</v>
      </c>
    </row>
    <row r="89" spans="1:3" x14ac:dyDescent="0.2">
      <c r="C89" s="2"/>
    </row>
    <row r="90" spans="1:3" x14ac:dyDescent="0.2">
      <c r="C90" s="2"/>
    </row>
    <row r="91" spans="1:3" x14ac:dyDescent="0.2">
      <c r="C91" s="2"/>
    </row>
    <row r="92" spans="1:3" x14ac:dyDescent="0.2">
      <c r="C92" s="2"/>
    </row>
  </sheetData>
  <mergeCells count="1">
    <mergeCell ref="B2:O2"/>
  </mergeCells>
  <pageMargins left="1" right="1" top="1" bottom="1" header="0.5" footer="0.5"/>
  <pageSetup paperSize="5" scale="36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4006A-662C-4ED7-A558-FA4487C53E1D}">
  <sheetPr>
    <pageSetUpPr fitToPage="1"/>
  </sheetPr>
  <dimension ref="A1:U87"/>
  <sheetViews>
    <sheetView showGridLines="0" topLeftCell="A13" zoomScale="85" zoomScaleNormal="85" zoomScalePageLayoutView="85" workbookViewId="0">
      <selection activeCell="E27" sqref="E27"/>
    </sheetView>
  </sheetViews>
  <sheetFormatPr baseColWidth="10" defaultColWidth="11" defaultRowHeight="16" x14ac:dyDescent="0.2"/>
  <cols>
    <col min="1" max="1" width="1.6640625" customWidth="1"/>
    <col min="2" max="2" width="28" style="3" customWidth="1"/>
    <col min="3" max="3" width="11.83203125" customWidth="1"/>
    <col min="4" max="13" width="11" customWidth="1"/>
    <col min="14" max="14" width="12.6640625" customWidth="1"/>
    <col min="15" max="15" width="11" customWidth="1"/>
    <col min="16" max="16" width="10.6640625" customWidth="1"/>
    <col min="17" max="17" width="9.6640625" customWidth="1"/>
    <col min="18" max="18" width="8.33203125" customWidth="1"/>
  </cols>
  <sheetData>
    <row r="1" spans="2:19" ht="8" customHeight="1" x14ac:dyDescent="0.2"/>
    <row r="2" spans="2:19" ht="21" customHeight="1" x14ac:dyDescent="0.2">
      <c r="B2" s="236" t="s">
        <v>221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8"/>
      <c r="P2" t="s">
        <v>224</v>
      </c>
      <c r="R2" s="7"/>
    </row>
    <row r="3" spans="2:19" ht="18.75" customHeight="1" x14ac:dyDescent="0.2">
      <c r="B3" s="3" t="s">
        <v>219</v>
      </c>
      <c r="E3">
        <v>154</v>
      </c>
      <c r="F3">
        <v>171</v>
      </c>
      <c r="G3">
        <v>178</v>
      </c>
      <c r="H3">
        <v>180</v>
      </c>
      <c r="I3">
        <v>180</v>
      </c>
      <c r="P3">
        <v>6</v>
      </c>
    </row>
    <row r="4" spans="2:19" x14ac:dyDescent="0.2">
      <c r="B4" s="5" t="s">
        <v>34</v>
      </c>
      <c r="C4" s="109" t="s">
        <v>0</v>
      </c>
      <c r="D4" s="109" t="s">
        <v>1</v>
      </c>
      <c r="E4" s="109" t="s">
        <v>2</v>
      </c>
      <c r="F4" s="109" t="s">
        <v>3</v>
      </c>
      <c r="G4" s="109" t="s">
        <v>4</v>
      </c>
      <c r="H4" s="109" t="s">
        <v>36</v>
      </c>
      <c r="I4" s="109" t="s">
        <v>37</v>
      </c>
      <c r="J4" s="109" t="s">
        <v>5</v>
      </c>
      <c r="K4" s="109" t="s">
        <v>6</v>
      </c>
      <c r="L4" s="109" t="s">
        <v>7</v>
      </c>
      <c r="M4" s="109" t="s">
        <v>8</v>
      </c>
      <c r="N4" s="5" t="s">
        <v>9</v>
      </c>
      <c r="O4" s="5" t="s">
        <v>39</v>
      </c>
      <c r="P4" s="40" t="s">
        <v>183</v>
      </c>
      <c r="S4" s="3" t="s">
        <v>175</v>
      </c>
    </row>
    <row r="5" spans="2:19" x14ac:dyDescent="0.2">
      <c r="B5" s="11" t="s">
        <v>220</v>
      </c>
      <c r="C5" s="104">
        <v>1640</v>
      </c>
      <c r="D5" s="104">
        <f>440*70</f>
        <v>30800</v>
      </c>
      <c r="E5" s="104">
        <v>38055</v>
      </c>
      <c r="F5" s="104">
        <v>6612</v>
      </c>
      <c r="G5" s="104">
        <f>4265-58</f>
        <v>4207</v>
      </c>
      <c r="H5" s="104">
        <v>880</v>
      </c>
      <c r="I5" s="104">
        <v>342</v>
      </c>
      <c r="J5" s="104">
        <v>0</v>
      </c>
      <c r="K5" s="104">
        <v>0</v>
      </c>
      <c r="L5" s="104">
        <v>40</v>
      </c>
      <c r="M5" s="104">
        <v>0</v>
      </c>
      <c r="N5" s="13">
        <v>500.5</v>
      </c>
      <c r="O5" s="14">
        <f>SUM(C5:N5)</f>
        <v>83076.5</v>
      </c>
      <c r="P5" s="95">
        <f>180*440</f>
        <v>79200</v>
      </c>
      <c r="Q5" t="s">
        <v>174</v>
      </c>
      <c r="S5" s="95">
        <f>440*186</f>
        <v>81840</v>
      </c>
    </row>
    <row r="6" spans="2:19" x14ac:dyDescent="0.2">
      <c r="B6" s="11" t="s">
        <v>303</v>
      </c>
      <c r="C6" s="104">
        <v>0</v>
      </c>
      <c r="D6" s="104">
        <v>0</v>
      </c>
      <c r="E6" s="104">
        <v>0</v>
      </c>
      <c r="F6" s="104">
        <v>0</v>
      </c>
      <c r="G6" s="104">
        <v>0</v>
      </c>
      <c r="H6" s="104">
        <v>0</v>
      </c>
      <c r="I6" s="104">
        <v>0</v>
      </c>
      <c r="J6" s="104"/>
      <c r="K6" s="104"/>
      <c r="L6" s="104"/>
      <c r="M6" s="104"/>
      <c r="N6" s="13"/>
      <c r="O6" s="14">
        <f t="shared" ref="O6:O7" si="0">SUM(C6:N6)</f>
        <v>0</v>
      </c>
      <c r="P6" s="99"/>
    </row>
    <row r="7" spans="2:19" x14ac:dyDescent="0.2">
      <c r="B7" s="11" t="s">
        <v>167</v>
      </c>
      <c r="C7" s="104">
        <v>300</v>
      </c>
      <c r="D7" s="104">
        <v>150</v>
      </c>
      <c r="E7" s="104">
        <v>0</v>
      </c>
      <c r="F7" s="104">
        <v>150</v>
      </c>
      <c r="G7" s="104">
        <v>150</v>
      </c>
      <c r="H7" s="104">
        <v>0</v>
      </c>
      <c r="I7" s="104">
        <v>0</v>
      </c>
      <c r="J7" s="104">
        <v>0</v>
      </c>
      <c r="K7" s="104">
        <v>0</v>
      </c>
      <c r="L7" s="104">
        <v>0</v>
      </c>
      <c r="M7" s="104">
        <v>0</v>
      </c>
      <c r="N7" s="13">
        <v>150</v>
      </c>
      <c r="O7" s="14">
        <f t="shared" si="0"/>
        <v>900</v>
      </c>
      <c r="S7" s="95"/>
    </row>
    <row r="8" spans="2:19" x14ac:dyDescent="0.2">
      <c r="B8" s="12" t="s">
        <v>39</v>
      </c>
      <c r="C8" s="135">
        <f>SUM(C5:C7)</f>
        <v>1940</v>
      </c>
      <c r="D8" s="135">
        <f t="shared" ref="D8:O8" si="1">SUM(D5:D7)</f>
        <v>30950</v>
      </c>
      <c r="E8" s="135">
        <f t="shared" si="1"/>
        <v>38055</v>
      </c>
      <c r="F8" s="135">
        <f t="shared" si="1"/>
        <v>6762</v>
      </c>
      <c r="G8" s="135">
        <f t="shared" si="1"/>
        <v>4357</v>
      </c>
      <c r="H8" s="135">
        <f t="shared" si="1"/>
        <v>880</v>
      </c>
      <c r="I8" s="135">
        <f t="shared" si="1"/>
        <v>342</v>
      </c>
      <c r="J8" s="135">
        <f t="shared" si="1"/>
        <v>0</v>
      </c>
      <c r="K8" s="135">
        <f t="shared" si="1"/>
        <v>0</v>
      </c>
      <c r="L8" s="135">
        <f t="shared" si="1"/>
        <v>40</v>
      </c>
      <c r="M8" s="135">
        <f t="shared" si="1"/>
        <v>0</v>
      </c>
      <c r="N8" s="136">
        <f t="shared" si="1"/>
        <v>650.5</v>
      </c>
      <c r="O8" s="136">
        <f t="shared" si="1"/>
        <v>83976.5</v>
      </c>
      <c r="R8" s="9"/>
    </row>
    <row r="9" spans="2:19" x14ac:dyDescent="0.2">
      <c r="B9" s="38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39"/>
      <c r="O9" s="39"/>
      <c r="Q9" s="2">
        <f>O5-60.5</f>
        <v>83016</v>
      </c>
      <c r="R9" s="9"/>
    </row>
    <row r="10" spans="2:19" x14ac:dyDescent="0.2">
      <c r="B10" s="4" t="s">
        <v>92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</row>
    <row r="11" spans="2:19" x14ac:dyDescent="0.2">
      <c r="B11" s="11" t="s">
        <v>79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3"/>
      <c r="O11" s="14">
        <f t="shared" ref="O11:O31" si="2">SUM(C11:N11)</f>
        <v>0</v>
      </c>
    </row>
    <row r="12" spans="2:19" x14ac:dyDescent="0.2">
      <c r="B12" s="11" t="s">
        <v>12</v>
      </c>
      <c r="C12" s="104">
        <v>149.71</v>
      </c>
      <c r="D12" s="104">
        <v>85.24</v>
      </c>
      <c r="E12" s="104">
        <f>172.92+182.3</f>
        <v>355.22</v>
      </c>
      <c r="F12" s="104">
        <v>-172.92</v>
      </c>
      <c r="G12" s="104">
        <v>85.25</v>
      </c>
      <c r="H12" s="104">
        <v>85.25</v>
      </c>
      <c r="I12" s="104">
        <v>85.25</v>
      </c>
      <c r="J12" s="104">
        <v>85.2</v>
      </c>
      <c r="K12" s="104">
        <v>85.2</v>
      </c>
      <c r="L12" s="104">
        <v>85.2</v>
      </c>
      <c r="M12" s="104">
        <v>86.06</v>
      </c>
      <c r="N12" s="13">
        <v>86.06</v>
      </c>
      <c r="O12" s="14">
        <f t="shared" si="2"/>
        <v>1100.7200000000003</v>
      </c>
    </row>
    <row r="13" spans="2:19" x14ac:dyDescent="0.2">
      <c r="B13" s="11" t="s">
        <v>82</v>
      </c>
      <c r="C13" s="104"/>
      <c r="D13" s="104"/>
      <c r="E13" s="104"/>
      <c r="F13" s="104">
        <v>926</v>
      </c>
      <c r="G13" s="104">
        <v>1269</v>
      </c>
      <c r="H13" s="104"/>
      <c r="I13" s="104"/>
      <c r="J13" s="104"/>
      <c r="K13" s="104"/>
      <c r="L13" s="104"/>
      <c r="M13" s="104"/>
      <c r="N13" s="13"/>
      <c r="O13" s="14">
        <f t="shared" si="2"/>
        <v>2195</v>
      </c>
    </row>
    <row r="14" spans="2:19" x14ac:dyDescent="0.2">
      <c r="B14" s="11" t="s">
        <v>165</v>
      </c>
      <c r="C14" s="104"/>
      <c r="D14" s="104">
        <v>976.5</v>
      </c>
      <c r="E14" s="104"/>
      <c r="F14" s="104"/>
      <c r="G14" s="104"/>
      <c r="H14" s="104"/>
      <c r="I14" s="104"/>
      <c r="J14" s="104"/>
      <c r="K14" s="104"/>
      <c r="L14" s="104"/>
      <c r="M14" s="104"/>
      <c r="N14" s="13"/>
      <c r="O14" s="14">
        <f t="shared" si="2"/>
        <v>976.5</v>
      </c>
      <c r="R14" s="8"/>
      <c r="S14" s="28">
        <f>(R5-R6)*R12</f>
        <v>0</v>
      </c>
    </row>
    <row r="15" spans="2:19" x14ac:dyDescent="0.2">
      <c r="B15" s="11" t="s">
        <v>180</v>
      </c>
      <c r="C15" s="104">
        <f>68.18+88.75</f>
        <v>156.93</v>
      </c>
      <c r="D15" s="104"/>
      <c r="E15" s="104">
        <f>75.25+81.5</f>
        <v>156.75</v>
      </c>
      <c r="F15" s="104"/>
      <c r="G15" s="104">
        <v>160.33000000000001</v>
      </c>
      <c r="H15" s="104">
        <v>87.77</v>
      </c>
      <c r="I15" s="104">
        <v>210.01</v>
      </c>
      <c r="J15" s="104"/>
      <c r="K15" s="104"/>
      <c r="L15" s="104">
        <f>83.99+89.61</f>
        <v>173.6</v>
      </c>
      <c r="M15" s="104"/>
      <c r="N15" s="13">
        <f>101.95+123.37+78.12</f>
        <v>303.44</v>
      </c>
      <c r="O15" s="14">
        <f t="shared" si="2"/>
        <v>1248.83</v>
      </c>
      <c r="P15" t="s">
        <v>207</v>
      </c>
    </row>
    <row r="16" spans="2:19" x14ac:dyDescent="0.2">
      <c r="B16" s="11" t="s">
        <v>279</v>
      </c>
      <c r="C16" s="104">
        <v>0</v>
      </c>
      <c r="D16" s="104">
        <v>5736.66</v>
      </c>
      <c r="E16" s="104">
        <v>45</v>
      </c>
      <c r="F16" s="104">
        <v>3701.11</v>
      </c>
      <c r="G16" s="104">
        <f>7402.2+7402.2</f>
        <v>14804.4</v>
      </c>
      <c r="H16" s="104">
        <f>7402.2</f>
        <v>7402.2</v>
      </c>
      <c r="I16" s="104">
        <f>3701.11+297.18</f>
        <v>3998.29</v>
      </c>
      <c r="J16" s="104">
        <v>2380.1999999999998</v>
      </c>
      <c r="K16" s="29"/>
      <c r="L16" s="104">
        <v>267.51</v>
      </c>
      <c r="M16" s="104"/>
      <c r="N16" s="13"/>
      <c r="O16" s="14">
        <f t="shared" si="2"/>
        <v>38335.369999999995</v>
      </c>
      <c r="P16" s="96">
        <v>36500</v>
      </c>
      <c r="Q16" s="41" t="s">
        <v>176</v>
      </c>
      <c r="R16" s="27">
        <f>-O16/'2022'!Q16</f>
        <v>1.3786150761170863</v>
      </c>
      <c r="S16" t="s">
        <v>210</v>
      </c>
    </row>
    <row r="17" spans="2:19" x14ac:dyDescent="0.2">
      <c r="B17" s="11" t="s">
        <v>226</v>
      </c>
      <c r="C17" s="104"/>
      <c r="D17" s="104"/>
      <c r="E17" s="104"/>
      <c r="F17" s="104"/>
      <c r="G17" s="29"/>
      <c r="H17" s="104">
        <f>2648.93</f>
        <v>2648.93</v>
      </c>
      <c r="I17" s="104">
        <f>583.1+209.04</f>
        <v>792.14</v>
      </c>
      <c r="J17" s="104"/>
      <c r="K17" s="104"/>
      <c r="L17" s="104"/>
      <c r="M17" s="104"/>
      <c r="N17" s="13"/>
      <c r="O17" s="14">
        <f t="shared" si="2"/>
        <v>3441.0699999999997</v>
      </c>
      <c r="P17" s="96" t="s">
        <v>181</v>
      </c>
      <c r="R17" s="27"/>
    </row>
    <row r="18" spans="2:19" x14ac:dyDescent="0.2">
      <c r="B18" s="11" t="s">
        <v>179</v>
      </c>
      <c r="C18" s="104"/>
      <c r="D18" s="104"/>
      <c r="E18" s="104"/>
      <c r="F18" s="104"/>
      <c r="G18" s="104"/>
      <c r="H18" s="104">
        <f>190+29.31</f>
        <v>219.31</v>
      </c>
      <c r="I18" s="104"/>
      <c r="J18" s="104">
        <v>233.77</v>
      </c>
      <c r="K18" s="104"/>
      <c r="L18" s="104">
        <v>-1751.8</v>
      </c>
      <c r="M18" s="104">
        <v>4337</v>
      </c>
      <c r="N18" s="13"/>
      <c r="O18" s="14">
        <f t="shared" si="2"/>
        <v>3038.28</v>
      </c>
      <c r="P18" s="96" t="s">
        <v>182</v>
      </c>
      <c r="Q18" s="41"/>
    </row>
    <row r="19" spans="2:19" x14ac:dyDescent="0.2">
      <c r="B19" s="11" t="s">
        <v>15</v>
      </c>
      <c r="C19" s="104">
        <f>22.2+22.44+27.99+28.24+111.5+245.25+306.61+322.97</f>
        <v>1087.2</v>
      </c>
      <c r="D19" s="104">
        <v>1012.6</v>
      </c>
      <c r="E19" s="104">
        <f>245.37+21.92+22.32+27.99+28.13+111.56+297.05+323.14</f>
        <v>1077.48</v>
      </c>
      <c r="F19" s="104">
        <v>1065.08</v>
      </c>
      <c r="G19" s="104">
        <v>1048.6500000000001</v>
      </c>
      <c r="H19" s="104">
        <v>1000.75</v>
      </c>
      <c r="I19" s="104">
        <v>1077.1300000000001</v>
      </c>
      <c r="J19" s="104">
        <v>1307.55</v>
      </c>
      <c r="K19" s="104">
        <v>793.06</v>
      </c>
      <c r="L19" s="104">
        <v>1071.94</v>
      </c>
      <c r="M19" s="104">
        <v>1125.8599999999999</v>
      </c>
      <c r="N19" s="13">
        <f>22.78+281.89+25.04+346.82+26.62+22.18+118.84+263.6</f>
        <v>1107.77</v>
      </c>
      <c r="O19" s="14">
        <f t="shared" si="2"/>
        <v>12775.070000000002</v>
      </c>
      <c r="P19" s="96">
        <f>12000*1.1</f>
        <v>13200.000000000002</v>
      </c>
      <c r="Q19" s="43" t="s">
        <v>184</v>
      </c>
    </row>
    <row r="20" spans="2:19" x14ac:dyDescent="0.2">
      <c r="B20" s="11" t="s">
        <v>294</v>
      </c>
      <c r="C20" s="104">
        <v>1400</v>
      </c>
      <c r="D20" s="104">
        <v>1400</v>
      </c>
      <c r="E20" s="104">
        <v>1400</v>
      </c>
      <c r="F20" s="104">
        <v>1400</v>
      </c>
      <c r="G20" s="104">
        <v>1400</v>
      </c>
      <c r="H20" s="104"/>
      <c r="I20" s="104">
        <v>1400</v>
      </c>
      <c r="J20" s="104">
        <v>1400</v>
      </c>
      <c r="K20" s="104">
        <v>1800</v>
      </c>
      <c r="L20" s="104">
        <v>1400</v>
      </c>
      <c r="M20" s="104"/>
      <c r="N20" s="13">
        <f>2400+1400</f>
        <v>3800</v>
      </c>
      <c r="O20" s="14">
        <f>SUM(C20:N20)</f>
        <v>16800</v>
      </c>
      <c r="P20" s="96">
        <f>20000*1.1</f>
        <v>22000</v>
      </c>
      <c r="Q20" s="43" t="s">
        <v>184</v>
      </c>
    </row>
    <row r="21" spans="2:19" x14ac:dyDescent="0.2">
      <c r="B21" s="11" t="s">
        <v>16</v>
      </c>
      <c r="C21" s="104"/>
      <c r="D21" s="104"/>
      <c r="E21" s="104"/>
      <c r="F21" s="104"/>
      <c r="G21" s="104"/>
      <c r="H21" s="104"/>
      <c r="I21" s="104"/>
      <c r="J21" s="104">
        <v>64.2</v>
      </c>
      <c r="K21" s="104"/>
      <c r="L21" s="104"/>
      <c r="M21" s="104"/>
      <c r="N21" s="13"/>
      <c r="O21" s="14">
        <f t="shared" si="2"/>
        <v>64.2</v>
      </c>
      <c r="P21" s="96"/>
    </row>
    <row r="22" spans="2:19" x14ac:dyDescent="0.2">
      <c r="B22" s="11" t="s">
        <v>20</v>
      </c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3"/>
      <c r="O22" s="14">
        <f t="shared" si="2"/>
        <v>0</v>
      </c>
      <c r="P22" s="125"/>
      <c r="Q22" s="3"/>
      <c r="R22" s="3"/>
      <c r="S22" s="3"/>
    </row>
    <row r="23" spans="2:19" x14ac:dyDescent="0.2">
      <c r="B23" s="11" t="s">
        <v>83</v>
      </c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3"/>
      <c r="O23" s="14">
        <f t="shared" si="2"/>
        <v>0</v>
      </c>
      <c r="P23" s="105"/>
      <c r="Q23" s="114"/>
      <c r="R23" s="106"/>
      <c r="S23" s="2"/>
    </row>
    <row r="24" spans="2:19" x14ac:dyDescent="0.2">
      <c r="B24" s="11" t="s">
        <v>86</v>
      </c>
      <c r="C24" s="104"/>
      <c r="D24" s="104"/>
      <c r="E24" s="104"/>
      <c r="F24" s="104"/>
      <c r="G24" s="104"/>
      <c r="H24" s="104"/>
      <c r="I24" s="104"/>
      <c r="J24" s="104">
        <v>214</v>
      </c>
      <c r="K24" s="104"/>
      <c r="L24" s="104"/>
      <c r="M24" s="104"/>
      <c r="N24" s="13"/>
      <c r="O24" s="14">
        <f t="shared" si="2"/>
        <v>214</v>
      </c>
      <c r="P24" s="105"/>
      <c r="Q24" s="114"/>
      <c r="R24" s="106"/>
      <c r="S24" s="2"/>
    </row>
    <row r="25" spans="2:19" x14ac:dyDescent="0.2">
      <c r="B25" s="11" t="s">
        <v>287</v>
      </c>
      <c r="C25" s="104"/>
      <c r="D25" s="104"/>
      <c r="E25" s="104"/>
      <c r="F25" s="104"/>
      <c r="G25" s="104"/>
      <c r="H25" s="104">
        <v>25.2</v>
      </c>
      <c r="I25" s="104"/>
      <c r="J25" s="104"/>
      <c r="K25" s="104"/>
      <c r="L25" s="138">
        <v>210</v>
      </c>
      <c r="M25" s="104"/>
      <c r="N25" s="13"/>
      <c r="O25" s="14">
        <f t="shared" si="2"/>
        <v>235.2</v>
      </c>
      <c r="P25" s="105"/>
      <c r="Q25" s="114"/>
      <c r="R25" s="106"/>
      <c r="S25" s="2"/>
    </row>
    <row r="26" spans="2:19" x14ac:dyDescent="0.2">
      <c r="B26" s="11" t="s">
        <v>301</v>
      </c>
      <c r="C26" s="104"/>
      <c r="D26" s="104"/>
      <c r="E26" s="104"/>
      <c r="F26" s="104"/>
      <c r="G26" s="104"/>
      <c r="H26" s="104"/>
      <c r="I26" s="104"/>
      <c r="J26" s="104">
        <v>100</v>
      </c>
      <c r="K26" s="104"/>
      <c r="L26" s="138"/>
      <c r="M26" s="104"/>
      <c r="N26" s="13"/>
      <c r="O26" s="14">
        <f t="shared" si="2"/>
        <v>100</v>
      </c>
      <c r="P26" s="105"/>
      <c r="Q26" s="114"/>
      <c r="R26" s="106"/>
      <c r="S26" s="2"/>
    </row>
    <row r="27" spans="2:19" x14ac:dyDescent="0.2">
      <c r="B27" s="11" t="s">
        <v>24</v>
      </c>
      <c r="C27" s="104"/>
      <c r="D27" s="104"/>
      <c r="E27" s="104">
        <v>175</v>
      </c>
      <c r="F27" s="104"/>
      <c r="G27" s="104"/>
      <c r="H27" s="104"/>
      <c r="I27" s="104"/>
      <c r="J27" s="104"/>
      <c r="K27" s="104"/>
      <c r="L27" s="138"/>
      <c r="M27" s="104"/>
      <c r="N27" s="13"/>
      <c r="O27" s="14">
        <f t="shared" si="2"/>
        <v>175</v>
      </c>
      <c r="P27" s="105"/>
      <c r="Q27" s="114"/>
      <c r="R27" s="106"/>
      <c r="S27" s="2"/>
    </row>
    <row r="28" spans="2:19" x14ac:dyDescent="0.2">
      <c r="B28" s="11" t="s">
        <v>225</v>
      </c>
      <c r="C28" s="104"/>
      <c r="D28" s="104"/>
      <c r="E28" s="104"/>
      <c r="F28" s="104">
        <v>115</v>
      </c>
      <c r="G28" s="104">
        <v>115</v>
      </c>
      <c r="H28" s="104">
        <v>230</v>
      </c>
      <c r="I28" s="104"/>
      <c r="J28" s="104">
        <v>115</v>
      </c>
      <c r="K28" s="104">
        <v>115</v>
      </c>
      <c r="L28" s="138">
        <v>115.5</v>
      </c>
      <c r="M28" s="104"/>
      <c r="N28" s="13"/>
      <c r="O28" s="14">
        <f t="shared" si="2"/>
        <v>805.5</v>
      </c>
      <c r="P28" s="105"/>
      <c r="Q28" s="114"/>
      <c r="R28" s="106"/>
      <c r="S28" s="2"/>
    </row>
    <row r="29" spans="2:19" x14ac:dyDescent="0.2">
      <c r="B29" s="11" t="s">
        <v>14</v>
      </c>
      <c r="C29" s="104">
        <f>143.88+20.17</f>
        <v>164.05</v>
      </c>
      <c r="D29" s="104"/>
      <c r="E29" s="104"/>
      <c r="F29" s="104"/>
      <c r="G29" s="104">
        <v>119.88</v>
      </c>
      <c r="H29" s="104"/>
      <c r="I29" s="104"/>
      <c r="J29" s="104"/>
      <c r="K29" s="104"/>
      <c r="L29" s="138"/>
      <c r="M29" s="104"/>
      <c r="N29" s="13"/>
      <c r="O29" s="14">
        <f t="shared" si="2"/>
        <v>283.93</v>
      </c>
      <c r="P29" s="105"/>
      <c r="Q29" s="114"/>
      <c r="R29" s="106"/>
      <c r="S29" s="2"/>
    </row>
    <row r="30" spans="2:19" x14ac:dyDescent="0.2">
      <c r="B30" s="11" t="s">
        <v>164</v>
      </c>
      <c r="C30" s="104">
        <f>53.51</f>
        <v>53.51</v>
      </c>
      <c r="D30" s="104"/>
      <c r="E30" s="104">
        <v>5</v>
      </c>
      <c r="F30" s="104"/>
      <c r="G30" s="104"/>
      <c r="H30" s="104"/>
      <c r="I30" s="104">
        <f>2200+87</f>
        <v>2287</v>
      </c>
      <c r="J30" s="104">
        <f>345.5+95</f>
        <v>440.5</v>
      </c>
      <c r="K30" s="104">
        <v>360</v>
      </c>
      <c r="L30" s="104"/>
      <c r="M30" s="104">
        <v>938</v>
      </c>
      <c r="N30" s="13"/>
      <c r="O30" s="14">
        <f t="shared" si="2"/>
        <v>4084.01</v>
      </c>
      <c r="P30" s="105"/>
      <c r="Q30" s="114"/>
      <c r="R30" s="106"/>
      <c r="S30" s="2"/>
    </row>
    <row r="31" spans="2:19" x14ac:dyDescent="0.2">
      <c r="B31" s="11" t="s">
        <v>218</v>
      </c>
      <c r="C31" s="104"/>
      <c r="D31" s="104"/>
      <c r="E31" s="104">
        <v>452</v>
      </c>
      <c r="F31" s="104"/>
      <c r="G31" s="104"/>
      <c r="H31" s="104"/>
      <c r="I31" s="104"/>
      <c r="J31" s="104"/>
      <c r="K31" s="104"/>
      <c r="L31" s="104"/>
      <c r="M31" s="104"/>
      <c r="N31" s="13"/>
      <c r="O31" s="14">
        <f t="shared" si="2"/>
        <v>452</v>
      </c>
      <c r="P31" s="105"/>
      <c r="R31" s="106"/>
      <c r="S31" s="2"/>
    </row>
    <row r="32" spans="2:19" x14ac:dyDescent="0.2">
      <c r="B32" s="12" t="s">
        <v>95</v>
      </c>
      <c r="C32" s="127">
        <f>SUM(C11:C30)</f>
        <v>3011.4000000000005</v>
      </c>
      <c r="D32" s="127">
        <f t="shared" ref="D32" si="3">SUM(D11:D30)</f>
        <v>9211</v>
      </c>
      <c r="E32" s="127">
        <f>SUM(E11:E31)</f>
        <v>3666.45</v>
      </c>
      <c r="F32" s="127">
        <f t="shared" ref="F32:O32" si="4">SUM(F11:F31)</f>
        <v>7034.27</v>
      </c>
      <c r="G32" s="127">
        <f t="shared" si="4"/>
        <v>19002.510000000002</v>
      </c>
      <c r="H32" s="127">
        <f t="shared" si="4"/>
        <v>11699.41</v>
      </c>
      <c r="I32" s="127">
        <f t="shared" si="4"/>
        <v>9849.82</v>
      </c>
      <c r="J32" s="127">
        <f t="shared" si="4"/>
        <v>6340.4199999999992</v>
      </c>
      <c r="K32" s="127">
        <f t="shared" si="4"/>
        <v>3153.26</v>
      </c>
      <c r="L32" s="127">
        <f t="shared" si="4"/>
        <v>1571.95</v>
      </c>
      <c r="M32" s="127">
        <f t="shared" si="4"/>
        <v>6486.92</v>
      </c>
      <c r="N32" s="128">
        <f t="shared" si="4"/>
        <v>5297.27</v>
      </c>
      <c r="O32" s="128">
        <f t="shared" si="4"/>
        <v>86324.679999999978</v>
      </c>
      <c r="P32" s="105"/>
      <c r="R32" s="106"/>
      <c r="S32" s="2"/>
    </row>
    <row r="33" spans="1:21" x14ac:dyDescent="0.2">
      <c r="B33" s="12" t="s">
        <v>171</v>
      </c>
      <c r="C33" s="135">
        <f t="shared" ref="C33:N33" si="5">C8-C32</f>
        <v>-1071.4000000000005</v>
      </c>
      <c r="D33" s="135">
        <f t="shared" si="5"/>
        <v>21739</v>
      </c>
      <c r="E33" s="135">
        <f t="shared" si="5"/>
        <v>34388.550000000003</v>
      </c>
      <c r="F33" s="135">
        <f t="shared" si="5"/>
        <v>-272.27000000000044</v>
      </c>
      <c r="G33" s="135">
        <f t="shared" si="5"/>
        <v>-14645.510000000002</v>
      </c>
      <c r="H33" s="135">
        <f t="shared" si="5"/>
        <v>-10819.41</v>
      </c>
      <c r="I33" s="135">
        <f t="shared" si="5"/>
        <v>-9507.82</v>
      </c>
      <c r="J33" s="135">
        <f t="shared" si="5"/>
        <v>-6340.4199999999992</v>
      </c>
      <c r="K33" s="135">
        <f t="shared" si="5"/>
        <v>-3153.26</v>
      </c>
      <c r="L33" s="135">
        <f t="shared" si="5"/>
        <v>-1531.95</v>
      </c>
      <c r="M33" s="135">
        <f t="shared" si="5"/>
        <v>-6486.92</v>
      </c>
      <c r="N33" s="136">
        <f t="shared" si="5"/>
        <v>-4646.7700000000004</v>
      </c>
      <c r="O33" s="136">
        <f>SUM(C33:N33)</f>
        <v>-2348.1799999999967</v>
      </c>
      <c r="P33" s="96"/>
      <c r="Q33" s="2"/>
      <c r="S33" s="2"/>
    </row>
    <row r="34" spans="1:21" x14ac:dyDescent="0.2">
      <c r="B34" s="12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4"/>
      <c r="O34" s="39"/>
      <c r="P34" s="93"/>
    </row>
    <row r="35" spans="1:21" x14ac:dyDescent="0.2">
      <c r="B35" s="97" t="s">
        <v>173</v>
      </c>
      <c r="C35" s="135">
        <f>(B37+C8)-C32</f>
        <v>26690.55</v>
      </c>
      <c r="D35" s="135">
        <f>C35+D33</f>
        <v>48429.55</v>
      </c>
      <c r="E35" s="135">
        <f t="shared" ref="E35:N35" si="6">D35+E33</f>
        <v>82818.100000000006</v>
      </c>
      <c r="F35" s="135">
        <f t="shared" si="6"/>
        <v>82545.83</v>
      </c>
      <c r="G35" s="135">
        <f t="shared" si="6"/>
        <v>67900.320000000007</v>
      </c>
      <c r="H35" s="135">
        <f t="shared" si="6"/>
        <v>57080.91</v>
      </c>
      <c r="I35" s="135">
        <f t="shared" si="6"/>
        <v>47573.090000000004</v>
      </c>
      <c r="J35" s="135">
        <f t="shared" si="6"/>
        <v>41232.670000000006</v>
      </c>
      <c r="K35" s="135">
        <f t="shared" si="6"/>
        <v>38079.410000000003</v>
      </c>
      <c r="L35" s="135">
        <f t="shared" si="6"/>
        <v>36547.460000000006</v>
      </c>
      <c r="M35" s="135">
        <f t="shared" si="6"/>
        <v>30060.540000000008</v>
      </c>
      <c r="N35" s="136">
        <f t="shared" si="6"/>
        <v>25413.770000000008</v>
      </c>
    </row>
    <row r="36" spans="1:21" x14ac:dyDescent="0.2">
      <c r="B36" s="93" t="s">
        <v>304</v>
      </c>
      <c r="C36" s="112"/>
      <c r="D36" s="29"/>
      <c r="E36" s="29"/>
      <c r="F36" s="29"/>
      <c r="G36" s="29"/>
      <c r="H36" s="29"/>
      <c r="I36" s="29"/>
      <c r="J36" s="29"/>
      <c r="K36" s="29"/>
      <c r="L36" s="29"/>
      <c r="M36" s="29"/>
      <c r="O36" s="2"/>
    </row>
    <row r="37" spans="1:21" x14ac:dyDescent="0.2">
      <c r="B37" s="13">
        <f>'2022'!P34</f>
        <v>27761.95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O37" s="2"/>
    </row>
    <row r="38" spans="1:21" ht="16.5" hidden="1" customHeight="1" x14ac:dyDescent="0.2">
      <c r="B38" s="3" t="s">
        <v>197</v>
      </c>
      <c r="C38" s="112">
        <v>1453.51</v>
      </c>
      <c r="D38" s="112">
        <v>7136.66</v>
      </c>
      <c r="E38" s="112">
        <v>1620</v>
      </c>
      <c r="F38" s="112">
        <v>6027.11</v>
      </c>
      <c r="G38" s="112"/>
      <c r="H38" s="112"/>
      <c r="I38" s="112"/>
      <c r="J38" s="112"/>
      <c r="K38" s="112"/>
      <c r="L38" s="112"/>
      <c r="M38" s="112"/>
      <c r="N38" s="99"/>
      <c r="O38" s="2"/>
    </row>
    <row r="39" spans="1:21" hidden="1" x14ac:dyDescent="0.2">
      <c r="B39" s="3" t="s">
        <v>198</v>
      </c>
      <c r="C39" s="112">
        <v>1557.89</v>
      </c>
      <c r="D39" s="112">
        <v>2074.34</v>
      </c>
      <c r="E39" s="112">
        <v>2046.45</v>
      </c>
      <c r="F39" s="112">
        <v>1180.08</v>
      </c>
      <c r="G39" s="112"/>
      <c r="H39" s="112"/>
      <c r="I39" s="112"/>
      <c r="J39" s="112"/>
      <c r="K39" s="112"/>
      <c r="L39" s="112"/>
      <c r="M39" s="112"/>
      <c r="N39" s="99"/>
      <c r="P39" s="2"/>
    </row>
    <row r="40" spans="1:21" hidden="1" x14ac:dyDescent="0.2">
      <c r="B40" s="3" t="s">
        <v>199</v>
      </c>
      <c r="C40" s="112">
        <f>SUM(C38:C39)</f>
        <v>3011.4</v>
      </c>
      <c r="D40" s="112">
        <f>SUM(D38:D39)</f>
        <v>9211</v>
      </c>
      <c r="E40" s="112">
        <f>SUM(E38:E39)</f>
        <v>3666.45</v>
      </c>
      <c r="F40" s="112">
        <f>SUM(F38:F39)</f>
        <v>7207.19</v>
      </c>
      <c r="G40" s="112"/>
      <c r="H40" s="112"/>
      <c r="I40" s="112"/>
      <c r="J40" s="112"/>
      <c r="K40" s="112"/>
      <c r="L40" s="112"/>
      <c r="M40" s="112"/>
      <c r="N40" s="99"/>
    </row>
    <row r="41" spans="1:21" hidden="1" x14ac:dyDescent="0.2"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</row>
    <row r="42" spans="1:21" x14ac:dyDescent="0.2">
      <c r="B42" s="3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</row>
    <row r="43" spans="1:21" x14ac:dyDescent="0.2">
      <c r="C43" s="109" t="s">
        <v>0</v>
      </c>
      <c r="D43" s="109" t="s">
        <v>1</v>
      </c>
      <c r="E43" s="109" t="s">
        <v>2</v>
      </c>
      <c r="F43" s="109" t="s">
        <v>3</v>
      </c>
      <c r="G43" s="109" t="s">
        <v>4</v>
      </c>
      <c r="H43" s="109" t="s">
        <v>36</v>
      </c>
      <c r="I43" s="109" t="s">
        <v>37</v>
      </c>
      <c r="J43" s="109" t="s">
        <v>5</v>
      </c>
      <c r="K43" s="109" t="s">
        <v>6</v>
      </c>
      <c r="L43" s="109" t="s">
        <v>7</v>
      </c>
      <c r="M43" s="109" t="s">
        <v>8</v>
      </c>
      <c r="N43" s="5" t="s">
        <v>9</v>
      </c>
      <c r="O43" s="5" t="s">
        <v>39</v>
      </c>
    </row>
    <row r="44" spans="1:21" x14ac:dyDescent="0.2">
      <c r="B44" s="12" t="s">
        <v>203</v>
      </c>
      <c r="C44" s="127">
        <f>'2023 fixed'!C32</f>
        <v>-1274</v>
      </c>
      <c r="D44" s="127">
        <f>'2023 fixed'!D32</f>
        <v>25185</v>
      </c>
      <c r="E44" s="127">
        <f>'2023 fixed'!E32</f>
        <v>24620</v>
      </c>
      <c r="F44" s="127">
        <f>'2023 fixed'!F32</f>
        <v>210</v>
      </c>
      <c r="G44" s="127">
        <f>'2023 fixed'!G32</f>
        <v>-13590</v>
      </c>
      <c r="H44" s="127">
        <f>'2023 fixed'!H32</f>
        <v>-11920</v>
      </c>
      <c r="I44" s="127">
        <f>'2023 fixed'!I32</f>
        <v>-11950</v>
      </c>
      <c r="J44" s="127">
        <f>'2023 fixed'!J32</f>
        <v>-6640</v>
      </c>
      <c r="K44" s="127">
        <f>'2023 fixed'!K32</f>
        <v>-5291</v>
      </c>
      <c r="L44" s="127">
        <f>'2023 fixed'!L32</f>
        <v>-2840</v>
      </c>
      <c r="M44" s="127">
        <f>'2023 fixed'!M32</f>
        <v>-2870</v>
      </c>
      <c r="N44" s="128">
        <f>'2023 fixed'!N32</f>
        <v>-2440</v>
      </c>
      <c r="O44" s="128">
        <f>SUM(C44:N44)</f>
        <v>-8800</v>
      </c>
    </row>
    <row r="45" spans="1:21" x14ac:dyDescent="0.2">
      <c r="B45" s="3" t="s">
        <v>204</v>
      </c>
      <c r="C45" s="129">
        <f t="shared" ref="C45:M45" si="7">C33-C44</f>
        <v>202.59999999999945</v>
      </c>
      <c r="D45" s="129">
        <f t="shared" si="7"/>
        <v>-3446</v>
      </c>
      <c r="E45" s="129">
        <f t="shared" si="7"/>
        <v>9768.5500000000029</v>
      </c>
      <c r="F45" s="129">
        <f t="shared" si="7"/>
        <v>-482.27000000000044</v>
      </c>
      <c r="G45" s="129">
        <f t="shared" si="7"/>
        <v>-1055.510000000002</v>
      </c>
      <c r="H45" s="129">
        <f t="shared" si="7"/>
        <v>1100.5900000000001</v>
      </c>
      <c r="I45" s="129">
        <f t="shared" si="7"/>
        <v>2442.1800000000003</v>
      </c>
      <c r="J45" s="129">
        <f t="shared" si="7"/>
        <v>299.58000000000084</v>
      </c>
      <c r="K45" s="129">
        <f t="shared" si="7"/>
        <v>2137.7399999999998</v>
      </c>
      <c r="L45" s="129">
        <f t="shared" si="7"/>
        <v>1308.05</v>
      </c>
      <c r="M45" s="129">
        <f t="shared" si="7"/>
        <v>-3616.92</v>
      </c>
      <c r="N45" s="130"/>
      <c r="O45" s="131">
        <f>SUM(C45:N45)</f>
        <v>8658.59</v>
      </c>
    </row>
    <row r="46" spans="1:21" x14ac:dyDescent="0.2">
      <c r="C46" s="113"/>
      <c r="D46" s="29"/>
      <c r="E46" s="29"/>
      <c r="F46" s="29"/>
      <c r="G46" s="29"/>
      <c r="H46" s="29"/>
      <c r="I46" s="29"/>
      <c r="J46" s="29"/>
      <c r="K46" s="29"/>
      <c r="L46" s="29"/>
      <c r="M46" s="29"/>
    </row>
    <row r="47" spans="1:21" x14ac:dyDescent="0.2">
      <c r="B47" s="4" t="s">
        <v>216</v>
      </c>
      <c r="C47" s="113"/>
      <c r="D47" s="29"/>
      <c r="E47" s="29"/>
      <c r="F47" s="29"/>
      <c r="G47" s="29"/>
      <c r="H47" s="29"/>
      <c r="I47" s="29"/>
      <c r="J47" s="29"/>
      <c r="K47" s="29"/>
      <c r="L47" s="29"/>
      <c r="M47" s="29"/>
    </row>
    <row r="48" spans="1:21" s="3" customFormat="1" x14ac:dyDescent="0.2">
      <c r="A48" s="41"/>
      <c r="B48" s="3" t="s">
        <v>211</v>
      </c>
      <c r="C48" s="126">
        <v>27761.759999999998</v>
      </c>
      <c r="D48" s="126">
        <f t="shared" ref="D48:M48" si="8">C53</f>
        <v>26690.359999999997</v>
      </c>
      <c r="E48" s="126">
        <f t="shared" si="8"/>
        <v>48429.36</v>
      </c>
      <c r="F48" s="126">
        <f t="shared" si="8"/>
        <v>82817.91</v>
      </c>
      <c r="G48" s="126">
        <f t="shared" si="8"/>
        <v>82545.64</v>
      </c>
      <c r="H48" s="126">
        <f t="shared" si="8"/>
        <v>67900.13</v>
      </c>
      <c r="I48" s="126">
        <f t="shared" si="8"/>
        <v>57080.72</v>
      </c>
      <c r="J48" s="126">
        <f t="shared" si="8"/>
        <v>47573.26</v>
      </c>
      <c r="K48" s="126">
        <f t="shared" si="8"/>
        <v>41232.840000000004</v>
      </c>
      <c r="L48" s="126">
        <f t="shared" si="8"/>
        <v>38079.58</v>
      </c>
      <c r="M48" s="126">
        <f t="shared" si="8"/>
        <v>36547.630000000005</v>
      </c>
      <c r="N48" s="132"/>
      <c r="O48" s="132"/>
      <c r="P48"/>
      <c r="Q48"/>
      <c r="R48"/>
      <c r="S48"/>
      <c r="T48"/>
      <c r="U48"/>
    </row>
    <row r="49" spans="2:16" x14ac:dyDescent="0.2">
      <c r="B49" s="3" t="s">
        <v>213</v>
      </c>
      <c r="C49" s="141">
        <v>1453.51</v>
      </c>
      <c r="D49" s="141">
        <v>7136.66</v>
      </c>
      <c r="E49" s="141">
        <v>1620</v>
      </c>
      <c r="F49" s="141">
        <f>F38</f>
        <v>6027.11</v>
      </c>
      <c r="G49" s="141">
        <v>17531.400000000001</v>
      </c>
      <c r="H49" s="141">
        <v>10270.44</v>
      </c>
      <c r="I49" s="141">
        <v>8268.0300000000007</v>
      </c>
      <c r="J49" s="141">
        <v>4498.8999999999996</v>
      </c>
      <c r="K49" s="141">
        <v>2160</v>
      </c>
      <c r="L49" s="141">
        <v>1877.51</v>
      </c>
      <c r="M49" s="141">
        <v>5275</v>
      </c>
      <c r="N49" s="142"/>
      <c r="O49" s="142"/>
    </row>
    <row r="50" spans="2:16" x14ac:dyDescent="0.2">
      <c r="B50" s="3" t="s">
        <v>212</v>
      </c>
      <c r="C50" s="141">
        <v>1557.89</v>
      </c>
      <c r="D50" s="141">
        <v>2074.34</v>
      </c>
      <c r="E50" s="141">
        <v>2046.45</v>
      </c>
      <c r="F50" s="141">
        <v>1180.08</v>
      </c>
      <c r="G50" s="141">
        <v>1529.11</v>
      </c>
      <c r="H50" s="141">
        <v>1428.97</v>
      </c>
      <c r="I50" s="141">
        <v>1581.43</v>
      </c>
      <c r="J50" s="141">
        <v>1841.52</v>
      </c>
      <c r="K50" s="141">
        <v>993.26</v>
      </c>
      <c r="L50" s="141">
        <v>1446.24</v>
      </c>
      <c r="M50" s="141">
        <v>1211.92</v>
      </c>
      <c r="N50" s="142"/>
      <c r="O50" s="142"/>
    </row>
    <row r="51" spans="2:16" x14ac:dyDescent="0.2"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4"/>
      <c r="O51" s="134"/>
    </row>
    <row r="52" spans="2:16" x14ac:dyDescent="0.2">
      <c r="B52" s="3" t="s">
        <v>214</v>
      </c>
      <c r="C52" s="133">
        <v>1940</v>
      </c>
      <c r="D52" s="133">
        <v>30950</v>
      </c>
      <c r="E52" s="133">
        <v>38055</v>
      </c>
      <c r="F52" s="133">
        <v>6934.92</v>
      </c>
      <c r="G52" s="133">
        <v>4415</v>
      </c>
      <c r="H52" s="133">
        <v>880</v>
      </c>
      <c r="I52" s="133">
        <v>342</v>
      </c>
      <c r="J52" s="133">
        <v>0</v>
      </c>
      <c r="K52" s="133">
        <v>0</v>
      </c>
      <c r="L52" s="133">
        <v>1791.8</v>
      </c>
      <c r="M52" s="133">
        <v>0</v>
      </c>
      <c r="N52" s="134"/>
      <c r="O52" s="134"/>
    </row>
    <row r="53" spans="2:16" ht="17" thickBot="1" x14ac:dyDescent="0.25">
      <c r="B53" s="3" t="s">
        <v>215</v>
      </c>
      <c r="C53" s="139">
        <f t="shared" ref="C53:M53" si="9">C48-(C49+C50)+C52</f>
        <v>26690.359999999997</v>
      </c>
      <c r="D53" s="139">
        <f t="shared" si="9"/>
        <v>48429.36</v>
      </c>
      <c r="E53" s="139">
        <f t="shared" si="9"/>
        <v>82817.91</v>
      </c>
      <c r="F53" s="139">
        <f t="shared" si="9"/>
        <v>82545.64</v>
      </c>
      <c r="G53" s="139">
        <f t="shared" si="9"/>
        <v>67900.13</v>
      </c>
      <c r="H53" s="139">
        <f t="shared" si="9"/>
        <v>57080.72</v>
      </c>
      <c r="I53" s="139">
        <f t="shared" si="9"/>
        <v>47573.26</v>
      </c>
      <c r="J53" s="139">
        <f t="shared" si="9"/>
        <v>41232.840000000004</v>
      </c>
      <c r="K53" s="139">
        <f t="shared" si="9"/>
        <v>38079.58</v>
      </c>
      <c r="L53" s="139">
        <f t="shared" si="9"/>
        <v>36547.630000000005</v>
      </c>
      <c r="M53" s="139">
        <f t="shared" si="9"/>
        <v>30060.710000000006</v>
      </c>
      <c r="N53" s="134"/>
      <c r="O53" s="134"/>
      <c r="P53" s="140"/>
    </row>
    <row r="54" spans="2:16" ht="17" thickTop="1" x14ac:dyDescent="0.2"/>
    <row r="55" spans="2:16" x14ac:dyDescent="0.2">
      <c r="B55" s="3" t="s">
        <v>217</v>
      </c>
      <c r="C55" s="130"/>
      <c r="D55" s="130"/>
      <c r="E55" s="132">
        <f>E49+E50</f>
        <v>3666.45</v>
      </c>
      <c r="F55" s="132">
        <f t="shared" ref="F55:M55" si="10">F49+F50</f>
        <v>7207.19</v>
      </c>
      <c r="G55" s="132">
        <f t="shared" si="10"/>
        <v>19060.510000000002</v>
      </c>
      <c r="H55" s="132">
        <f t="shared" si="10"/>
        <v>11699.41</v>
      </c>
      <c r="I55" s="132">
        <f t="shared" si="10"/>
        <v>9849.4600000000009</v>
      </c>
      <c r="J55" s="132">
        <f t="shared" si="10"/>
        <v>6340.42</v>
      </c>
      <c r="K55" s="132">
        <f t="shared" si="10"/>
        <v>3153.26</v>
      </c>
      <c r="L55" s="132">
        <f t="shared" si="10"/>
        <v>3323.75</v>
      </c>
      <c r="M55" s="132">
        <f t="shared" si="10"/>
        <v>6486.92</v>
      </c>
      <c r="N55" s="130"/>
      <c r="O55" s="130"/>
    </row>
    <row r="56" spans="2:16" x14ac:dyDescent="0.2">
      <c r="B56" s="3" t="s">
        <v>227</v>
      </c>
      <c r="C56" s="130"/>
      <c r="D56" s="130"/>
      <c r="E56" s="130"/>
      <c r="F56" s="130"/>
      <c r="G56" s="137">
        <f>G35-G53</f>
        <v>0.19000000000232831</v>
      </c>
      <c r="H56" s="137">
        <f t="shared" ref="H56:M56" si="11">H35-H53</f>
        <v>0.19000000000232831</v>
      </c>
      <c r="I56" s="137">
        <f t="shared" si="11"/>
        <v>-0.16999999999825377</v>
      </c>
      <c r="J56" s="137">
        <f t="shared" si="11"/>
        <v>-0.16999999999825377</v>
      </c>
      <c r="K56" s="137">
        <f t="shared" si="11"/>
        <v>-0.16999999999825377</v>
      </c>
      <c r="L56" s="137">
        <f t="shared" si="11"/>
        <v>-0.16999999999825377</v>
      </c>
      <c r="M56" s="137">
        <f t="shared" si="11"/>
        <v>-0.16999999999825377</v>
      </c>
      <c r="N56" s="130"/>
      <c r="O56" s="130"/>
    </row>
    <row r="58" spans="2:16" x14ac:dyDescent="0.2">
      <c r="G58" s="2">
        <f>G35</f>
        <v>67900.320000000007</v>
      </c>
    </row>
    <row r="59" spans="2:16" x14ac:dyDescent="0.2">
      <c r="F59" t="s">
        <v>228</v>
      </c>
      <c r="G59" s="2">
        <v>7402</v>
      </c>
    </row>
    <row r="60" spans="2:16" x14ac:dyDescent="0.2">
      <c r="F60" t="s">
        <v>229</v>
      </c>
      <c r="G60" s="2">
        <f>G58+G59</f>
        <v>75302.320000000007</v>
      </c>
    </row>
    <row r="62" spans="2:16" x14ac:dyDescent="0.2">
      <c r="D62" s="51"/>
    </row>
    <row r="63" spans="2:16" x14ac:dyDescent="0.2">
      <c r="M63" s="10" t="s">
        <v>291</v>
      </c>
    </row>
    <row r="64" spans="2:16" x14ac:dyDescent="0.2">
      <c r="B64" s="3" t="s">
        <v>275</v>
      </c>
      <c r="C64" t="s">
        <v>288</v>
      </c>
      <c r="G64" s="2">
        <f>G35</f>
        <v>67900.320000000007</v>
      </c>
      <c r="H64" s="114">
        <f>H53</f>
        <v>57080.72</v>
      </c>
      <c r="M64" t="s">
        <v>292</v>
      </c>
      <c r="O64" s="2">
        <f>N35</f>
        <v>25413.770000000008</v>
      </c>
    </row>
    <row r="65" spans="1:15" x14ac:dyDescent="0.2">
      <c r="C65" s="119" t="s">
        <v>290</v>
      </c>
      <c r="G65" s="2"/>
      <c r="H65" s="114">
        <v>-1400</v>
      </c>
      <c r="O65" s="2"/>
    </row>
    <row r="66" spans="1:15" x14ac:dyDescent="0.2">
      <c r="B66" s="10"/>
      <c r="C66" t="s">
        <v>289</v>
      </c>
      <c r="G66" s="2">
        <f>'2023 fixed'!G34</f>
        <v>62912.95</v>
      </c>
      <c r="H66">
        <f>'2023 fixed'!H34</f>
        <v>50992.95</v>
      </c>
      <c r="M66" t="s">
        <v>293</v>
      </c>
      <c r="O66" s="2">
        <f>'2023 fixed'!N34</f>
        <v>18961.949999999997</v>
      </c>
    </row>
    <row r="67" spans="1:15" ht="17" thickBot="1" x14ac:dyDescent="0.25">
      <c r="B67" s="41"/>
      <c r="C67" s="120" t="s">
        <v>204</v>
      </c>
      <c r="D67" s="98"/>
      <c r="E67" s="98"/>
      <c r="F67" s="98"/>
      <c r="G67" s="120">
        <f>G64-G66</f>
        <v>4987.3700000000099</v>
      </c>
      <c r="H67" s="120">
        <f>+SUM(H64:H65)-H66</f>
        <v>4687.7700000000041</v>
      </c>
      <c r="M67" s="120" t="s">
        <v>204</v>
      </c>
      <c r="N67" s="120"/>
      <c r="O67" s="80">
        <f>O64-O66</f>
        <v>6451.8200000000106</v>
      </c>
    </row>
    <row r="68" spans="1:15" ht="17" thickTop="1" x14ac:dyDescent="0.2">
      <c r="B68" s="41"/>
      <c r="C68" s="39"/>
      <c r="G68" s="2"/>
      <c r="O68" s="2"/>
    </row>
    <row r="69" spans="1:15" x14ac:dyDescent="0.2">
      <c r="B69" s="41"/>
      <c r="C69" s="39" t="s">
        <v>277</v>
      </c>
      <c r="G69" s="2"/>
      <c r="M69" s="39" t="s">
        <v>277</v>
      </c>
      <c r="O69" s="2"/>
    </row>
    <row r="70" spans="1:15" x14ac:dyDescent="0.2">
      <c r="B70"/>
      <c r="C70" t="s">
        <v>276</v>
      </c>
      <c r="G70" s="2">
        <v>5300</v>
      </c>
      <c r="H70" s="2">
        <f>G70</f>
        <v>5300</v>
      </c>
      <c r="M70" t="s">
        <v>276</v>
      </c>
      <c r="O70" s="2">
        <v>5300</v>
      </c>
    </row>
    <row r="71" spans="1:15" x14ac:dyDescent="0.2">
      <c r="A71" s="38"/>
      <c r="B71" s="10"/>
      <c r="C71" t="s">
        <v>278</v>
      </c>
      <c r="G71" s="2">
        <v>2500</v>
      </c>
      <c r="H71" s="2"/>
      <c r="M71" t="s">
        <v>278</v>
      </c>
      <c r="O71" s="119">
        <f>O67-O70</f>
        <v>1151.8200000000106</v>
      </c>
    </row>
    <row r="72" spans="1:15" ht="17" thickBot="1" x14ac:dyDescent="0.25">
      <c r="A72" s="40"/>
      <c r="B72" s="41"/>
      <c r="C72" s="10" t="s">
        <v>285</v>
      </c>
      <c r="E72" s="10"/>
      <c r="F72" s="10"/>
      <c r="G72" s="120">
        <f>SUM(G70:G71)</f>
        <v>7800</v>
      </c>
      <c r="H72" s="120">
        <f>SUM(H70:H71)</f>
        <v>5300</v>
      </c>
    </row>
    <row r="73" spans="1:15" ht="17" thickTop="1" x14ac:dyDescent="0.2">
      <c r="A73" s="40"/>
      <c r="B73" s="41"/>
      <c r="C73" s="119" t="s">
        <v>284</v>
      </c>
      <c r="G73" s="2"/>
    </row>
    <row r="74" spans="1:15" x14ac:dyDescent="0.2">
      <c r="A74" s="40"/>
      <c r="B74" s="41"/>
      <c r="C74" s="39"/>
    </row>
    <row r="75" spans="1:15" x14ac:dyDescent="0.2">
      <c r="A75" s="40"/>
      <c r="B75" s="41"/>
      <c r="C75" s="39"/>
    </row>
    <row r="76" spans="1:15" x14ac:dyDescent="0.2">
      <c r="A76" s="3"/>
    </row>
    <row r="77" spans="1:15" x14ac:dyDescent="0.2">
      <c r="A77" s="38"/>
    </row>
    <row r="78" spans="1:15" x14ac:dyDescent="0.2">
      <c r="A78" s="40"/>
      <c r="B78" s="3" t="s">
        <v>92</v>
      </c>
    </row>
    <row r="79" spans="1:15" x14ac:dyDescent="0.2">
      <c r="A79" s="40"/>
      <c r="B79" s="3" t="s">
        <v>280</v>
      </c>
      <c r="C79" s="2">
        <f>SUM(C32:G32)</f>
        <v>41925.630000000005</v>
      </c>
    </row>
    <row r="80" spans="1:15" x14ac:dyDescent="0.2">
      <c r="A80" s="40"/>
      <c r="B80" s="3" t="s">
        <v>282</v>
      </c>
      <c r="C80" s="2" t="e">
        <f>#REF!</f>
        <v>#REF!</v>
      </c>
    </row>
    <row r="81" spans="1:3" x14ac:dyDescent="0.2">
      <c r="A81" s="40"/>
      <c r="B81" s="3" t="s">
        <v>283</v>
      </c>
      <c r="C81" s="2" t="e">
        <f>C79-C80</f>
        <v>#REF!</v>
      </c>
    </row>
    <row r="82" spans="1:3" x14ac:dyDescent="0.2">
      <c r="A82" s="40"/>
      <c r="B82" s="3" t="s">
        <v>281</v>
      </c>
      <c r="C82" s="2">
        <f>SUM('2023 fixed'!C31:G31)</f>
        <v>40099</v>
      </c>
    </row>
    <row r="83" spans="1:3" x14ac:dyDescent="0.2">
      <c r="A83" s="40"/>
      <c r="B83" s="3" t="s">
        <v>204</v>
      </c>
      <c r="C83" s="2" t="e">
        <f>C81-C82</f>
        <v>#REF!</v>
      </c>
    </row>
    <row r="84" spans="1:3" x14ac:dyDescent="0.2">
      <c r="C84" s="2"/>
    </row>
    <row r="85" spans="1:3" x14ac:dyDescent="0.2">
      <c r="C85" s="2"/>
    </row>
    <row r="86" spans="1:3" x14ac:dyDescent="0.2">
      <c r="C86" s="2"/>
    </row>
    <row r="87" spans="1:3" x14ac:dyDescent="0.2">
      <c r="C87" s="2"/>
    </row>
  </sheetData>
  <mergeCells count="1">
    <mergeCell ref="B2:O2"/>
  </mergeCells>
  <pageMargins left="1" right="1" top="1" bottom="1" header="0.5" footer="0.5"/>
  <pageSetup paperSize="5" scale="37" orientation="landscape" horizontalDpi="1200" verticalDpi="12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F019A-9FAC-44D1-8D31-2883A827B31C}">
  <sheetPr>
    <outlinePr summaryBelow="0" summaryRight="0"/>
  </sheetPr>
  <dimension ref="A1:N997"/>
  <sheetViews>
    <sheetView showGridLines="0" workbookViewId="0">
      <pane ySplit="3" topLeftCell="A4" activePane="bottomLeft" state="frozen"/>
      <selection pane="bottomLeft" activeCell="F3" sqref="F3"/>
    </sheetView>
  </sheetViews>
  <sheetFormatPr baseColWidth="10" defaultColWidth="11" defaultRowHeight="15.75" customHeight="1" x14ac:dyDescent="0.2"/>
  <cols>
    <col min="1" max="1" width="6" style="146" customWidth="1"/>
    <col min="2" max="2" width="34.6640625" style="146" customWidth="1"/>
    <col min="3" max="4" width="11.1640625" style="146" customWidth="1"/>
    <col min="5" max="5" width="11.1640625" style="146" hidden="1" customWidth="1"/>
    <col min="6" max="8" width="11.1640625" style="146" customWidth="1"/>
    <col min="9" max="9" width="0.83203125" style="146" customWidth="1"/>
    <col min="10" max="10" width="11.1640625" style="146" customWidth="1"/>
    <col min="11" max="11" width="0.83203125" style="146" customWidth="1"/>
    <col min="12" max="12" width="11" style="146"/>
    <col min="14" max="16384" width="11" style="146"/>
  </cols>
  <sheetData>
    <row r="1" spans="1:14" ht="16" x14ac:dyDescent="0.2">
      <c r="A1" s="251" t="s">
        <v>371</v>
      </c>
      <c r="B1" s="251"/>
      <c r="C1" s="251"/>
      <c r="D1" s="251"/>
      <c r="E1" s="251"/>
      <c r="F1" s="251"/>
      <c r="G1" s="251"/>
      <c r="H1" s="251"/>
      <c r="I1" s="174"/>
      <c r="J1" s="195"/>
      <c r="K1" s="189"/>
      <c r="L1" s="179"/>
    </row>
    <row r="2" spans="1:14" ht="16" x14ac:dyDescent="0.2">
      <c r="A2" s="251" t="s">
        <v>386</v>
      </c>
      <c r="B2" s="251"/>
      <c r="C2" s="251"/>
      <c r="D2" s="251"/>
      <c r="E2" s="251"/>
      <c r="F2" s="251"/>
      <c r="G2" s="251"/>
      <c r="H2" s="251"/>
      <c r="I2" s="174"/>
      <c r="J2" s="195"/>
      <c r="K2" s="189"/>
      <c r="L2" s="179"/>
    </row>
    <row r="3" spans="1:14" ht="30" x14ac:dyDescent="0.2">
      <c r="A3" s="248" t="s">
        <v>333</v>
      </c>
      <c r="B3" s="249"/>
      <c r="C3" s="148"/>
      <c r="D3" s="148" t="s">
        <v>334</v>
      </c>
      <c r="E3" s="148" t="s">
        <v>335</v>
      </c>
      <c r="F3" s="191" t="s">
        <v>381</v>
      </c>
      <c r="G3" s="191" t="s">
        <v>382</v>
      </c>
      <c r="H3" s="180" t="s">
        <v>385</v>
      </c>
      <c r="I3" s="189"/>
      <c r="J3" s="192" t="s">
        <v>384</v>
      </c>
      <c r="K3" s="189"/>
      <c r="L3" s="184" t="s">
        <v>379</v>
      </c>
    </row>
    <row r="4" spans="1:14" ht="16" x14ac:dyDescent="0.2">
      <c r="A4" s="250" t="s">
        <v>336</v>
      </c>
      <c r="B4" s="243"/>
      <c r="C4" s="150"/>
      <c r="D4" s="150"/>
      <c r="E4" s="147"/>
      <c r="F4" s="147"/>
      <c r="G4" s="147"/>
      <c r="H4" s="181"/>
      <c r="I4" s="189"/>
      <c r="J4" s="193"/>
      <c r="K4" s="189"/>
      <c r="L4" s="185"/>
    </row>
    <row r="5" spans="1:14" ht="16" x14ac:dyDescent="0.2">
      <c r="A5" s="176"/>
      <c r="B5" s="245" t="s">
        <v>337</v>
      </c>
      <c r="C5" s="246"/>
      <c r="D5" s="154">
        <v>80552</v>
      </c>
      <c r="E5" s="154">
        <f>D5/12</f>
        <v>6712.666666666667</v>
      </c>
      <c r="F5" s="154">
        <f>SUM('2024 Actual'!C5:N5)</f>
        <v>83275.199999999997</v>
      </c>
      <c r="G5" s="154">
        <f>SUM('2024 Actual'!M5:N5)</f>
        <v>0</v>
      </c>
      <c r="H5" s="182">
        <f>E5+F5</f>
        <v>89987.866666666669</v>
      </c>
      <c r="I5" s="189"/>
      <c r="J5" s="194">
        <v>83275.199999999997</v>
      </c>
      <c r="K5" s="189"/>
      <c r="L5" s="186">
        <v>83076.5</v>
      </c>
    </row>
    <row r="6" spans="1:14" ht="16" x14ac:dyDescent="0.2">
      <c r="A6" s="177"/>
      <c r="B6" s="247" t="s">
        <v>167</v>
      </c>
      <c r="C6" s="246"/>
      <c r="D6" s="154">
        <v>300</v>
      </c>
      <c r="E6" s="154">
        <f>D6/12</f>
        <v>25</v>
      </c>
      <c r="F6" s="154">
        <f>SUM('2024 Actual'!C6:N6)</f>
        <v>600</v>
      </c>
      <c r="G6" s="154">
        <f>SUM('2024 Actual'!M6:N6)</f>
        <v>0</v>
      </c>
      <c r="H6" s="182">
        <f>E6+F6</f>
        <v>625</v>
      </c>
      <c r="I6" s="189"/>
      <c r="J6" s="194">
        <v>600</v>
      </c>
      <c r="K6" s="189"/>
      <c r="L6" s="186">
        <v>0</v>
      </c>
    </row>
    <row r="7" spans="1:14" ht="16" x14ac:dyDescent="0.2">
      <c r="A7" s="178"/>
      <c r="B7" s="247" t="s">
        <v>338</v>
      </c>
      <c r="C7" s="246"/>
      <c r="D7" s="154">
        <v>0</v>
      </c>
      <c r="E7" s="154">
        <f>D7/12</f>
        <v>0</v>
      </c>
      <c r="F7" s="154">
        <f>SUM('2024 Actual'!C7:N7)</f>
        <v>122.47</v>
      </c>
      <c r="G7" s="154">
        <f>SUM('2024 Actual'!M7:N7)</f>
        <v>122.47</v>
      </c>
      <c r="H7" s="182">
        <f>E7+F7</f>
        <v>122.47</v>
      </c>
      <c r="I7" s="189"/>
      <c r="J7" s="194">
        <v>244.94</v>
      </c>
      <c r="K7" s="189"/>
      <c r="L7" s="186">
        <v>900</v>
      </c>
    </row>
    <row r="8" spans="1:14" ht="17" thickBot="1" x14ac:dyDescent="0.25">
      <c r="A8" s="155"/>
      <c r="B8" s="156" t="s">
        <v>339</v>
      </c>
      <c r="C8" s="157"/>
      <c r="D8" s="157">
        <f>SUM(D5:D7)</f>
        <v>80852</v>
      </c>
      <c r="E8" s="157">
        <f>SUM(E5:E7)</f>
        <v>6737.666666666667</v>
      </c>
      <c r="F8" s="157">
        <f>SUM(F5:F7)</f>
        <v>83997.67</v>
      </c>
      <c r="G8" s="157">
        <f>SUM(G5:G7)</f>
        <v>122.47</v>
      </c>
      <c r="H8" s="157">
        <f>SUM(H5:H7)</f>
        <v>90735.33666666667</v>
      </c>
      <c r="I8" s="189"/>
      <c r="J8" s="157">
        <v>84120.14</v>
      </c>
      <c r="K8" s="189"/>
      <c r="L8" s="157">
        <v>83976.5</v>
      </c>
    </row>
    <row r="9" spans="1:14" ht="17" thickTop="1" x14ac:dyDescent="0.2">
      <c r="A9" s="149" t="s">
        <v>340</v>
      </c>
      <c r="C9" s="150"/>
      <c r="D9" s="150"/>
      <c r="E9" s="150"/>
      <c r="F9" s="150"/>
      <c r="G9" s="150"/>
      <c r="H9" s="183"/>
      <c r="I9" s="189"/>
      <c r="J9" s="196"/>
      <c r="K9" s="189"/>
      <c r="L9" s="187"/>
    </row>
    <row r="10" spans="1:14" ht="16" x14ac:dyDescent="0.2">
      <c r="A10" s="244" t="s">
        <v>341</v>
      </c>
      <c r="B10" s="243"/>
      <c r="C10" s="150"/>
      <c r="D10" s="150"/>
      <c r="E10" s="150"/>
      <c r="F10" s="150"/>
      <c r="G10" s="150"/>
      <c r="H10" s="183"/>
      <c r="I10" s="189"/>
      <c r="J10" s="196"/>
      <c r="K10" s="189"/>
      <c r="L10" s="187"/>
    </row>
    <row r="11" spans="1:14" ht="16" x14ac:dyDescent="0.2">
      <c r="A11" s="176"/>
      <c r="B11" s="245" t="s">
        <v>342</v>
      </c>
      <c r="C11" s="246"/>
      <c r="D11" s="154">
        <v>1451</v>
      </c>
      <c r="E11" s="154">
        <f t="shared" ref="E11" si="0">C11/12</f>
        <v>0</v>
      </c>
      <c r="F11" s="154">
        <f>SUM('2024 Actual'!C11:N11)</f>
        <v>2487</v>
      </c>
      <c r="G11" s="154">
        <f>SUM('2024 Actual'!N11)</f>
        <v>0</v>
      </c>
      <c r="H11" s="182">
        <f>E11+F11</f>
        <v>2487</v>
      </c>
      <c r="I11" s="189"/>
      <c r="J11" s="194">
        <v>2487</v>
      </c>
      <c r="K11" s="189"/>
      <c r="L11" s="186">
        <v>2195</v>
      </c>
      <c r="N11" s="190">
        <f t="shared" ref="N11:N21" si="1">L11-J11</f>
        <v>-292</v>
      </c>
    </row>
    <row r="12" spans="1:14" ht="16" x14ac:dyDescent="0.2">
      <c r="A12" s="177"/>
      <c r="B12" s="245" t="s">
        <v>343</v>
      </c>
      <c r="C12" s="246"/>
      <c r="D12" s="154">
        <v>1169</v>
      </c>
      <c r="E12" s="154">
        <f t="shared" ref="E12:E21" si="2">D12/12</f>
        <v>97.416666666666671</v>
      </c>
      <c r="F12" s="154">
        <f>SUM('2024 Actual'!C12:N12)</f>
        <v>1168.9000000000001</v>
      </c>
      <c r="G12" s="154">
        <f>SUM('2024 Actual'!N12)</f>
        <v>0</v>
      </c>
      <c r="H12" s="182">
        <f t="shared" ref="H12:H21" si="3">E12+F12</f>
        <v>1266.3166666666668</v>
      </c>
      <c r="I12" s="189"/>
      <c r="J12" s="194">
        <v>1168.9000000000001</v>
      </c>
      <c r="K12" s="189"/>
      <c r="L12" s="186">
        <v>976.5</v>
      </c>
      <c r="N12" s="190">
        <f t="shared" si="1"/>
        <v>-192.40000000000009</v>
      </c>
    </row>
    <row r="13" spans="1:14" ht="16" x14ac:dyDescent="0.2">
      <c r="A13" s="177"/>
      <c r="B13" s="245" t="s">
        <v>301</v>
      </c>
      <c r="C13" s="246"/>
      <c r="D13" s="154">
        <v>0</v>
      </c>
      <c r="E13" s="154">
        <f t="shared" si="2"/>
        <v>0</v>
      </c>
      <c r="F13" s="154">
        <f>SUM('2024 Actual'!C13:N13)</f>
        <v>100</v>
      </c>
      <c r="G13" s="154">
        <f>SUM('2024 Actual'!N13)</f>
        <v>0</v>
      </c>
      <c r="H13" s="182">
        <f t="shared" si="3"/>
        <v>100</v>
      </c>
      <c r="I13" s="189"/>
      <c r="J13" s="194">
        <v>100</v>
      </c>
      <c r="K13" s="189"/>
      <c r="L13" s="186">
        <v>100</v>
      </c>
      <c r="N13" s="190">
        <f t="shared" si="1"/>
        <v>0</v>
      </c>
    </row>
    <row r="14" spans="1:14" ht="16" x14ac:dyDescent="0.2">
      <c r="A14" s="177"/>
      <c r="B14" s="245" t="s">
        <v>14</v>
      </c>
      <c r="C14" s="246"/>
      <c r="D14" s="154">
        <v>120</v>
      </c>
      <c r="E14" s="154">
        <f t="shared" si="2"/>
        <v>10</v>
      </c>
      <c r="F14" s="154">
        <f>SUM('2024 Actual'!C14:N14)</f>
        <v>60.33</v>
      </c>
      <c r="G14" s="154">
        <f>SUM('2024 Actual'!N14)</f>
        <v>0</v>
      </c>
      <c r="H14" s="182">
        <f t="shared" si="3"/>
        <v>70.33</v>
      </c>
      <c r="I14" s="189"/>
      <c r="J14" s="194">
        <v>60.33</v>
      </c>
      <c r="K14" s="189"/>
      <c r="L14" s="186">
        <v>283.93</v>
      </c>
      <c r="N14" s="190">
        <f t="shared" si="1"/>
        <v>223.60000000000002</v>
      </c>
    </row>
    <row r="15" spans="1:14" ht="12.75" customHeight="1" x14ac:dyDescent="0.2">
      <c r="A15" s="177"/>
      <c r="B15" s="247" t="s">
        <v>344</v>
      </c>
      <c r="C15" s="246"/>
      <c r="D15" s="154">
        <v>0</v>
      </c>
      <c r="E15" s="154">
        <f t="shared" si="2"/>
        <v>0</v>
      </c>
      <c r="F15" s="154">
        <f>SUM('2024 Actual'!C15:M15)</f>
        <v>0</v>
      </c>
      <c r="G15" s="154">
        <f>SUM('2024 Actual'!N15)</f>
        <v>0</v>
      </c>
      <c r="H15" s="182">
        <f t="shared" si="3"/>
        <v>0</v>
      </c>
      <c r="I15" s="189"/>
      <c r="J15" s="194">
        <v>0</v>
      </c>
      <c r="K15" s="189"/>
      <c r="L15" s="186">
        <v>0</v>
      </c>
      <c r="N15" s="190">
        <f t="shared" si="1"/>
        <v>0</v>
      </c>
    </row>
    <row r="16" spans="1:14" ht="16" x14ac:dyDescent="0.2">
      <c r="A16" s="177"/>
      <c r="B16" s="247" t="s">
        <v>287</v>
      </c>
      <c r="C16" s="246"/>
      <c r="D16" s="154">
        <v>210</v>
      </c>
      <c r="E16" s="154">
        <f t="shared" si="2"/>
        <v>17.5</v>
      </c>
      <c r="F16" s="154">
        <f>SUM('2024 Actual'!C16:M16)</f>
        <v>216</v>
      </c>
      <c r="G16" s="154">
        <f>SUM('2024 Actual'!N16)</f>
        <v>0</v>
      </c>
      <c r="H16" s="182">
        <f t="shared" si="3"/>
        <v>233.5</v>
      </c>
      <c r="I16" s="189"/>
      <c r="J16" s="194">
        <v>216</v>
      </c>
      <c r="K16" s="189"/>
      <c r="L16" s="186">
        <v>235.2</v>
      </c>
      <c r="N16" s="190">
        <f t="shared" si="1"/>
        <v>19.199999999999989</v>
      </c>
    </row>
    <row r="17" spans="1:14" ht="16" x14ac:dyDescent="0.2">
      <c r="A17" s="177"/>
      <c r="B17" s="245" t="s">
        <v>345</v>
      </c>
      <c r="C17" s="246"/>
      <c r="D17" s="154">
        <v>1100</v>
      </c>
      <c r="E17" s="154">
        <f t="shared" si="2"/>
        <v>91.666666666666671</v>
      </c>
      <c r="F17" s="154">
        <f>SUM('2024 Actual'!C17:M17)</f>
        <v>1766.3000000000002</v>
      </c>
      <c r="G17" s="154">
        <f>SUM('2024 Actual'!N17)</f>
        <v>0</v>
      </c>
      <c r="H17" s="182">
        <f t="shared" si="3"/>
        <v>1857.9666666666669</v>
      </c>
      <c r="I17" s="189"/>
      <c r="J17" s="194">
        <v>1766.3000000000002</v>
      </c>
      <c r="K17" s="189"/>
      <c r="L17" s="186">
        <v>214</v>
      </c>
      <c r="N17" s="190">
        <f t="shared" si="1"/>
        <v>-1552.3000000000002</v>
      </c>
    </row>
    <row r="18" spans="1:14" ht="16" x14ac:dyDescent="0.2">
      <c r="A18" s="177"/>
      <c r="B18" s="245" t="s">
        <v>346</v>
      </c>
      <c r="C18" s="246"/>
      <c r="D18" s="154">
        <v>0</v>
      </c>
      <c r="E18" s="154">
        <f t="shared" si="2"/>
        <v>0</v>
      </c>
      <c r="F18" s="154">
        <f>SUM('2024 Actual'!C18:M18)</f>
        <v>0</v>
      </c>
      <c r="G18" s="154">
        <f>SUM('2024 Actual'!N18)</f>
        <v>0</v>
      </c>
      <c r="H18" s="182">
        <f t="shared" si="3"/>
        <v>0</v>
      </c>
      <c r="I18" s="189"/>
      <c r="J18" s="194">
        <v>0</v>
      </c>
      <c r="K18" s="189"/>
      <c r="L18" s="186">
        <v>0</v>
      </c>
      <c r="N18" s="190">
        <f t="shared" si="1"/>
        <v>0</v>
      </c>
    </row>
    <row r="19" spans="1:14" ht="16" x14ac:dyDescent="0.2">
      <c r="A19" s="177"/>
      <c r="B19" s="152" t="s">
        <v>347</v>
      </c>
      <c r="C19" s="153"/>
      <c r="D19" s="154">
        <v>0</v>
      </c>
      <c r="E19" s="154">
        <f t="shared" si="2"/>
        <v>0</v>
      </c>
      <c r="F19" s="154">
        <f>SUM('2024 Actual'!C19:M19)</f>
        <v>0</v>
      </c>
      <c r="G19" s="154">
        <f>SUM('2024 Actual'!N19)</f>
        <v>0</v>
      </c>
      <c r="H19" s="182">
        <f t="shared" si="3"/>
        <v>0</v>
      </c>
      <c r="I19" s="189"/>
      <c r="J19" s="194">
        <v>0</v>
      </c>
      <c r="K19" s="189"/>
      <c r="L19" s="186">
        <v>452</v>
      </c>
      <c r="N19" s="190">
        <f t="shared" si="1"/>
        <v>452</v>
      </c>
    </row>
    <row r="20" spans="1:14" ht="16" x14ac:dyDescent="0.2">
      <c r="A20" s="177"/>
      <c r="B20" s="245" t="s">
        <v>348</v>
      </c>
      <c r="C20" s="246"/>
      <c r="D20" s="154">
        <v>360</v>
      </c>
      <c r="E20" s="154">
        <f t="shared" si="2"/>
        <v>30</v>
      </c>
      <c r="F20" s="154">
        <f>SUM('2024 Actual'!C20:M20)</f>
        <v>360</v>
      </c>
      <c r="G20" s="154">
        <f>SUM('2024 Actual'!N20)</f>
        <v>0</v>
      </c>
      <c r="H20" s="182">
        <f t="shared" si="3"/>
        <v>390</v>
      </c>
      <c r="I20" s="189"/>
      <c r="J20" s="194">
        <v>360</v>
      </c>
      <c r="K20" s="189"/>
      <c r="L20" s="186">
        <v>360</v>
      </c>
      <c r="N20" s="190">
        <f t="shared" si="1"/>
        <v>0</v>
      </c>
    </row>
    <row r="21" spans="1:14" ht="16" x14ac:dyDescent="0.2">
      <c r="A21" s="178"/>
      <c r="B21" s="245" t="s">
        <v>349</v>
      </c>
      <c r="C21" s="246"/>
      <c r="D21" s="154">
        <v>2018</v>
      </c>
      <c r="E21" s="154">
        <f t="shared" si="2"/>
        <v>168.16666666666666</v>
      </c>
      <c r="F21" s="154">
        <f>SUM('2024 Actual'!C21:M21)</f>
        <v>2367.5</v>
      </c>
      <c r="G21" s="154">
        <f>SUM('2024 Actual'!N21)</f>
        <v>0</v>
      </c>
      <c r="H21" s="182">
        <f t="shared" si="3"/>
        <v>2535.6666666666665</v>
      </c>
      <c r="I21" s="189"/>
      <c r="J21" s="194">
        <v>2367.5</v>
      </c>
      <c r="K21" s="189"/>
      <c r="L21" s="186">
        <v>938</v>
      </c>
      <c r="N21" s="190">
        <f t="shared" si="1"/>
        <v>-1429.5</v>
      </c>
    </row>
    <row r="22" spans="1:14" ht="16" x14ac:dyDescent="0.2">
      <c r="A22" s="159"/>
      <c r="B22" s="160" t="s">
        <v>350</v>
      </c>
      <c r="C22" s="161"/>
      <c r="D22" s="161">
        <f>SUM(D11:D21)</f>
        <v>6428</v>
      </c>
      <c r="E22" s="161">
        <f>SUM(E11:E21)</f>
        <v>414.75</v>
      </c>
      <c r="F22" s="161">
        <f>SUM(F11:F21)</f>
        <v>8526.0300000000007</v>
      </c>
      <c r="G22" s="161">
        <f>SUM(G11:G21)</f>
        <v>0</v>
      </c>
      <c r="H22" s="161">
        <f>SUM(H11:H21)</f>
        <v>8940.7800000000007</v>
      </c>
      <c r="I22" s="189"/>
      <c r="J22" s="161">
        <v>8526.0300000000007</v>
      </c>
      <c r="K22" s="189"/>
      <c r="L22" s="161">
        <f>SUM(L11:L21)</f>
        <v>5754.6299999999992</v>
      </c>
    </row>
    <row r="23" spans="1:14" ht="16" x14ac:dyDescent="0.2">
      <c r="A23" s="244" t="s">
        <v>351</v>
      </c>
      <c r="B23" s="243"/>
      <c r="C23" s="150"/>
      <c r="D23" s="150"/>
      <c r="E23" s="150"/>
      <c r="F23" s="150"/>
      <c r="G23" s="150"/>
      <c r="H23" s="183"/>
      <c r="I23" s="189"/>
      <c r="J23" s="196"/>
      <c r="K23" s="189"/>
      <c r="L23" s="187"/>
    </row>
    <row r="24" spans="1:14" ht="16" x14ac:dyDescent="0.2">
      <c r="A24" s="151"/>
      <c r="B24" s="245" t="s">
        <v>15</v>
      </c>
      <c r="C24" s="246"/>
      <c r="D24" s="154">
        <v>13366</v>
      </c>
      <c r="E24" s="154">
        <f t="shared" ref="E24:E26" si="4">D24/12</f>
        <v>1113.8333333333333</v>
      </c>
      <c r="F24" s="154">
        <f>SUM('2024 Actual'!C22:M22)</f>
        <v>13225.949999999999</v>
      </c>
      <c r="G24" s="154">
        <f>SUM('2024 Actual'!N22)</f>
        <v>1185.3900000000001</v>
      </c>
      <c r="H24" s="182">
        <f>E24+F24</f>
        <v>14339.783333333333</v>
      </c>
      <c r="I24" s="189"/>
      <c r="J24" s="194">
        <v>14411.339999999998</v>
      </c>
      <c r="K24" s="189"/>
      <c r="L24" s="186">
        <v>12798.720000000001</v>
      </c>
      <c r="N24" s="190">
        <f>L24-J24</f>
        <v>-1612.6199999999972</v>
      </c>
    </row>
    <row r="25" spans="1:14" ht="16" x14ac:dyDescent="0.2">
      <c r="A25" s="151"/>
      <c r="B25" s="247" t="s">
        <v>352</v>
      </c>
      <c r="C25" s="246"/>
      <c r="D25" s="154">
        <v>1288</v>
      </c>
      <c r="E25" s="154">
        <f t="shared" si="4"/>
        <v>107.33333333333333</v>
      </c>
      <c r="F25" s="154">
        <f>SUM('2024 Actual'!C23:M23)</f>
        <v>1366.1200000000003</v>
      </c>
      <c r="G25" s="154">
        <f>SUM('2024 Actual'!N23)</f>
        <v>0</v>
      </c>
      <c r="H25" s="182">
        <f t="shared" ref="H25:H26" si="5">E25+F25</f>
        <v>1473.4533333333336</v>
      </c>
      <c r="I25" s="189"/>
      <c r="J25" s="194">
        <v>1366.1200000000003</v>
      </c>
      <c r="K25" s="189"/>
      <c r="L25" s="186">
        <v>1248.83</v>
      </c>
      <c r="N25" s="190">
        <f>L25-J25</f>
        <v>-117.29000000000042</v>
      </c>
    </row>
    <row r="26" spans="1:14" ht="16" x14ac:dyDescent="0.2">
      <c r="A26" s="151"/>
      <c r="B26" s="245" t="s">
        <v>353</v>
      </c>
      <c r="C26" s="246"/>
      <c r="D26" s="154">
        <v>1028</v>
      </c>
      <c r="E26" s="154">
        <f t="shared" si="4"/>
        <v>85.666666666666671</v>
      </c>
      <c r="F26" s="154">
        <f>SUM('2024 Actual'!C24:M24)</f>
        <v>946.12999999999988</v>
      </c>
      <c r="G26" s="154">
        <f>SUM('2024 Actual'!N24)</f>
        <v>86.28</v>
      </c>
      <c r="H26" s="182">
        <f t="shared" si="5"/>
        <v>1031.7966666666666</v>
      </c>
      <c r="I26" s="189"/>
      <c r="J26" s="194">
        <v>1032.4099999999999</v>
      </c>
      <c r="K26" s="189"/>
      <c r="L26" s="186">
        <v>1100.7200000000003</v>
      </c>
      <c r="N26" s="190">
        <f>L26-J26</f>
        <v>68.3100000000004</v>
      </c>
    </row>
    <row r="27" spans="1:14" ht="16" x14ac:dyDescent="0.2">
      <c r="A27" s="159"/>
      <c r="B27" s="160" t="s">
        <v>354</v>
      </c>
      <c r="C27" s="161"/>
      <c r="D27" s="161">
        <f>SUM(D24:D26)</f>
        <v>15682</v>
      </c>
      <c r="E27" s="161">
        <f>SUM(E24:E26)</f>
        <v>1306.8333333333333</v>
      </c>
      <c r="F27" s="161">
        <f>SUM(F24:F26)</f>
        <v>15538.199999999999</v>
      </c>
      <c r="G27" s="161">
        <f>SUM(G24:G26)</f>
        <v>1271.67</v>
      </c>
      <c r="H27" s="161">
        <f>SUM(H24:H26)</f>
        <v>16845.033333333333</v>
      </c>
      <c r="I27" s="189"/>
      <c r="J27" s="161">
        <v>16809.87</v>
      </c>
      <c r="K27" s="189"/>
      <c r="L27" s="161">
        <f>SUM(L24:L26)</f>
        <v>15148.27</v>
      </c>
    </row>
    <row r="28" spans="1:14" ht="16" x14ac:dyDescent="0.2">
      <c r="A28" s="244" t="s">
        <v>355</v>
      </c>
      <c r="B28" s="243"/>
      <c r="C28" s="150"/>
      <c r="D28" s="150"/>
      <c r="E28" s="150"/>
      <c r="F28" s="150"/>
      <c r="G28" s="150"/>
      <c r="H28" s="183"/>
      <c r="I28" s="189"/>
      <c r="J28" s="196"/>
      <c r="K28" s="189"/>
      <c r="L28" s="187"/>
    </row>
    <row r="29" spans="1:14" ht="16" x14ac:dyDescent="0.2">
      <c r="A29" s="176"/>
      <c r="B29" s="245" t="s">
        <v>356</v>
      </c>
      <c r="C29" s="246"/>
      <c r="D29" s="154">
        <v>38500</v>
      </c>
      <c r="E29" s="154">
        <f>D29/12</f>
        <v>3208.3333333333335</v>
      </c>
      <c r="F29" s="154">
        <f>SUM('2024 Actual'!C25:M25)</f>
        <v>41136.799999999996</v>
      </c>
      <c r="G29" s="154">
        <f>SUM('2024 Actual'!N25)</f>
        <v>0</v>
      </c>
      <c r="H29" s="182">
        <f t="shared" ref="H29:H35" si="6">E29+F29</f>
        <v>44345.133333333331</v>
      </c>
      <c r="I29" s="189"/>
      <c r="J29" s="194">
        <v>41136.799999999996</v>
      </c>
      <c r="K29" s="189"/>
      <c r="L29" s="186">
        <v>38335.369999999995</v>
      </c>
      <c r="N29" s="190">
        <f t="shared" ref="N29:N35" si="7">L29-J29</f>
        <v>-2801.4300000000003</v>
      </c>
    </row>
    <row r="30" spans="1:14" ht="16" x14ac:dyDescent="0.2">
      <c r="A30" s="177"/>
      <c r="B30" s="245" t="s">
        <v>357</v>
      </c>
      <c r="C30" s="246"/>
      <c r="D30" s="154">
        <v>3000</v>
      </c>
      <c r="E30" s="154">
        <f t="shared" ref="E30:E35" si="8">D30/12</f>
        <v>250</v>
      </c>
      <c r="F30" s="154">
        <f>SUM('2024 Actual'!C26:M26)</f>
        <v>781.13</v>
      </c>
      <c r="G30" s="154">
        <f>SUM('2024 Actual'!N26)</f>
        <v>0</v>
      </c>
      <c r="H30" s="182">
        <f t="shared" si="6"/>
        <v>1031.1300000000001</v>
      </c>
      <c r="I30" s="189"/>
      <c r="J30" s="194">
        <v>781.13</v>
      </c>
      <c r="K30" s="189"/>
      <c r="L30" s="186">
        <v>3441.0699999999997</v>
      </c>
      <c r="N30" s="190">
        <f t="shared" si="7"/>
        <v>2659.9399999999996</v>
      </c>
    </row>
    <row r="31" spans="1:14" ht="16" x14ac:dyDescent="0.2">
      <c r="A31" s="177"/>
      <c r="B31" s="245" t="s">
        <v>358</v>
      </c>
      <c r="C31" s="246"/>
      <c r="D31" s="154">
        <v>17200</v>
      </c>
      <c r="E31" s="154">
        <f t="shared" si="8"/>
        <v>1433.3333333333333</v>
      </c>
      <c r="F31" s="154">
        <f>SUM('2024 Actual'!C27:M27)</f>
        <v>15800</v>
      </c>
      <c r="G31" s="154">
        <f>SUM('2024 Actual'!N27)</f>
        <v>1400</v>
      </c>
      <c r="H31" s="182">
        <f t="shared" si="6"/>
        <v>17233.333333333332</v>
      </c>
      <c r="I31" s="189"/>
      <c r="J31" s="194">
        <v>17200</v>
      </c>
      <c r="K31" s="189"/>
      <c r="L31" s="186">
        <v>17200</v>
      </c>
      <c r="N31" s="190">
        <f t="shared" si="7"/>
        <v>0</v>
      </c>
    </row>
    <row r="32" spans="1:14" ht="16" x14ac:dyDescent="0.2">
      <c r="A32" s="177"/>
      <c r="B32" s="245" t="s">
        <v>359</v>
      </c>
      <c r="C32" s="246"/>
      <c r="D32" s="154">
        <v>64</v>
      </c>
      <c r="E32" s="154">
        <f t="shared" si="8"/>
        <v>5.333333333333333</v>
      </c>
      <c r="F32" s="154">
        <f>SUM('2024 Actual'!C28:M28)</f>
        <v>0</v>
      </c>
      <c r="G32" s="154">
        <f>SUM('2024 Actual'!N28)</f>
        <v>0</v>
      </c>
      <c r="H32" s="182">
        <f t="shared" si="6"/>
        <v>5.333333333333333</v>
      </c>
      <c r="I32" s="189"/>
      <c r="J32" s="194">
        <v>0</v>
      </c>
      <c r="K32" s="189"/>
      <c r="L32" s="186">
        <v>64.2</v>
      </c>
      <c r="N32" s="190">
        <f t="shared" si="7"/>
        <v>64.2</v>
      </c>
    </row>
    <row r="33" spans="1:14" ht="16" x14ac:dyDescent="0.2">
      <c r="A33" s="177"/>
      <c r="B33" s="245" t="s">
        <v>372</v>
      </c>
      <c r="C33" s="246"/>
      <c r="D33" s="154">
        <f>700+165</f>
        <v>865</v>
      </c>
      <c r="E33" s="154">
        <f t="shared" si="8"/>
        <v>72.083333333333329</v>
      </c>
      <c r="F33" s="154">
        <f>SUM('2024 Actual'!C29:M29)</f>
        <v>988.95999999999992</v>
      </c>
      <c r="G33" s="154">
        <f>SUM('2024 Actual'!N29)</f>
        <v>0</v>
      </c>
      <c r="H33" s="182">
        <f t="shared" si="6"/>
        <v>1061.0433333333333</v>
      </c>
      <c r="I33" s="189"/>
      <c r="J33" s="194">
        <v>988.95999999999992</v>
      </c>
      <c r="K33" s="189"/>
      <c r="L33" s="186">
        <v>805.5</v>
      </c>
      <c r="N33" s="190">
        <f t="shared" si="7"/>
        <v>-183.45999999999992</v>
      </c>
    </row>
    <row r="34" spans="1:14" ht="16" x14ac:dyDescent="0.2">
      <c r="A34" s="177"/>
      <c r="B34" s="152" t="s">
        <v>360</v>
      </c>
      <c r="C34" s="153"/>
      <c r="D34" s="154">
        <v>1500</v>
      </c>
      <c r="E34" s="154">
        <f t="shared" si="8"/>
        <v>125</v>
      </c>
      <c r="F34" s="154">
        <f>SUM('2024 Actual'!C30:M30)</f>
        <v>1750</v>
      </c>
      <c r="G34" s="154">
        <f>SUM('2024 Actual'!N30)</f>
        <v>0</v>
      </c>
      <c r="H34" s="182">
        <f t="shared" si="6"/>
        <v>1875</v>
      </c>
      <c r="I34" s="189"/>
      <c r="J34" s="194">
        <v>1750</v>
      </c>
      <c r="K34" s="189"/>
      <c r="L34" s="186">
        <v>5325.28</v>
      </c>
      <c r="N34" s="190">
        <f t="shared" si="7"/>
        <v>3575.2799999999997</v>
      </c>
    </row>
    <row r="35" spans="1:14" ht="16" x14ac:dyDescent="0.2">
      <c r="A35" s="178"/>
      <c r="B35" s="247" t="s">
        <v>361</v>
      </c>
      <c r="C35" s="246"/>
      <c r="D35" s="154">
        <v>0</v>
      </c>
      <c r="E35" s="154">
        <f t="shared" si="8"/>
        <v>0</v>
      </c>
      <c r="F35" s="154">
        <f>SUM('2024 Actual'!C31:M31)</f>
        <v>792.14</v>
      </c>
      <c r="G35" s="154">
        <f>SUM('2024 Actual'!N31)</f>
        <v>0</v>
      </c>
      <c r="H35" s="182">
        <f t="shared" si="6"/>
        <v>792.14</v>
      </c>
      <c r="I35" s="189"/>
      <c r="J35" s="194">
        <v>792.14</v>
      </c>
      <c r="K35" s="189"/>
      <c r="L35" s="186">
        <v>674.01</v>
      </c>
      <c r="N35" s="190">
        <f t="shared" si="7"/>
        <v>-118.13</v>
      </c>
    </row>
    <row r="36" spans="1:14" ht="16" x14ac:dyDescent="0.2">
      <c r="A36" s="159"/>
      <c r="B36" s="160" t="s">
        <v>362</v>
      </c>
      <c r="C36" s="161"/>
      <c r="D36" s="161">
        <f>SUM(D29:D35)</f>
        <v>61129</v>
      </c>
      <c r="E36" s="161">
        <f>SUM(E29:E35)</f>
        <v>5094.083333333333</v>
      </c>
      <c r="F36" s="161">
        <f>SUM(F29:F35)</f>
        <v>61249.029999999992</v>
      </c>
      <c r="G36" s="161">
        <f>SUM(G29:G35)</f>
        <v>1400</v>
      </c>
      <c r="H36" s="161">
        <f>SUM(H29:H35)</f>
        <v>66343.113333333327</v>
      </c>
      <c r="I36" s="189"/>
      <c r="J36" s="161">
        <v>62649.029999999992</v>
      </c>
      <c r="K36" s="189"/>
      <c r="L36" s="161">
        <f>SUM(L29:L35)</f>
        <v>65845.429999999993</v>
      </c>
    </row>
    <row r="37" spans="1:14" ht="16" x14ac:dyDescent="0.2">
      <c r="B37" s="158" t="s">
        <v>363</v>
      </c>
      <c r="C37" s="150"/>
      <c r="D37" s="150">
        <v>-2177</v>
      </c>
      <c r="E37" s="150">
        <v>-60.5</v>
      </c>
      <c r="F37" s="150"/>
      <c r="G37" s="150"/>
      <c r="H37" s="183"/>
      <c r="I37" s="189"/>
      <c r="J37" s="196"/>
      <c r="K37" s="189"/>
      <c r="L37" s="187"/>
    </row>
    <row r="38" spans="1:14" ht="5" customHeight="1" x14ac:dyDescent="0.2">
      <c r="C38" s="150"/>
      <c r="D38" s="150"/>
      <c r="E38" s="150"/>
      <c r="F38" s="150"/>
      <c r="G38" s="150"/>
      <c r="H38" s="183"/>
      <c r="I38" s="189"/>
      <c r="J38" s="183"/>
      <c r="K38" s="189"/>
      <c r="L38" s="187"/>
    </row>
    <row r="39" spans="1:14" ht="17" thickBot="1" x14ac:dyDescent="0.25">
      <c r="A39" s="162"/>
      <c r="B39" s="156" t="s">
        <v>364</v>
      </c>
      <c r="C39" s="157"/>
      <c r="D39" s="157">
        <f>SUM(D22,D27,D36,D37)</f>
        <v>81062</v>
      </c>
      <c r="E39" s="157">
        <f>SUM(E22,E27,E36,E37)</f>
        <v>6755.1666666666661</v>
      </c>
      <c r="F39" s="157">
        <f>SUM(F22,F27,F36,F37)</f>
        <v>85313.26</v>
      </c>
      <c r="G39" s="157">
        <f>SUM(G22,G27,G36,G37)</f>
        <v>2671.67</v>
      </c>
      <c r="H39" s="157">
        <f>SUM(H22,H27,H36,H37)</f>
        <v>92128.926666666666</v>
      </c>
      <c r="I39" s="189"/>
      <c r="J39" s="157">
        <v>87984.93</v>
      </c>
      <c r="K39" s="189"/>
      <c r="L39" s="157">
        <f>L22+L27+L36</f>
        <v>86748.329999999987</v>
      </c>
    </row>
    <row r="40" spans="1:14" ht="5" customHeight="1" thickTop="1" x14ac:dyDescent="0.2">
      <c r="C40" s="147"/>
      <c r="D40" s="147"/>
      <c r="E40" s="147"/>
      <c r="F40" s="147"/>
      <c r="G40" s="147"/>
      <c r="H40" s="181"/>
      <c r="I40" s="189"/>
      <c r="J40" s="193"/>
      <c r="K40" s="189"/>
      <c r="L40" s="188"/>
    </row>
    <row r="41" spans="1:14" ht="17" thickBot="1" x14ac:dyDescent="0.25">
      <c r="A41" s="163"/>
      <c r="B41" s="164" t="s">
        <v>365</v>
      </c>
      <c r="C41" s="165"/>
      <c r="D41" s="165">
        <f>D8-D39</f>
        <v>-210</v>
      </c>
      <c r="E41" s="165">
        <f>E8-E39</f>
        <v>-17.499999999999091</v>
      </c>
      <c r="F41" s="165">
        <f>F8-F39</f>
        <v>-1315.5899999999965</v>
      </c>
      <c r="G41" s="165">
        <f>G8-G39</f>
        <v>-2549.2000000000003</v>
      </c>
      <c r="H41" s="165">
        <f>H8-H39+(20000)</f>
        <v>18606.410000000003</v>
      </c>
      <c r="I41" s="189"/>
      <c r="J41" s="165">
        <v>16135.210000000006</v>
      </c>
      <c r="K41" s="189"/>
      <c r="L41" s="165">
        <f>L8-L39</f>
        <v>-2771.8299999999872</v>
      </c>
    </row>
    <row r="42" spans="1:14" ht="5" customHeight="1" thickTop="1" x14ac:dyDescent="0.2">
      <c r="C42" s="147"/>
      <c r="D42" s="147"/>
      <c r="E42" s="147"/>
      <c r="F42" s="147"/>
      <c r="G42" s="147"/>
      <c r="H42" s="147"/>
      <c r="J42" s="147"/>
    </row>
    <row r="43" spans="1:14" ht="16" x14ac:dyDescent="0.2">
      <c r="A43" s="242" t="s">
        <v>366</v>
      </c>
      <c r="B43" s="243"/>
      <c r="C43" s="147"/>
      <c r="D43" s="147"/>
      <c r="E43" s="147"/>
      <c r="F43" s="147"/>
      <c r="G43" s="147"/>
      <c r="H43" s="147"/>
      <c r="J43" s="147"/>
    </row>
    <row r="44" spans="1:14" ht="16" x14ac:dyDescent="0.2">
      <c r="B44" s="166" t="s">
        <v>367</v>
      </c>
      <c r="C44" s="167">
        <v>24990</v>
      </c>
      <c r="D44" s="147"/>
      <c r="F44" s="147" t="s">
        <v>375</v>
      </c>
      <c r="G44" s="147"/>
      <c r="H44" s="147"/>
      <c r="J44" s="147"/>
    </row>
    <row r="45" spans="1:14" ht="16" x14ac:dyDescent="0.2">
      <c r="B45" s="168" t="s">
        <v>368</v>
      </c>
      <c r="C45" s="169">
        <v>-2177</v>
      </c>
      <c r="D45" s="147"/>
      <c r="E45" s="147"/>
      <c r="F45" s="147"/>
      <c r="G45" s="147"/>
      <c r="H45" s="147"/>
      <c r="J45" s="147"/>
    </row>
    <row r="46" spans="1:14" ht="17" thickBot="1" x14ac:dyDescent="0.25">
      <c r="A46" s="163"/>
      <c r="B46" s="164" t="s">
        <v>369</v>
      </c>
      <c r="C46" s="170">
        <f>SUM(C44:C45)</f>
        <v>22813</v>
      </c>
      <c r="D46" s="147"/>
      <c r="E46" s="147"/>
      <c r="F46" s="147"/>
      <c r="G46" s="147"/>
      <c r="H46" s="147"/>
      <c r="J46" s="147"/>
    </row>
    <row r="47" spans="1:14" ht="17" thickTop="1" x14ac:dyDescent="0.2">
      <c r="C47" s="147"/>
      <c r="D47" s="147"/>
      <c r="E47" s="147"/>
      <c r="F47" s="147"/>
      <c r="G47" s="147"/>
      <c r="H47" s="147"/>
      <c r="J47" s="147"/>
    </row>
    <row r="48" spans="1:14" ht="16" x14ac:dyDescent="0.2">
      <c r="C48" s="171"/>
      <c r="D48" s="171"/>
      <c r="E48" s="172"/>
      <c r="F48" s="172"/>
      <c r="G48" s="172"/>
      <c r="H48" s="172"/>
      <c r="J48" s="172"/>
    </row>
    <row r="49" spans="3:10" ht="16" x14ac:dyDescent="0.2">
      <c r="C49" s="147"/>
      <c r="D49" s="147"/>
      <c r="E49" s="172"/>
      <c r="F49" s="172"/>
      <c r="G49" s="172"/>
      <c r="H49" s="172"/>
      <c r="J49" s="172"/>
    </row>
    <row r="50" spans="3:10" ht="16" x14ac:dyDescent="0.2">
      <c r="C50" s="147"/>
      <c r="D50" s="147"/>
      <c r="E50" s="147"/>
      <c r="F50" s="147"/>
      <c r="G50" s="147"/>
      <c r="H50" s="147"/>
      <c r="J50" s="147"/>
    </row>
    <row r="51" spans="3:10" ht="16" x14ac:dyDescent="0.2">
      <c r="C51" s="147"/>
      <c r="D51" s="147"/>
      <c r="E51" s="147"/>
      <c r="F51" s="147"/>
      <c r="G51" s="147"/>
      <c r="H51" s="147"/>
      <c r="J51" s="147"/>
    </row>
    <row r="52" spans="3:10" ht="16" x14ac:dyDescent="0.2">
      <c r="C52" s="147"/>
      <c r="D52" s="147"/>
      <c r="E52" s="147"/>
      <c r="F52" s="147"/>
      <c r="G52" s="147"/>
      <c r="H52" s="147"/>
      <c r="J52" s="147"/>
    </row>
    <row r="53" spans="3:10" ht="16" x14ac:dyDescent="0.2">
      <c r="C53" s="171"/>
      <c r="D53" s="171"/>
      <c r="E53" s="172"/>
      <c r="F53" s="172"/>
      <c r="G53" s="172"/>
      <c r="H53" s="172"/>
      <c r="J53" s="172"/>
    </row>
    <row r="54" spans="3:10" ht="16" x14ac:dyDescent="0.2">
      <c r="C54" s="147"/>
      <c r="D54" s="147"/>
      <c r="E54" s="172"/>
      <c r="F54" s="172"/>
      <c r="G54" s="172"/>
      <c r="H54" s="172"/>
      <c r="J54" s="172"/>
    </row>
    <row r="55" spans="3:10" ht="16" x14ac:dyDescent="0.2">
      <c r="C55" s="147"/>
      <c r="D55" s="147"/>
      <c r="E55" s="147"/>
      <c r="F55" s="147"/>
      <c r="G55" s="147"/>
      <c r="H55" s="147"/>
      <c r="J55" s="147"/>
    </row>
    <row r="56" spans="3:10" ht="16" x14ac:dyDescent="0.2">
      <c r="C56" s="147"/>
      <c r="D56" s="147"/>
      <c r="E56" s="147"/>
      <c r="F56" s="147"/>
      <c r="G56" s="147"/>
      <c r="H56" s="147"/>
      <c r="J56" s="147"/>
    </row>
    <row r="57" spans="3:10" ht="16" x14ac:dyDescent="0.2">
      <c r="C57" s="147"/>
      <c r="D57" s="147"/>
      <c r="E57" s="147"/>
      <c r="F57" s="147"/>
      <c r="G57" s="147"/>
      <c r="H57" s="147"/>
      <c r="J57" s="147"/>
    </row>
    <row r="58" spans="3:10" ht="16" x14ac:dyDescent="0.2">
      <c r="C58" s="147"/>
      <c r="D58" s="147"/>
      <c r="E58" s="147"/>
      <c r="F58" s="147"/>
      <c r="G58" s="147"/>
      <c r="H58" s="147"/>
      <c r="J58" s="147"/>
    </row>
    <row r="59" spans="3:10" ht="16" x14ac:dyDescent="0.2">
      <c r="C59" s="147"/>
      <c r="D59" s="147"/>
      <c r="E59" s="147"/>
      <c r="F59" s="147"/>
      <c r="G59" s="147"/>
      <c r="H59" s="147"/>
      <c r="J59" s="147"/>
    </row>
    <row r="60" spans="3:10" ht="16" x14ac:dyDescent="0.2">
      <c r="C60" s="147"/>
      <c r="D60" s="147"/>
      <c r="E60" s="147"/>
      <c r="F60" s="147"/>
      <c r="G60" s="147"/>
      <c r="H60" s="147"/>
      <c r="J60" s="147"/>
    </row>
    <row r="61" spans="3:10" ht="16" x14ac:dyDescent="0.2">
      <c r="C61" s="147"/>
      <c r="D61" s="147"/>
      <c r="E61" s="147"/>
      <c r="F61" s="147"/>
      <c r="G61" s="147"/>
      <c r="H61" s="147"/>
      <c r="J61" s="147"/>
    </row>
    <row r="62" spans="3:10" ht="16" x14ac:dyDescent="0.2">
      <c r="C62" s="147"/>
      <c r="D62" s="147"/>
      <c r="E62" s="147"/>
      <c r="F62" s="147"/>
      <c r="G62" s="147"/>
      <c r="H62" s="147"/>
      <c r="J62" s="147"/>
    </row>
    <row r="63" spans="3:10" ht="16" x14ac:dyDescent="0.2">
      <c r="C63" s="147"/>
      <c r="D63" s="147"/>
      <c r="E63" s="147"/>
      <c r="F63" s="147"/>
      <c r="G63" s="147"/>
      <c r="H63" s="147"/>
      <c r="J63" s="147"/>
    </row>
    <row r="64" spans="3:10" ht="16" x14ac:dyDescent="0.2">
      <c r="C64" s="147"/>
      <c r="D64" s="147"/>
      <c r="E64" s="147"/>
      <c r="F64" s="147"/>
      <c r="G64" s="147"/>
      <c r="H64" s="147"/>
      <c r="J64" s="147"/>
    </row>
    <row r="65" spans="3:10" ht="16" x14ac:dyDescent="0.2">
      <c r="C65" s="147"/>
      <c r="D65" s="147"/>
      <c r="E65" s="147"/>
      <c r="F65" s="147"/>
      <c r="G65" s="147"/>
      <c r="H65" s="147"/>
      <c r="J65" s="147"/>
    </row>
    <row r="66" spans="3:10" ht="16" x14ac:dyDescent="0.2">
      <c r="C66" s="147"/>
      <c r="D66" s="147"/>
      <c r="E66" s="147"/>
      <c r="F66" s="147"/>
      <c r="G66" s="147"/>
      <c r="H66" s="147"/>
      <c r="J66" s="147"/>
    </row>
    <row r="67" spans="3:10" ht="16" x14ac:dyDescent="0.2">
      <c r="C67" s="147"/>
      <c r="D67" s="147"/>
      <c r="E67" s="147"/>
      <c r="F67" s="147"/>
      <c r="G67" s="147"/>
      <c r="H67" s="147"/>
      <c r="J67" s="147"/>
    </row>
    <row r="68" spans="3:10" ht="16" x14ac:dyDescent="0.2">
      <c r="C68" s="147"/>
      <c r="D68" s="147"/>
      <c r="E68" s="147"/>
      <c r="F68" s="147"/>
      <c r="G68" s="147"/>
      <c r="H68" s="147"/>
      <c r="J68" s="147"/>
    </row>
    <row r="69" spans="3:10" ht="16" x14ac:dyDescent="0.2">
      <c r="C69" s="147"/>
      <c r="D69" s="147"/>
      <c r="E69" s="147"/>
      <c r="F69" s="147"/>
      <c r="G69" s="147"/>
      <c r="H69" s="147"/>
      <c r="J69" s="147"/>
    </row>
    <row r="70" spans="3:10" ht="16" x14ac:dyDescent="0.2">
      <c r="C70" s="147"/>
      <c r="D70" s="147"/>
      <c r="E70" s="147"/>
      <c r="F70" s="147"/>
      <c r="G70" s="147"/>
      <c r="H70" s="147"/>
      <c r="J70" s="147"/>
    </row>
    <row r="71" spans="3:10" ht="16" x14ac:dyDescent="0.2">
      <c r="C71" s="147"/>
      <c r="D71" s="147"/>
      <c r="E71" s="147"/>
      <c r="F71" s="147"/>
      <c r="G71" s="147"/>
      <c r="H71" s="147"/>
      <c r="J71" s="147"/>
    </row>
    <row r="72" spans="3:10" ht="16" x14ac:dyDescent="0.2">
      <c r="C72" s="147"/>
      <c r="D72" s="147"/>
      <c r="E72" s="147"/>
      <c r="F72" s="147"/>
      <c r="G72" s="147"/>
      <c r="H72" s="147"/>
      <c r="J72" s="147"/>
    </row>
    <row r="73" spans="3:10" ht="16" x14ac:dyDescent="0.2">
      <c r="C73" s="147"/>
      <c r="D73" s="147"/>
      <c r="E73" s="147"/>
      <c r="F73" s="147"/>
      <c r="G73" s="147"/>
      <c r="H73" s="147"/>
      <c r="J73" s="147"/>
    </row>
    <row r="74" spans="3:10" ht="16" x14ac:dyDescent="0.2">
      <c r="C74" s="147"/>
      <c r="D74" s="147"/>
      <c r="E74" s="147"/>
      <c r="F74" s="147"/>
      <c r="G74" s="147"/>
      <c r="H74" s="147"/>
      <c r="J74" s="147"/>
    </row>
    <row r="75" spans="3:10" ht="16" x14ac:dyDescent="0.2">
      <c r="C75" s="147"/>
      <c r="D75" s="147"/>
      <c r="E75" s="147"/>
      <c r="F75" s="147"/>
      <c r="G75" s="147"/>
      <c r="H75" s="147"/>
      <c r="J75" s="147"/>
    </row>
    <row r="76" spans="3:10" ht="16" x14ac:dyDescent="0.2">
      <c r="C76" s="147"/>
      <c r="D76" s="147"/>
      <c r="E76" s="147"/>
      <c r="F76" s="147"/>
      <c r="G76" s="147"/>
      <c r="H76" s="147"/>
      <c r="J76" s="147"/>
    </row>
    <row r="77" spans="3:10" ht="16" x14ac:dyDescent="0.2">
      <c r="C77" s="147"/>
      <c r="D77" s="147"/>
      <c r="E77" s="147"/>
      <c r="F77" s="147"/>
      <c r="G77" s="147"/>
      <c r="H77" s="147"/>
      <c r="J77" s="147"/>
    </row>
    <row r="78" spans="3:10" ht="16" x14ac:dyDescent="0.2">
      <c r="C78" s="147"/>
      <c r="D78" s="147"/>
      <c r="E78" s="147"/>
      <c r="F78" s="147"/>
      <c r="G78" s="147"/>
      <c r="H78" s="147"/>
      <c r="J78" s="147"/>
    </row>
    <row r="79" spans="3:10" ht="16" x14ac:dyDescent="0.2">
      <c r="C79" s="147"/>
      <c r="D79" s="147"/>
      <c r="E79" s="147"/>
      <c r="F79" s="147"/>
      <c r="G79" s="147"/>
      <c r="H79" s="147"/>
      <c r="J79" s="147"/>
    </row>
    <row r="80" spans="3:10" ht="16" x14ac:dyDescent="0.2">
      <c r="C80" s="147"/>
      <c r="D80" s="147"/>
      <c r="E80" s="147"/>
      <c r="F80" s="147"/>
      <c r="G80" s="147"/>
      <c r="H80" s="147"/>
      <c r="J80" s="147"/>
    </row>
    <row r="81" spans="3:10" ht="16" x14ac:dyDescent="0.2">
      <c r="C81" s="147"/>
      <c r="D81" s="147"/>
      <c r="E81" s="147"/>
      <c r="F81" s="147"/>
      <c r="G81" s="147"/>
      <c r="H81" s="147"/>
      <c r="J81" s="147"/>
    </row>
    <row r="82" spans="3:10" ht="16" x14ac:dyDescent="0.2">
      <c r="C82" s="147"/>
      <c r="D82" s="147"/>
      <c r="E82" s="147"/>
      <c r="F82" s="147"/>
      <c r="G82" s="147"/>
      <c r="H82" s="147"/>
      <c r="J82" s="147"/>
    </row>
    <row r="83" spans="3:10" ht="16" x14ac:dyDescent="0.2">
      <c r="C83" s="147"/>
      <c r="D83" s="147"/>
      <c r="E83" s="147"/>
      <c r="F83" s="147"/>
      <c r="G83" s="147"/>
      <c r="H83" s="147"/>
      <c r="J83" s="147"/>
    </row>
    <row r="84" spans="3:10" ht="16" x14ac:dyDescent="0.2">
      <c r="C84" s="147"/>
      <c r="D84" s="147"/>
      <c r="E84" s="147"/>
      <c r="F84" s="147"/>
      <c r="G84" s="147"/>
      <c r="H84" s="147"/>
      <c r="J84" s="147"/>
    </row>
    <row r="85" spans="3:10" ht="16" x14ac:dyDescent="0.2">
      <c r="C85" s="147"/>
      <c r="D85" s="147"/>
      <c r="E85" s="147"/>
      <c r="F85" s="147"/>
      <c r="G85" s="147"/>
      <c r="H85" s="147"/>
      <c r="J85" s="147"/>
    </row>
    <row r="86" spans="3:10" ht="16" x14ac:dyDescent="0.2">
      <c r="C86" s="147"/>
      <c r="D86" s="147"/>
      <c r="E86" s="147"/>
      <c r="F86" s="147"/>
      <c r="G86" s="147"/>
      <c r="H86" s="147"/>
      <c r="J86" s="147"/>
    </row>
    <row r="87" spans="3:10" ht="16" x14ac:dyDescent="0.2">
      <c r="C87" s="147"/>
      <c r="D87" s="147"/>
      <c r="E87" s="147"/>
      <c r="F87" s="147"/>
      <c r="G87" s="147"/>
      <c r="H87" s="147"/>
      <c r="J87" s="147"/>
    </row>
    <row r="88" spans="3:10" ht="16" x14ac:dyDescent="0.2">
      <c r="C88" s="147"/>
      <c r="D88" s="147"/>
      <c r="E88" s="147"/>
      <c r="F88" s="147"/>
      <c r="G88" s="147"/>
      <c r="H88" s="147"/>
      <c r="J88" s="147"/>
    </row>
    <row r="89" spans="3:10" ht="16" x14ac:dyDescent="0.2">
      <c r="C89" s="147"/>
      <c r="D89" s="147"/>
      <c r="E89" s="147"/>
      <c r="F89" s="147"/>
      <c r="G89" s="147"/>
      <c r="H89" s="147"/>
      <c r="J89" s="147"/>
    </row>
    <row r="90" spans="3:10" ht="16" x14ac:dyDescent="0.2">
      <c r="C90" s="147"/>
      <c r="D90" s="147"/>
      <c r="E90" s="147"/>
      <c r="F90" s="147"/>
      <c r="G90" s="147"/>
      <c r="H90" s="147"/>
      <c r="J90" s="147"/>
    </row>
    <row r="91" spans="3:10" ht="16" x14ac:dyDescent="0.2">
      <c r="C91" s="147"/>
      <c r="D91" s="147"/>
      <c r="E91" s="147"/>
      <c r="F91" s="147"/>
      <c r="G91" s="147"/>
      <c r="H91" s="147"/>
      <c r="J91" s="147"/>
    </row>
    <row r="92" spans="3:10" ht="16" x14ac:dyDescent="0.2">
      <c r="C92" s="147"/>
      <c r="D92" s="147"/>
      <c r="E92" s="147"/>
      <c r="F92" s="147"/>
      <c r="G92" s="147"/>
      <c r="H92" s="147"/>
      <c r="J92" s="147"/>
    </row>
    <row r="93" spans="3:10" ht="16" x14ac:dyDescent="0.2">
      <c r="C93" s="147"/>
      <c r="D93" s="147"/>
      <c r="E93" s="147"/>
      <c r="F93" s="147"/>
      <c r="G93" s="147"/>
      <c r="H93" s="147"/>
      <c r="J93" s="147"/>
    </row>
    <row r="94" spans="3:10" ht="16" x14ac:dyDescent="0.2">
      <c r="C94" s="147"/>
      <c r="D94" s="147"/>
      <c r="E94" s="147"/>
      <c r="F94" s="147"/>
      <c r="G94" s="147"/>
      <c r="H94" s="147"/>
      <c r="J94" s="147"/>
    </row>
    <row r="95" spans="3:10" ht="16" x14ac:dyDescent="0.2">
      <c r="C95" s="147"/>
      <c r="D95" s="147"/>
      <c r="E95" s="147"/>
      <c r="F95" s="147"/>
      <c r="G95" s="147"/>
      <c r="H95" s="147"/>
      <c r="J95" s="147"/>
    </row>
    <row r="96" spans="3:10" ht="16" x14ac:dyDescent="0.2">
      <c r="C96" s="147"/>
      <c r="D96" s="147"/>
      <c r="E96" s="147"/>
      <c r="F96" s="147"/>
      <c r="G96" s="147"/>
      <c r="H96" s="147"/>
      <c r="J96" s="147"/>
    </row>
    <row r="97" spans="3:10" ht="16" x14ac:dyDescent="0.2">
      <c r="C97" s="147"/>
      <c r="D97" s="147"/>
      <c r="E97" s="147"/>
      <c r="F97" s="147"/>
      <c r="G97" s="147"/>
      <c r="H97" s="147"/>
      <c r="J97" s="147"/>
    </row>
    <row r="98" spans="3:10" ht="16" x14ac:dyDescent="0.2">
      <c r="C98" s="147"/>
      <c r="D98" s="147"/>
      <c r="E98" s="147"/>
      <c r="F98" s="147"/>
      <c r="G98" s="147"/>
      <c r="H98" s="147"/>
      <c r="J98" s="147"/>
    </row>
    <row r="99" spans="3:10" ht="16" x14ac:dyDescent="0.2">
      <c r="C99" s="147"/>
      <c r="D99" s="147"/>
      <c r="E99" s="147"/>
      <c r="F99" s="147"/>
      <c r="G99" s="147"/>
      <c r="H99" s="147"/>
      <c r="J99" s="147"/>
    </row>
    <row r="100" spans="3:10" ht="16" x14ac:dyDescent="0.2">
      <c r="C100" s="147"/>
      <c r="D100" s="147"/>
      <c r="E100" s="147"/>
      <c r="F100" s="147"/>
      <c r="G100" s="147"/>
      <c r="H100" s="147"/>
      <c r="J100" s="147"/>
    </row>
    <row r="101" spans="3:10" ht="16" x14ac:dyDescent="0.2">
      <c r="C101" s="147"/>
      <c r="D101" s="147"/>
      <c r="E101" s="147"/>
      <c r="F101" s="147"/>
      <c r="G101" s="147"/>
      <c r="H101" s="147"/>
      <c r="J101" s="147"/>
    </row>
    <row r="102" spans="3:10" ht="16" x14ac:dyDescent="0.2">
      <c r="C102" s="147"/>
      <c r="D102" s="147"/>
      <c r="E102" s="147"/>
      <c r="F102" s="147"/>
      <c r="G102" s="147"/>
      <c r="H102" s="147"/>
      <c r="J102" s="147"/>
    </row>
    <row r="103" spans="3:10" ht="16" x14ac:dyDescent="0.2">
      <c r="C103" s="147"/>
      <c r="D103" s="147"/>
      <c r="E103" s="147"/>
      <c r="F103" s="147"/>
      <c r="G103" s="147"/>
      <c r="H103" s="147"/>
      <c r="J103" s="147"/>
    </row>
    <row r="104" spans="3:10" ht="16" x14ac:dyDescent="0.2">
      <c r="C104" s="147"/>
      <c r="D104" s="147"/>
      <c r="E104" s="147"/>
      <c r="F104" s="147"/>
      <c r="G104" s="147"/>
      <c r="H104" s="147"/>
      <c r="J104" s="147"/>
    </row>
    <row r="105" spans="3:10" ht="16" x14ac:dyDescent="0.2">
      <c r="C105" s="147"/>
      <c r="D105" s="147"/>
      <c r="E105" s="147"/>
      <c r="F105" s="147"/>
      <c r="G105" s="147"/>
      <c r="H105" s="147"/>
      <c r="J105" s="147"/>
    </row>
    <row r="106" spans="3:10" ht="16" x14ac:dyDescent="0.2">
      <c r="C106" s="147"/>
      <c r="D106" s="147"/>
      <c r="E106" s="147"/>
      <c r="F106" s="147"/>
      <c r="G106" s="147"/>
      <c r="H106" s="147"/>
      <c r="J106" s="147"/>
    </row>
    <row r="107" spans="3:10" ht="16" x14ac:dyDescent="0.2">
      <c r="C107" s="147"/>
      <c r="D107" s="147"/>
      <c r="E107" s="147"/>
      <c r="F107" s="147"/>
      <c r="G107" s="147"/>
      <c r="H107" s="147"/>
      <c r="J107" s="147"/>
    </row>
    <row r="108" spans="3:10" ht="16" x14ac:dyDescent="0.2">
      <c r="C108" s="147"/>
      <c r="D108" s="147"/>
      <c r="E108" s="147"/>
      <c r="F108" s="147"/>
      <c r="G108" s="147"/>
      <c r="H108" s="147"/>
      <c r="J108" s="147"/>
    </row>
    <row r="109" spans="3:10" ht="16" x14ac:dyDescent="0.2">
      <c r="C109" s="147"/>
      <c r="D109" s="147"/>
      <c r="E109" s="147"/>
      <c r="F109" s="147"/>
      <c r="G109" s="147"/>
      <c r="H109" s="147"/>
      <c r="J109" s="147"/>
    </row>
    <row r="110" spans="3:10" ht="16" x14ac:dyDescent="0.2">
      <c r="C110" s="147"/>
      <c r="D110" s="147"/>
      <c r="E110" s="147"/>
      <c r="F110" s="147"/>
      <c r="G110" s="147"/>
      <c r="H110" s="147"/>
      <c r="J110" s="147"/>
    </row>
    <row r="111" spans="3:10" ht="16" x14ac:dyDescent="0.2">
      <c r="C111" s="147"/>
      <c r="D111" s="147"/>
      <c r="E111" s="147"/>
      <c r="F111" s="147"/>
      <c r="G111" s="147"/>
      <c r="H111" s="147"/>
      <c r="J111" s="147"/>
    </row>
    <row r="112" spans="3:10" ht="16" x14ac:dyDescent="0.2">
      <c r="C112" s="147"/>
      <c r="D112" s="147"/>
      <c r="E112" s="147"/>
      <c r="F112" s="147"/>
      <c r="G112" s="147"/>
      <c r="H112" s="147"/>
      <c r="J112" s="147"/>
    </row>
    <row r="113" spans="3:10" ht="16" x14ac:dyDescent="0.2">
      <c r="C113" s="147"/>
      <c r="D113" s="147"/>
      <c r="E113" s="147"/>
      <c r="F113" s="147"/>
      <c r="G113" s="147"/>
      <c r="H113" s="147"/>
      <c r="J113" s="147"/>
    </row>
    <row r="114" spans="3:10" ht="16" x14ac:dyDescent="0.2">
      <c r="C114" s="147"/>
      <c r="D114" s="147"/>
      <c r="E114" s="147"/>
      <c r="F114" s="147"/>
      <c r="G114" s="147"/>
      <c r="H114" s="147"/>
      <c r="J114" s="147"/>
    </row>
    <row r="115" spans="3:10" ht="16" x14ac:dyDescent="0.2">
      <c r="C115" s="147"/>
      <c r="D115" s="147"/>
      <c r="E115" s="147"/>
      <c r="F115" s="147"/>
      <c r="G115" s="147"/>
      <c r="H115" s="147"/>
      <c r="J115" s="147"/>
    </row>
    <row r="116" spans="3:10" ht="16" x14ac:dyDescent="0.2">
      <c r="C116" s="147"/>
      <c r="D116" s="147"/>
      <c r="E116" s="147"/>
      <c r="F116" s="147"/>
      <c r="G116" s="147"/>
      <c r="H116" s="147"/>
      <c r="J116" s="147"/>
    </row>
    <row r="117" spans="3:10" ht="16" x14ac:dyDescent="0.2">
      <c r="C117" s="147"/>
      <c r="D117" s="147"/>
      <c r="E117" s="147"/>
      <c r="F117" s="147"/>
      <c r="G117" s="147"/>
      <c r="H117" s="147"/>
      <c r="J117" s="147"/>
    </row>
    <row r="118" spans="3:10" ht="16" x14ac:dyDescent="0.2">
      <c r="C118" s="147"/>
      <c r="D118" s="147"/>
      <c r="E118" s="147"/>
      <c r="F118" s="147"/>
      <c r="G118" s="147"/>
      <c r="H118" s="147"/>
      <c r="J118" s="147"/>
    </row>
    <row r="119" spans="3:10" ht="16" x14ac:dyDescent="0.2">
      <c r="C119" s="147"/>
      <c r="D119" s="147"/>
      <c r="E119" s="147"/>
      <c r="F119" s="147"/>
      <c r="G119" s="147"/>
      <c r="H119" s="147"/>
      <c r="J119" s="147"/>
    </row>
    <row r="120" spans="3:10" ht="16" x14ac:dyDescent="0.2">
      <c r="C120" s="147"/>
      <c r="D120" s="147"/>
      <c r="E120" s="147"/>
      <c r="F120" s="147"/>
      <c r="G120" s="147"/>
      <c r="H120" s="147"/>
      <c r="J120" s="147"/>
    </row>
    <row r="121" spans="3:10" ht="16" x14ac:dyDescent="0.2">
      <c r="C121" s="147"/>
      <c r="D121" s="147"/>
      <c r="E121" s="147"/>
      <c r="F121" s="147"/>
      <c r="G121" s="147"/>
      <c r="H121" s="147"/>
      <c r="J121" s="147"/>
    </row>
    <row r="122" spans="3:10" ht="16" x14ac:dyDescent="0.2">
      <c r="C122" s="147"/>
      <c r="D122" s="147"/>
      <c r="E122" s="147"/>
      <c r="F122" s="147"/>
      <c r="G122" s="147"/>
      <c r="H122" s="147"/>
      <c r="J122" s="147"/>
    </row>
    <row r="123" spans="3:10" ht="16" x14ac:dyDescent="0.2">
      <c r="C123" s="147"/>
      <c r="D123" s="147"/>
      <c r="E123" s="147"/>
      <c r="F123" s="147"/>
      <c r="G123" s="147"/>
      <c r="H123" s="147"/>
      <c r="J123" s="147"/>
    </row>
    <row r="124" spans="3:10" ht="16" x14ac:dyDescent="0.2">
      <c r="C124" s="147"/>
      <c r="D124" s="147"/>
      <c r="E124" s="147"/>
      <c r="F124" s="147"/>
      <c r="G124" s="147"/>
      <c r="H124" s="147"/>
      <c r="J124" s="147"/>
    </row>
    <row r="125" spans="3:10" ht="16" x14ac:dyDescent="0.2">
      <c r="C125" s="147"/>
      <c r="D125" s="147"/>
      <c r="E125" s="147"/>
      <c r="F125" s="147"/>
      <c r="G125" s="147"/>
      <c r="H125" s="147"/>
      <c r="J125" s="147"/>
    </row>
    <row r="126" spans="3:10" ht="16" x14ac:dyDescent="0.2">
      <c r="C126" s="147"/>
      <c r="D126" s="147"/>
      <c r="E126" s="147"/>
      <c r="F126" s="147"/>
      <c r="G126" s="147"/>
      <c r="H126" s="147"/>
      <c r="J126" s="147"/>
    </row>
    <row r="127" spans="3:10" ht="16" x14ac:dyDescent="0.2">
      <c r="C127" s="147"/>
      <c r="D127" s="147"/>
      <c r="E127" s="147"/>
      <c r="F127" s="147"/>
      <c r="G127" s="147"/>
      <c r="H127" s="147"/>
      <c r="J127" s="147"/>
    </row>
    <row r="128" spans="3:10" ht="16" x14ac:dyDescent="0.2">
      <c r="C128" s="147"/>
      <c r="D128" s="147"/>
      <c r="E128" s="147"/>
      <c r="F128" s="147"/>
      <c r="G128" s="147"/>
      <c r="H128" s="147"/>
      <c r="J128" s="147"/>
    </row>
    <row r="129" spans="3:10" ht="16" x14ac:dyDescent="0.2">
      <c r="C129" s="147"/>
      <c r="D129" s="147"/>
      <c r="E129" s="147"/>
      <c r="F129" s="147"/>
      <c r="G129" s="147"/>
      <c r="H129" s="147"/>
      <c r="J129" s="147"/>
    </row>
    <row r="130" spans="3:10" ht="16" x14ac:dyDescent="0.2">
      <c r="C130" s="147"/>
      <c r="D130" s="147"/>
      <c r="E130" s="147"/>
      <c r="F130" s="147"/>
      <c r="G130" s="147"/>
      <c r="H130" s="147"/>
      <c r="J130" s="147"/>
    </row>
    <row r="131" spans="3:10" ht="16" x14ac:dyDescent="0.2">
      <c r="C131" s="147"/>
      <c r="D131" s="147"/>
      <c r="E131" s="147"/>
      <c r="F131" s="147"/>
      <c r="G131" s="147"/>
      <c r="H131" s="147"/>
      <c r="J131" s="147"/>
    </row>
    <row r="132" spans="3:10" ht="16" x14ac:dyDescent="0.2">
      <c r="C132" s="147"/>
      <c r="D132" s="147"/>
      <c r="E132" s="147"/>
      <c r="F132" s="147"/>
      <c r="G132" s="147"/>
      <c r="H132" s="147"/>
      <c r="J132" s="147"/>
    </row>
    <row r="133" spans="3:10" ht="16" x14ac:dyDescent="0.2">
      <c r="C133" s="147"/>
      <c r="D133" s="147"/>
      <c r="E133" s="147"/>
      <c r="F133" s="147"/>
      <c r="G133" s="147"/>
      <c r="H133" s="147"/>
      <c r="J133" s="147"/>
    </row>
    <row r="134" spans="3:10" ht="16" x14ac:dyDescent="0.2">
      <c r="C134" s="147"/>
      <c r="D134" s="147"/>
      <c r="E134" s="147"/>
      <c r="F134" s="147"/>
      <c r="G134" s="147"/>
      <c r="H134" s="147"/>
      <c r="J134" s="147"/>
    </row>
    <row r="135" spans="3:10" ht="16" x14ac:dyDescent="0.2">
      <c r="C135" s="147"/>
      <c r="D135" s="147"/>
      <c r="E135" s="147"/>
      <c r="F135" s="147"/>
      <c r="G135" s="147"/>
      <c r="H135" s="147"/>
      <c r="J135" s="147"/>
    </row>
    <row r="136" spans="3:10" ht="16" x14ac:dyDescent="0.2">
      <c r="C136" s="147"/>
      <c r="D136" s="147"/>
      <c r="E136" s="147"/>
      <c r="F136" s="147"/>
      <c r="G136" s="147"/>
      <c r="H136" s="147"/>
      <c r="J136" s="147"/>
    </row>
    <row r="137" spans="3:10" ht="16" x14ac:dyDescent="0.2">
      <c r="C137" s="147"/>
      <c r="D137" s="147"/>
      <c r="E137" s="147"/>
      <c r="F137" s="147"/>
      <c r="G137" s="147"/>
      <c r="H137" s="147"/>
      <c r="J137" s="147"/>
    </row>
    <row r="138" spans="3:10" ht="16" x14ac:dyDescent="0.2">
      <c r="C138" s="147"/>
      <c r="D138" s="147"/>
      <c r="E138" s="147"/>
      <c r="F138" s="147"/>
      <c r="G138" s="147"/>
      <c r="H138" s="147"/>
      <c r="J138" s="147"/>
    </row>
    <row r="139" spans="3:10" ht="16" x14ac:dyDescent="0.2">
      <c r="C139" s="147"/>
      <c r="D139" s="147"/>
      <c r="E139" s="147"/>
      <c r="F139" s="147"/>
      <c r="G139" s="147"/>
      <c r="H139" s="147"/>
      <c r="J139" s="147"/>
    </row>
    <row r="140" spans="3:10" ht="16" x14ac:dyDescent="0.2">
      <c r="C140" s="147"/>
      <c r="D140" s="147"/>
      <c r="E140" s="147"/>
      <c r="F140" s="147"/>
      <c r="G140" s="147"/>
      <c r="H140" s="147"/>
      <c r="J140" s="147"/>
    </row>
    <row r="141" spans="3:10" ht="16" x14ac:dyDescent="0.2">
      <c r="C141" s="147"/>
      <c r="D141" s="147"/>
      <c r="E141" s="147"/>
      <c r="F141" s="147"/>
      <c r="G141" s="147"/>
      <c r="H141" s="147"/>
      <c r="J141" s="147"/>
    </row>
    <row r="142" spans="3:10" ht="16" x14ac:dyDescent="0.2">
      <c r="C142" s="147"/>
      <c r="D142" s="147"/>
      <c r="E142" s="147"/>
      <c r="F142" s="147"/>
      <c r="G142" s="147"/>
      <c r="H142" s="147"/>
      <c r="J142" s="147"/>
    </row>
    <row r="143" spans="3:10" ht="16" x14ac:dyDescent="0.2">
      <c r="C143" s="147"/>
      <c r="D143" s="147"/>
      <c r="E143" s="147"/>
      <c r="F143" s="147"/>
      <c r="G143" s="147"/>
      <c r="H143" s="147"/>
      <c r="J143" s="147"/>
    </row>
    <row r="144" spans="3:10" ht="16" x14ac:dyDescent="0.2">
      <c r="C144" s="147"/>
      <c r="D144" s="147"/>
      <c r="E144" s="147"/>
      <c r="F144" s="147"/>
      <c r="G144" s="147"/>
      <c r="H144" s="147"/>
      <c r="J144" s="147"/>
    </row>
    <row r="145" spans="3:10" ht="16" x14ac:dyDescent="0.2">
      <c r="C145" s="147"/>
      <c r="D145" s="147"/>
      <c r="E145" s="147"/>
      <c r="F145" s="147"/>
      <c r="G145" s="147"/>
      <c r="H145" s="147"/>
      <c r="J145" s="147"/>
    </row>
    <row r="146" spans="3:10" ht="16" x14ac:dyDescent="0.2">
      <c r="C146" s="147"/>
      <c r="D146" s="147"/>
      <c r="E146" s="147"/>
      <c r="F146" s="147"/>
      <c r="G146" s="147"/>
      <c r="H146" s="147"/>
      <c r="J146" s="147"/>
    </row>
    <row r="147" spans="3:10" ht="16" x14ac:dyDescent="0.2">
      <c r="C147" s="147"/>
      <c r="D147" s="147"/>
      <c r="E147" s="147"/>
      <c r="F147" s="147"/>
      <c r="G147" s="147"/>
      <c r="H147" s="147"/>
      <c r="J147" s="147"/>
    </row>
    <row r="148" spans="3:10" ht="16" x14ac:dyDescent="0.2">
      <c r="C148" s="147"/>
      <c r="D148" s="147"/>
      <c r="E148" s="147"/>
      <c r="F148" s="147"/>
      <c r="G148" s="147"/>
      <c r="H148" s="147"/>
      <c r="J148" s="147"/>
    </row>
    <row r="149" spans="3:10" ht="16" x14ac:dyDescent="0.2">
      <c r="C149" s="147"/>
      <c r="D149" s="147"/>
      <c r="E149" s="147"/>
      <c r="F149" s="147"/>
      <c r="G149" s="147"/>
      <c r="H149" s="147"/>
      <c r="J149" s="147"/>
    </row>
    <row r="150" spans="3:10" ht="16" x14ac:dyDescent="0.2">
      <c r="C150" s="147"/>
      <c r="D150" s="147"/>
      <c r="E150" s="147"/>
      <c r="F150" s="147"/>
      <c r="G150" s="147"/>
      <c r="H150" s="147"/>
      <c r="J150" s="147"/>
    </row>
    <row r="151" spans="3:10" ht="16" x14ac:dyDescent="0.2">
      <c r="C151" s="147"/>
      <c r="D151" s="147"/>
      <c r="E151" s="147"/>
      <c r="F151" s="147"/>
      <c r="G151" s="147"/>
      <c r="H151" s="147"/>
      <c r="J151" s="147"/>
    </row>
    <row r="152" spans="3:10" ht="16" x14ac:dyDescent="0.2">
      <c r="C152" s="147"/>
      <c r="D152" s="147"/>
      <c r="E152" s="147"/>
      <c r="F152" s="147"/>
      <c r="G152" s="147"/>
      <c r="H152" s="147"/>
      <c r="J152" s="147"/>
    </row>
    <row r="153" spans="3:10" ht="16" x14ac:dyDescent="0.2">
      <c r="C153" s="147"/>
      <c r="D153" s="147"/>
      <c r="E153" s="147"/>
      <c r="F153" s="147"/>
      <c r="G153" s="147"/>
      <c r="H153" s="147"/>
      <c r="J153" s="147"/>
    </row>
    <row r="154" spans="3:10" ht="16" x14ac:dyDescent="0.2">
      <c r="C154" s="147"/>
      <c r="D154" s="147"/>
      <c r="E154" s="147"/>
      <c r="F154" s="147"/>
      <c r="G154" s="147"/>
      <c r="H154" s="147"/>
      <c r="J154" s="147"/>
    </row>
    <row r="155" spans="3:10" ht="16" x14ac:dyDescent="0.2">
      <c r="C155" s="147"/>
      <c r="D155" s="147"/>
      <c r="E155" s="147"/>
      <c r="F155" s="147"/>
      <c r="G155" s="147"/>
      <c r="H155" s="147"/>
      <c r="J155" s="147"/>
    </row>
    <row r="156" spans="3:10" ht="16" x14ac:dyDescent="0.2">
      <c r="C156" s="147"/>
      <c r="D156" s="147"/>
      <c r="E156" s="147"/>
      <c r="F156" s="147"/>
      <c r="G156" s="147"/>
      <c r="H156" s="147"/>
      <c r="J156" s="147"/>
    </row>
    <row r="157" spans="3:10" ht="16" x14ac:dyDescent="0.2">
      <c r="C157" s="147"/>
      <c r="D157" s="147"/>
      <c r="E157" s="147"/>
      <c r="F157" s="147"/>
      <c r="G157" s="147"/>
      <c r="H157" s="147"/>
      <c r="J157" s="147"/>
    </row>
    <row r="158" spans="3:10" ht="16" x14ac:dyDescent="0.2">
      <c r="C158" s="147"/>
      <c r="D158" s="147"/>
      <c r="E158" s="147"/>
      <c r="F158" s="147"/>
      <c r="G158" s="147"/>
      <c r="H158" s="147"/>
      <c r="J158" s="147"/>
    </row>
    <row r="159" spans="3:10" ht="16" x14ac:dyDescent="0.2">
      <c r="C159" s="147"/>
      <c r="D159" s="147"/>
      <c r="E159" s="147"/>
      <c r="F159" s="147"/>
      <c r="G159" s="147"/>
      <c r="H159" s="147"/>
      <c r="J159" s="147"/>
    </row>
    <row r="160" spans="3:10" ht="16" x14ac:dyDescent="0.2">
      <c r="C160" s="147"/>
      <c r="D160" s="147"/>
      <c r="E160" s="147"/>
      <c r="F160" s="147"/>
      <c r="G160" s="147"/>
      <c r="H160" s="147"/>
      <c r="J160" s="147"/>
    </row>
    <row r="161" spans="3:10" ht="16" x14ac:dyDescent="0.2">
      <c r="C161" s="147"/>
      <c r="D161" s="147"/>
      <c r="E161" s="147"/>
      <c r="F161" s="147"/>
      <c r="G161" s="147"/>
      <c r="H161" s="147"/>
      <c r="J161" s="147"/>
    </row>
    <row r="162" spans="3:10" ht="16" x14ac:dyDescent="0.2">
      <c r="C162" s="147"/>
      <c r="D162" s="147"/>
      <c r="E162" s="147"/>
      <c r="F162" s="147"/>
      <c r="G162" s="147"/>
      <c r="H162" s="147"/>
      <c r="J162" s="147"/>
    </row>
    <row r="163" spans="3:10" ht="16" x14ac:dyDescent="0.2">
      <c r="C163" s="147"/>
      <c r="D163" s="147"/>
      <c r="E163" s="147"/>
      <c r="F163" s="147"/>
      <c r="G163" s="147"/>
      <c r="H163" s="147"/>
      <c r="J163" s="147"/>
    </row>
    <row r="164" spans="3:10" ht="16" x14ac:dyDescent="0.2">
      <c r="C164" s="147"/>
      <c r="D164" s="147"/>
      <c r="E164" s="147"/>
      <c r="F164" s="147"/>
      <c r="G164" s="147"/>
      <c r="H164" s="147"/>
      <c r="J164" s="147"/>
    </row>
    <row r="165" spans="3:10" ht="16" x14ac:dyDescent="0.2">
      <c r="C165" s="147"/>
      <c r="D165" s="147"/>
      <c r="E165" s="147"/>
      <c r="F165" s="147"/>
      <c r="G165" s="147"/>
      <c r="H165" s="147"/>
      <c r="J165" s="147"/>
    </row>
    <row r="166" spans="3:10" ht="16" x14ac:dyDescent="0.2">
      <c r="C166" s="147"/>
      <c r="D166" s="147"/>
      <c r="E166" s="147"/>
      <c r="F166" s="147"/>
      <c r="G166" s="147"/>
      <c r="H166" s="147"/>
      <c r="J166" s="147"/>
    </row>
    <row r="167" spans="3:10" ht="16" x14ac:dyDescent="0.2">
      <c r="C167" s="147"/>
      <c r="D167" s="147"/>
      <c r="E167" s="147"/>
      <c r="F167" s="147"/>
      <c r="G167" s="147"/>
      <c r="H167" s="147"/>
      <c r="J167" s="147"/>
    </row>
    <row r="168" spans="3:10" ht="16" x14ac:dyDescent="0.2">
      <c r="C168" s="147"/>
      <c r="D168" s="147"/>
      <c r="E168" s="147"/>
      <c r="F168" s="147"/>
      <c r="G168" s="147"/>
      <c r="H168" s="147"/>
      <c r="J168" s="147"/>
    </row>
    <row r="169" spans="3:10" ht="16" x14ac:dyDescent="0.2">
      <c r="C169" s="147"/>
      <c r="D169" s="147"/>
      <c r="E169" s="147"/>
      <c r="F169" s="147"/>
      <c r="G169" s="147"/>
      <c r="H169" s="147"/>
      <c r="J169" s="147"/>
    </row>
    <row r="170" spans="3:10" ht="16" x14ac:dyDescent="0.2">
      <c r="C170" s="147"/>
      <c r="D170" s="147"/>
      <c r="E170" s="147"/>
      <c r="F170" s="147"/>
      <c r="G170" s="147"/>
      <c r="H170" s="147"/>
      <c r="J170" s="147"/>
    </row>
    <row r="171" spans="3:10" ht="16" x14ac:dyDescent="0.2">
      <c r="C171" s="147"/>
      <c r="D171" s="147"/>
      <c r="E171" s="147"/>
      <c r="F171" s="147"/>
      <c r="G171" s="147"/>
      <c r="H171" s="147"/>
      <c r="J171" s="147"/>
    </row>
    <row r="172" spans="3:10" ht="16" x14ac:dyDescent="0.2">
      <c r="C172" s="147"/>
      <c r="D172" s="147"/>
      <c r="E172" s="147"/>
      <c r="F172" s="147"/>
      <c r="G172" s="147"/>
      <c r="H172" s="147"/>
      <c r="J172" s="147"/>
    </row>
    <row r="173" spans="3:10" ht="16" x14ac:dyDescent="0.2">
      <c r="C173" s="147"/>
      <c r="D173" s="147"/>
      <c r="E173" s="147"/>
      <c r="F173" s="147"/>
      <c r="G173" s="147"/>
      <c r="H173" s="147"/>
      <c r="J173" s="147"/>
    </row>
    <row r="174" spans="3:10" ht="16" x14ac:dyDescent="0.2">
      <c r="C174" s="147"/>
      <c r="D174" s="147"/>
      <c r="E174" s="147"/>
      <c r="F174" s="147"/>
      <c r="G174" s="147"/>
      <c r="H174" s="147"/>
      <c r="J174" s="147"/>
    </row>
    <row r="175" spans="3:10" ht="16" x14ac:dyDescent="0.2">
      <c r="C175" s="147"/>
      <c r="D175" s="147"/>
      <c r="E175" s="147"/>
      <c r="F175" s="147"/>
      <c r="G175" s="147"/>
      <c r="H175" s="147"/>
      <c r="J175" s="147"/>
    </row>
    <row r="176" spans="3:10" ht="16" x14ac:dyDescent="0.2">
      <c r="C176" s="147"/>
      <c r="D176" s="147"/>
      <c r="E176" s="147"/>
      <c r="F176" s="147"/>
      <c r="G176" s="147"/>
      <c r="H176" s="147"/>
      <c r="J176" s="147"/>
    </row>
    <row r="177" spans="3:10" ht="16" x14ac:dyDescent="0.2">
      <c r="C177" s="147"/>
      <c r="D177" s="147"/>
      <c r="E177" s="147"/>
      <c r="F177" s="147"/>
      <c r="G177" s="147"/>
      <c r="H177" s="147"/>
      <c r="J177" s="147"/>
    </row>
    <row r="178" spans="3:10" ht="16" x14ac:dyDescent="0.2">
      <c r="C178" s="147"/>
      <c r="D178" s="147"/>
      <c r="E178" s="147"/>
      <c r="F178" s="147"/>
      <c r="G178" s="147"/>
      <c r="H178" s="147"/>
      <c r="J178" s="147"/>
    </row>
    <row r="179" spans="3:10" ht="16" x14ac:dyDescent="0.2">
      <c r="C179" s="147"/>
      <c r="D179" s="147"/>
      <c r="E179" s="147"/>
      <c r="F179" s="147"/>
      <c r="G179" s="147"/>
      <c r="H179" s="147"/>
      <c r="J179" s="147"/>
    </row>
    <row r="180" spans="3:10" ht="16" x14ac:dyDescent="0.2">
      <c r="C180" s="147"/>
      <c r="D180" s="147"/>
      <c r="E180" s="147"/>
      <c r="F180" s="147"/>
      <c r="G180" s="147"/>
      <c r="H180" s="147"/>
      <c r="J180" s="147"/>
    </row>
    <row r="181" spans="3:10" ht="16" x14ac:dyDescent="0.2">
      <c r="C181" s="147"/>
      <c r="D181" s="147"/>
      <c r="E181" s="147"/>
      <c r="F181" s="147"/>
      <c r="G181" s="147"/>
      <c r="H181" s="147"/>
      <c r="J181" s="147"/>
    </row>
    <row r="182" spans="3:10" ht="16" x14ac:dyDescent="0.2">
      <c r="C182" s="147"/>
      <c r="D182" s="147"/>
      <c r="E182" s="147"/>
      <c r="F182" s="147"/>
      <c r="G182" s="147"/>
      <c r="H182" s="147"/>
      <c r="J182" s="147"/>
    </row>
    <row r="183" spans="3:10" ht="16" x14ac:dyDescent="0.2">
      <c r="C183" s="147"/>
      <c r="D183" s="147"/>
      <c r="E183" s="147"/>
      <c r="F183" s="147"/>
      <c r="G183" s="147"/>
      <c r="H183" s="147"/>
      <c r="J183" s="147"/>
    </row>
    <row r="184" spans="3:10" ht="16" x14ac:dyDescent="0.2">
      <c r="C184" s="147"/>
      <c r="D184" s="147"/>
      <c r="E184" s="147"/>
      <c r="F184" s="147"/>
      <c r="G184" s="147"/>
      <c r="H184" s="147"/>
      <c r="J184" s="147"/>
    </row>
    <row r="185" spans="3:10" ht="16" x14ac:dyDescent="0.2">
      <c r="C185" s="147"/>
      <c r="D185" s="147"/>
      <c r="E185" s="147"/>
      <c r="F185" s="147"/>
      <c r="G185" s="147"/>
      <c r="H185" s="147"/>
      <c r="J185" s="147"/>
    </row>
    <row r="186" spans="3:10" ht="16" x14ac:dyDescent="0.2">
      <c r="C186" s="147"/>
      <c r="D186" s="147"/>
      <c r="E186" s="147"/>
      <c r="F186" s="147"/>
      <c r="G186" s="147"/>
      <c r="H186" s="147"/>
      <c r="J186" s="147"/>
    </row>
    <row r="187" spans="3:10" ht="16" x14ac:dyDescent="0.2">
      <c r="C187" s="147"/>
      <c r="D187" s="147"/>
      <c r="E187" s="147"/>
      <c r="F187" s="147"/>
      <c r="G187" s="147"/>
      <c r="H187" s="147"/>
      <c r="J187" s="147"/>
    </row>
    <row r="188" spans="3:10" ht="16" x14ac:dyDescent="0.2">
      <c r="C188" s="147"/>
      <c r="D188" s="147"/>
      <c r="E188" s="147"/>
      <c r="F188" s="147"/>
      <c r="G188" s="147"/>
      <c r="H188" s="147"/>
      <c r="J188" s="147"/>
    </row>
    <row r="189" spans="3:10" ht="16" x14ac:dyDescent="0.2">
      <c r="C189" s="147"/>
      <c r="D189" s="147"/>
      <c r="E189" s="147"/>
      <c r="F189" s="147"/>
      <c r="G189" s="147"/>
      <c r="H189" s="147"/>
      <c r="J189" s="147"/>
    </row>
    <row r="190" spans="3:10" ht="16" x14ac:dyDescent="0.2">
      <c r="C190" s="147"/>
      <c r="D190" s="147"/>
      <c r="E190" s="147"/>
      <c r="F190" s="147"/>
      <c r="G190" s="147"/>
      <c r="H190" s="147"/>
      <c r="J190" s="147"/>
    </row>
    <row r="191" spans="3:10" ht="16" x14ac:dyDescent="0.2">
      <c r="C191" s="147"/>
      <c r="D191" s="147"/>
      <c r="E191" s="147"/>
      <c r="F191" s="147"/>
      <c r="G191" s="147"/>
      <c r="H191" s="147"/>
      <c r="J191" s="147"/>
    </row>
    <row r="192" spans="3:10" ht="16" x14ac:dyDescent="0.2">
      <c r="C192" s="147"/>
      <c r="D192" s="147"/>
      <c r="E192" s="147"/>
      <c r="F192" s="147"/>
      <c r="G192" s="147"/>
      <c r="H192" s="147"/>
      <c r="J192" s="147"/>
    </row>
    <row r="193" spans="3:10" ht="16" x14ac:dyDescent="0.2">
      <c r="C193" s="147"/>
      <c r="D193" s="147"/>
      <c r="E193" s="147"/>
      <c r="F193" s="147"/>
      <c r="G193" s="147"/>
      <c r="H193" s="147"/>
      <c r="J193" s="147"/>
    </row>
    <row r="194" spans="3:10" ht="16" x14ac:dyDescent="0.2">
      <c r="C194" s="147"/>
      <c r="D194" s="147"/>
      <c r="E194" s="147"/>
      <c r="F194" s="147"/>
      <c r="G194" s="147"/>
      <c r="H194" s="147"/>
      <c r="J194" s="147"/>
    </row>
    <row r="195" spans="3:10" ht="16" x14ac:dyDescent="0.2">
      <c r="C195" s="147"/>
      <c r="D195" s="147"/>
      <c r="E195" s="147"/>
      <c r="F195" s="147"/>
      <c r="G195" s="147"/>
      <c r="H195" s="147"/>
      <c r="J195" s="147"/>
    </row>
    <row r="196" spans="3:10" ht="16" x14ac:dyDescent="0.2">
      <c r="C196" s="147"/>
      <c r="D196" s="147"/>
      <c r="E196" s="147"/>
      <c r="F196" s="147"/>
      <c r="G196" s="147"/>
      <c r="H196" s="147"/>
      <c r="J196" s="147"/>
    </row>
    <row r="197" spans="3:10" ht="16" x14ac:dyDescent="0.2">
      <c r="C197" s="147"/>
      <c r="D197" s="147"/>
      <c r="E197" s="147"/>
      <c r="F197" s="147"/>
      <c r="G197" s="147"/>
      <c r="H197" s="147"/>
      <c r="J197" s="147"/>
    </row>
    <row r="198" spans="3:10" ht="16" x14ac:dyDescent="0.2">
      <c r="C198" s="147"/>
      <c r="D198" s="147"/>
      <c r="E198" s="147"/>
      <c r="F198" s="147"/>
      <c r="G198" s="147"/>
      <c r="H198" s="147"/>
      <c r="J198" s="147"/>
    </row>
    <row r="199" spans="3:10" ht="16" x14ac:dyDescent="0.2">
      <c r="C199" s="147"/>
      <c r="D199" s="147"/>
      <c r="E199" s="147"/>
      <c r="F199" s="147"/>
      <c r="G199" s="147"/>
      <c r="H199" s="147"/>
      <c r="J199" s="147"/>
    </row>
    <row r="200" spans="3:10" ht="16" x14ac:dyDescent="0.2">
      <c r="C200" s="147"/>
      <c r="D200" s="147"/>
      <c r="E200" s="147"/>
      <c r="F200" s="147"/>
      <c r="G200" s="147"/>
      <c r="H200" s="147"/>
      <c r="J200" s="147"/>
    </row>
    <row r="201" spans="3:10" ht="16" x14ac:dyDescent="0.2">
      <c r="C201" s="147"/>
      <c r="D201" s="147"/>
      <c r="E201" s="147"/>
      <c r="F201" s="147"/>
      <c r="G201" s="147"/>
      <c r="H201" s="147"/>
      <c r="J201" s="147"/>
    </row>
    <row r="202" spans="3:10" ht="16" x14ac:dyDescent="0.2">
      <c r="C202" s="147"/>
      <c r="D202" s="147"/>
      <c r="E202" s="147"/>
      <c r="F202" s="147"/>
      <c r="G202" s="147"/>
      <c r="H202" s="147"/>
      <c r="J202" s="147"/>
    </row>
    <row r="203" spans="3:10" ht="16" x14ac:dyDescent="0.2">
      <c r="C203" s="147"/>
      <c r="D203" s="147"/>
      <c r="E203" s="147"/>
      <c r="F203" s="147"/>
      <c r="G203" s="147"/>
      <c r="H203" s="147"/>
      <c r="J203" s="147"/>
    </row>
    <row r="204" spans="3:10" ht="16" x14ac:dyDescent="0.2">
      <c r="C204" s="147"/>
      <c r="D204" s="147"/>
      <c r="E204" s="147"/>
      <c r="F204" s="147"/>
      <c r="G204" s="147"/>
      <c r="H204" s="147"/>
      <c r="J204" s="147"/>
    </row>
    <row r="205" spans="3:10" ht="16" x14ac:dyDescent="0.2">
      <c r="C205" s="147"/>
      <c r="D205" s="147"/>
      <c r="E205" s="147"/>
      <c r="F205" s="147"/>
      <c r="G205" s="147"/>
      <c r="H205" s="147"/>
      <c r="J205" s="147"/>
    </row>
    <row r="206" spans="3:10" ht="16" x14ac:dyDescent="0.2">
      <c r="C206" s="147"/>
      <c r="D206" s="147"/>
      <c r="E206" s="147"/>
      <c r="F206" s="147"/>
      <c r="G206" s="147"/>
      <c r="H206" s="147"/>
      <c r="J206" s="147"/>
    </row>
    <row r="207" spans="3:10" ht="16" x14ac:dyDescent="0.2">
      <c r="C207" s="147"/>
      <c r="D207" s="147"/>
      <c r="E207" s="147"/>
      <c r="F207" s="147"/>
      <c r="G207" s="147"/>
      <c r="H207" s="147"/>
      <c r="J207" s="147"/>
    </row>
    <row r="208" spans="3:10" ht="16" x14ac:dyDescent="0.2">
      <c r="C208" s="147"/>
      <c r="D208" s="147"/>
      <c r="E208" s="147"/>
      <c r="F208" s="147"/>
      <c r="G208" s="147"/>
      <c r="H208" s="147"/>
      <c r="J208" s="147"/>
    </row>
    <row r="209" spans="3:10" ht="16" x14ac:dyDescent="0.2">
      <c r="C209" s="147"/>
      <c r="D209" s="147"/>
      <c r="E209" s="147"/>
      <c r="F209" s="147"/>
      <c r="G209" s="147"/>
      <c r="H209" s="147"/>
      <c r="J209" s="147"/>
    </row>
    <row r="210" spans="3:10" ht="16" x14ac:dyDescent="0.2">
      <c r="C210" s="147"/>
      <c r="D210" s="147"/>
      <c r="E210" s="147"/>
      <c r="F210" s="147"/>
      <c r="G210" s="147"/>
      <c r="H210" s="147"/>
      <c r="J210" s="147"/>
    </row>
    <row r="211" spans="3:10" ht="16" x14ac:dyDescent="0.2">
      <c r="C211" s="147"/>
      <c r="D211" s="147"/>
      <c r="E211" s="147"/>
      <c r="F211" s="147"/>
      <c r="G211" s="147"/>
      <c r="H211" s="147"/>
      <c r="J211" s="147"/>
    </row>
    <row r="212" spans="3:10" ht="16" x14ac:dyDescent="0.2">
      <c r="C212" s="147"/>
      <c r="D212" s="147"/>
      <c r="E212" s="147"/>
      <c r="F212" s="147"/>
      <c r="G212" s="147"/>
      <c r="H212" s="147"/>
      <c r="J212" s="147"/>
    </row>
    <row r="213" spans="3:10" ht="16" x14ac:dyDescent="0.2">
      <c r="C213" s="147"/>
      <c r="D213" s="147"/>
      <c r="E213" s="147"/>
      <c r="F213" s="147"/>
      <c r="G213" s="147"/>
      <c r="H213" s="147"/>
      <c r="J213" s="147"/>
    </row>
    <row r="214" spans="3:10" ht="16" x14ac:dyDescent="0.2">
      <c r="C214" s="147"/>
      <c r="D214" s="147"/>
      <c r="E214" s="147"/>
      <c r="F214" s="147"/>
      <c r="G214" s="147"/>
      <c r="H214" s="147"/>
      <c r="J214" s="147"/>
    </row>
    <row r="215" spans="3:10" ht="16" x14ac:dyDescent="0.2">
      <c r="C215" s="147"/>
      <c r="D215" s="147"/>
      <c r="E215" s="147"/>
      <c r="F215" s="147"/>
      <c r="G215" s="147"/>
      <c r="H215" s="147"/>
      <c r="J215" s="147"/>
    </row>
    <row r="216" spans="3:10" ht="16" x14ac:dyDescent="0.2">
      <c r="C216" s="147"/>
      <c r="D216" s="147"/>
      <c r="E216" s="147"/>
      <c r="F216" s="147"/>
      <c r="G216" s="147"/>
      <c r="H216" s="147"/>
      <c r="J216" s="147"/>
    </row>
    <row r="217" spans="3:10" ht="16" x14ac:dyDescent="0.2">
      <c r="C217" s="147"/>
      <c r="D217" s="147"/>
      <c r="E217" s="147"/>
      <c r="F217" s="147"/>
      <c r="G217" s="147"/>
      <c r="H217" s="147"/>
      <c r="J217" s="147"/>
    </row>
    <row r="218" spans="3:10" ht="16" x14ac:dyDescent="0.2">
      <c r="C218" s="147"/>
      <c r="D218" s="147"/>
      <c r="E218" s="147"/>
      <c r="F218" s="147"/>
      <c r="G218" s="147"/>
      <c r="H218" s="147"/>
      <c r="J218" s="147"/>
    </row>
    <row r="219" spans="3:10" ht="16" x14ac:dyDescent="0.2">
      <c r="C219" s="147"/>
      <c r="D219" s="147"/>
      <c r="E219" s="147"/>
      <c r="F219" s="147"/>
      <c r="G219" s="147"/>
      <c r="H219" s="147"/>
      <c r="J219" s="147"/>
    </row>
    <row r="220" spans="3:10" ht="16" x14ac:dyDescent="0.2">
      <c r="C220" s="147"/>
      <c r="D220" s="147"/>
      <c r="E220" s="147"/>
      <c r="F220" s="147"/>
      <c r="G220" s="147"/>
      <c r="H220" s="147"/>
      <c r="J220" s="147"/>
    </row>
    <row r="221" spans="3:10" ht="16" x14ac:dyDescent="0.2">
      <c r="C221" s="147"/>
      <c r="D221" s="147"/>
      <c r="E221" s="147"/>
      <c r="F221" s="147"/>
      <c r="G221" s="147"/>
      <c r="H221" s="147"/>
      <c r="J221" s="147"/>
    </row>
    <row r="222" spans="3:10" ht="16" x14ac:dyDescent="0.2">
      <c r="C222" s="147"/>
      <c r="D222" s="147"/>
      <c r="E222" s="147"/>
      <c r="F222" s="147"/>
      <c r="G222" s="147"/>
      <c r="H222" s="147"/>
      <c r="J222" s="147"/>
    </row>
    <row r="223" spans="3:10" ht="16" x14ac:dyDescent="0.2">
      <c r="C223" s="147"/>
      <c r="D223" s="147"/>
      <c r="E223" s="147"/>
      <c r="F223" s="147"/>
      <c r="G223" s="147"/>
      <c r="H223" s="147"/>
      <c r="J223" s="147"/>
    </row>
    <row r="224" spans="3:10" ht="16" x14ac:dyDescent="0.2">
      <c r="C224" s="147"/>
      <c r="D224" s="147"/>
      <c r="E224" s="147"/>
      <c r="F224" s="147"/>
      <c r="G224" s="147"/>
      <c r="H224" s="147"/>
      <c r="J224" s="147"/>
    </row>
    <row r="225" spans="3:10" ht="16" x14ac:dyDescent="0.2">
      <c r="C225" s="147"/>
      <c r="D225" s="147"/>
      <c r="E225" s="147"/>
      <c r="F225" s="147"/>
      <c r="G225" s="147"/>
      <c r="H225" s="147"/>
      <c r="J225" s="147"/>
    </row>
    <row r="226" spans="3:10" ht="16" x14ac:dyDescent="0.2">
      <c r="C226" s="147"/>
      <c r="D226" s="147"/>
      <c r="E226" s="147"/>
      <c r="F226" s="147"/>
      <c r="G226" s="147"/>
      <c r="H226" s="147"/>
      <c r="J226" s="147"/>
    </row>
    <row r="227" spans="3:10" ht="16" x14ac:dyDescent="0.2">
      <c r="C227" s="147"/>
      <c r="D227" s="147"/>
      <c r="E227" s="147"/>
      <c r="F227" s="147"/>
      <c r="G227" s="147"/>
      <c r="H227" s="147"/>
      <c r="J227" s="147"/>
    </row>
    <row r="228" spans="3:10" ht="16" x14ac:dyDescent="0.2">
      <c r="C228" s="147"/>
      <c r="D228" s="147"/>
      <c r="E228" s="147"/>
      <c r="F228" s="147"/>
      <c r="G228" s="147"/>
      <c r="H228" s="147"/>
      <c r="J228" s="147"/>
    </row>
    <row r="229" spans="3:10" ht="16" x14ac:dyDescent="0.2">
      <c r="C229" s="147"/>
      <c r="D229" s="147"/>
      <c r="E229" s="147"/>
      <c r="F229" s="147"/>
      <c r="G229" s="147"/>
      <c r="H229" s="147"/>
      <c r="J229" s="147"/>
    </row>
    <row r="230" spans="3:10" ht="16" x14ac:dyDescent="0.2">
      <c r="C230" s="147"/>
      <c r="D230" s="147"/>
      <c r="E230" s="147"/>
      <c r="F230" s="147"/>
      <c r="G230" s="147"/>
      <c r="H230" s="147"/>
      <c r="J230" s="147"/>
    </row>
    <row r="231" spans="3:10" ht="16" x14ac:dyDescent="0.2">
      <c r="C231" s="147"/>
      <c r="D231" s="147"/>
      <c r="E231" s="147"/>
      <c r="F231" s="147"/>
      <c r="G231" s="147"/>
      <c r="H231" s="147"/>
      <c r="J231" s="147"/>
    </row>
    <row r="232" spans="3:10" ht="16" x14ac:dyDescent="0.2">
      <c r="C232" s="147"/>
      <c r="D232" s="147"/>
      <c r="E232" s="147"/>
      <c r="F232" s="147"/>
      <c r="G232" s="147"/>
      <c r="H232" s="147"/>
      <c r="J232" s="147"/>
    </row>
    <row r="233" spans="3:10" ht="16" x14ac:dyDescent="0.2">
      <c r="C233" s="147"/>
      <c r="D233" s="147"/>
      <c r="E233" s="147"/>
      <c r="F233" s="147"/>
      <c r="G233" s="147"/>
      <c r="H233" s="147"/>
      <c r="J233" s="147"/>
    </row>
    <row r="234" spans="3:10" ht="16" x14ac:dyDescent="0.2">
      <c r="C234" s="147"/>
      <c r="D234" s="147"/>
      <c r="E234" s="147"/>
      <c r="F234" s="147"/>
      <c r="G234" s="147"/>
      <c r="H234" s="147"/>
      <c r="J234" s="147"/>
    </row>
    <row r="235" spans="3:10" ht="16" x14ac:dyDescent="0.2">
      <c r="C235" s="147"/>
      <c r="D235" s="147"/>
      <c r="E235" s="147"/>
      <c r="F235" s="147"/>
      <c r="G235" s="147"/>
      <c r="H235" s="147"/>
      <c r="J235" s="147"/>
    </row>
    <row r="236" spans="3:10" ht="16" x14ac:dyDescent="0.2">
      <c r="C236" s="147"/>
      <c r="D236" s="147"/>
      <c r="E236" s="147"/>
      <c r="F236" s="147"/>
      <c r="G236" s="147"/>
      <c r="H236" s="147"/>
      <c r="J236" s="147"/>
    </row>
    <row r="237" spans="3:10" ht="16" x14ac:dyDescent="0.2">
      <c r="C237" s="147"/>
      <c r="D237" s="147"/>
      <c r="E237" s="147"/>
      <c r="F237" s="147"/>
      <c r="G237" s="147"/>
      <c r="H237" s="147"/>
      <c r="J237" s="147"/>
    </row>
    <row r="238" spans="3:10" ht="16" x14ac:dyDescent="0.2">
      <c r="C238" s="147"/>
      <c r="D238" s="147"/>
      <c r="E238" s="147"/>
      <c r="F238" s="147"/>
      <c r="G238" s="147"/>
      <c r="H238" s="147"/>
      <c r="J238" s="147"/>
    </row>
    <row r="239" spans="3:10" ht="16" x14ac:dyDescent="0.2">
      <c r="C239" s="147"/>
      <c r="D239" s="147"/>
      <c r="E239" s="147"/>
      <c r="F239" s="147"/>
      <c r="G239" s="147"/>
      <c r="H239" s="147"/>
      <c r="J239" s="147"/>
    </row>
    <row r="240" spans="3:10" ht="16" x14ac:dyDescent="0.2">
      <c r="C240" s="147"/>
      <c r="D240" s="147"/>
      <c r="E240" s="147"/>
      <c r="F240" s="147"/>
      <c r="G240" s="147"/>
      <c r="H240" s="147"/>
      <c r="J240" s="147"/>
    </row>
    <row r="241" spans="3:10" ht="16" x14ac:dyDescent="0.2">
      <c r="C241" s="147"/>
      <c r="D241" s="147"/>
      <c r="E241" s="147"/>
      <c r="F241" s="147"/>
      <c r="G241" s="147"/>
      <c r="H241" s="147"/>
      <c r="J241" s="147"/>
    </row>
    <row r="242" spans="3:10" ht="16" x14ac:dyDescent="0.2">
      <c r="C242" s="147"/>
      <c r="D242" s="147"/>
      <c r="E242" s="147"/>
      <c r="F242" s="147"/>
      <c r="G242" s="147"/>
      <c r="H242" s="147"/>
      <c r="J242" s="147"/>
    </row>
    <row r="243" spans="3:10" ht="16" x14ac:dyDescent="0.2">
      <c r="C243" s="147"/>
      <c r="D243" s="147"/>
      <c r="E243" s="147"/>
      <c r="F243" s="147"/>
      <c r="G243" s="147"/>
      <c r="H243" s="147"/>
      <c r="J243" s="147"/>
    </row>
    <row r="244" spans="3:10" ht="16" x14ac:dyDescent="0.2">
      <c r="C244" s="147"/>
      <c r="D244" s="147"/>
      <c r="E244" s="147"/>
      <c r="F244" s="147"/>
      <c r="G244" s="147"/>
      <c r="H244" s="147"/>
      <c r="J244" s="147"/>
    </row>
    <row r="245" spans="3:10" ht="16" x14ac:dyDescent="0.2">
      <c r="C245" s="147"/>
      <c r="D245" s="147"/>
      <c r="E245" s="147"/>
      <c r="F245" s="147"/>
      <c r="G245" s="147"/>
      <c r="H245" s="147"/>
      <c r="J245" s="147"/>
    </row>
    <row r="246" spans="3:10" ht="16" x14ac:dyDescent="0.2">
      <c r="C246" s="147"/>
      <c r="D246" s="147"/>
      <c r="E246" s="147"/>
      <c r="F246" s="147"/>
      <c r="G246" s="147"/>
      <c r="H246" s="147"/>
      <c r="J246" s="147"/>
    </row>
    <row r="247" spans="3:10" ht="16" x14ac:dyDescent="0.2">
      <c r="C247" s="147"/>
      <c r="D247" s="147"/>
      <c r="E247" s="147"/>
      <c r="F247" s="147"/>
      <c r="G247" s="147"/>
      <c r="H247" s="147"/>
      <c r="J247" s="147"/>
    </row>
    <row r="248" spans="3:10" ht="16" x14ac:dyDescent="0.2">
      <c r="C248" s="147"/>
      <c r="D248" s="147"/>
      <c r="E248" s="147"/>
      <c r="F248" s="147"/>
      <c r="G248" s="147"/>
      <c r="H248" s="147"/>
      <c r="J248" s="147"/>
    </row>
    <row r="249" spans="3:10" ht="16" x14ac:dyDescent="0.2">
      <c r="C249" s="147"/>
      <c r="D249" s="147"/>
      <c r="E249" s="147"/>
      <c r="F249" s="147"/>
      <c r="G249" s="147"/>
      <c r="H249" s="147"/>
      <c r="J249" s="147"/>
    </row>
    <row r="250" spans="3:10" ht="16" x14ac:dyDescent="0.2">
      <c r="C250" s="147"/>
      <c r="D250" s="147"/>
      <c r="E250" s="147"/>
      <c r="F250" s="147"/>
      <c r="G250" s="147"/>
      <c r="H250" s="147"/>
      <c r="J250" s="147"/>
    </row>
    <row r="251" spans="3:10" ht="16" x14ac:dyDescent="0.2">
      <c r="C251" s="147"/>
      <c r="D251" s="147"/>
      <c r="E251" s="147"/>
      <c r="F251" s="147"/>
      <c r="G251" s="147"/>
      <c r="H251" s="147"/>
      <c r="J251" s="147"/>
    </row>
    <row r="252" spans="3:10" ht="16" x14ac:dyDescent="0.2">
      <c r="C252" s="147"/>
      <c r="D252" s="147"/>
      <c r="E252" s="147"/>
      <c r="F252" s="147"/>
      <c r="G252" s="147"/>
      <c r="H252" s="147"/>
      <c r="J252" s="147"/>
    </row>
    <row r="253" spans="3:10" ht="16" x14ac:dyDescent="0.2">
      <c r="C253" s="147"/>
      <c r="D253" s="147"/>
      <c r="E253" s="147"/>
      <c r="F253" s="147"/>
      <c r="G253" s="147"/>
      <c r="H253" s="147"/>
      <c r="J253" s="147"/>
    </row>
    <row r="254" spans="3:10" ht="16" x14ac:dyDescent="0.2">
      <c r="C254" s="147"/>
      <c r="D254" s="147"/>
      <c r="E254" s="147"/>
      <c r="F254" s="147"/>
      <c r="G254" s="147"/>
      <c r="H254" s="147"/>
      <c r="J254" s="147"/>
    </row>
    <row r="255" spans="3:10" ht="16" x14ac:dyDescent="0.2">
      <c r="C255" s="147"/>
      <c r="D255" s="147"/>
      <c r="E255" s="147"/>
      <c r="F255" s="147"/>
      <c r="G255" s="147"/>
      <c r="H255" s="147"/>
      <c r="J255" s="147"/>
    </row>
    <row r="256" spans="3:10" ht="16" x14ac:dyDescent="0.2">
      <c r="C256" s="147"/>
      <c r="D256" s="147"/>
      <c r="E256" s="147"/>
      <c r="F256" s="147"/>
      <c r="G256" s="147"/>
      <c r="H256" s="147"/>
      <c r="J256" s="147"/>
    </row>
    <row r="257" spans="3:10" ht="16" x14ac:dyDescent="0.2">
      <c r="C257" s="147"/>
      <c r="D257" s="147"/>
      <c r="E257" s="147"/>
      <c r="F257" s="147"/>
      <c r="G257" s="147"/>
      <c r="H257" s="147"/>
      <c r="J257" s="147"/>
    </row>
    <row r="258" spans="3:10" ht="16" x14ac:dyDescent="0.2">
      <c r="C258" s="147"/>
      <c r="D258" s="147"/>
      <c r="E258" s="147"/>
      <c r="F258" s="147"/>
      <c r="G258" s="147"/>
      <c r="H258" s="147"/>
      <c r="J258" s="147"/>
    </row>
    <row r="259" spans="3:10" ht="16" x14ac:dyDescent="0.2">
      <c r="C259" s="147"/>
      <c r="D259" s="147"/>
      <c r="E259" s="147"/>
      <c r="F259" s="147"/>
      <c r="G259" s="147"/>
      <c r="H259" s="147"/>
      <c r="J259" s="147"/>
    </row>
    <row r="260" spans="3:10" ht="16" x14ac:dyDescent="0.2">
      <c r="C260" s="147"/>
      <c r="D260" s="147"/>
      <c r="E260" s="147"/>
      <c r="F260" s="147"/>
      <c r="G260" s="147"/>
      <c r="H260" s="147"/>
      <c r="J260" s="147"/>
    </row>
    <row r="261" spans="3:10" ht="16" x14ac:dyDescent="0.2">
      <c r="C261" s="147"/>
      <c r="D261" s="147"/>
      <c r="E261" s="147"/>
      <c r="F261" s="147"/>
      <c r="G261" s="147"/>
      <c r="H261" s="147"/>
      <c r="J261" s="147"/>
    </row>
    <row r="262" spans="3:10" ht="16" x14ac:dyDescent="0.2">
      <c r="C262" s="147"/>
      <c r="D262" s="147"/>
      <c r="E262" s="147"/>
      <c r="F262" s="147"/>
      <c r="G262" s="147"/>
      <c r="H262" s="147"/>
      <c r="J262" s="147"/>
    </row>
    <row r="263" spans="3:10" ht="16" x14ac:dyDescent="0.2">
      <c r="C263" s="147"/>
      <c r="D263" s="147"/>
      <c r="E263" s="147"/>
      <c r="F263" s="147"/>
      <c r="G263" s="147"/>
      <c r="H263" s="147"/>
      <c r="J263" s="147"/>
    </row>
    <row r="264" spans="3:10" ht="16" x14ac:dyDescent="0.2">
      <c r="C264" s="147"/>
      <c r="D264" s="147"/>
      <c r="E264" s="147"/>
      <c r="F264" s="147"/>
      <c r="G264" s="147"/>
      <c r="H264" s="147"/>
      <c r="J264" s="147"/>
    </row>
    <row r="265" spans="3:10" ht="16" x14ac:dyDescent="0.2">
      <c r="C265" s="147"/>
      <c r="D265" s="147"/>
      <c r="E265" s="147"/>
      <c r="F265" s="147"/>
      <c r="G265" s="147"/>
      <c r="H265" s="147"/>
      <c r="J265" s="147"/>
    </row>
    <row r="266" spans="3:10" ht="16" x14ac:dyDescent="0.2">
      <c r="C266" s="147"/>
      <c r="D266" s="147"/>
      <c r="E266" s="147"/>
      <c r="F266" s="147"/>
      <c r="G266" s="147"/>
      <c r="H266" s="147"/>
      <c r="J266" s="147"/>
    </row>
    <row r="267" spans="3:10" ht="16" x14ac:dyDescent="0.2">
      <c r="C267" s="147"/>
      <c r="D267" s="147"/>
      <c r="E267" s="147"/>
      <c r="F267" s="147"/>
      <c r="G267" s="147"/>
      <c r="H267" s="147"/>
      <c r="J267" s="147"/>
    </row>
    <row r="268" spans="3:10" ht="16" x14ac:dyDescent="0.2">
      <c r="C268" s="147"/>
      <c r="D268" s="147"/>
      <c r="E268" s="147"/>
      <c r="F268" s="147"/>
      <c r="G268" s="147"/>
      <c r="H268" s="147"/>
      <c r="J268" s="147"/>
    </row>
    <row r="269" spans="3:10" ht="16" x14ac:dyDescent="0.2">
      <c r="C269" s="147"/>
      <c r="D269" s="147"/>
      <c r="E269" s="147"/>
      <c r="F269" s="147"/>
      <c r="G269" s="147"/>
      <c r="H269" s="147"/>
      <c r="J269" s="147"/>
    </row>
    <row r="270" spans="3:10" ht="16" x14ac:dyDescent="0.2">
      <c r="C270" s="147"/>
      <c r="D270" s="147"/>
      <c r="E270" s="147"/>
      <c r="F270" s="147"/>
      <c r="G270" s="147"/>
      <c r="H270" s="147"/>
      <c r="J270" s="147"/>
    </row>
    <row r="271" spans="3:10" ht="16" x14ac:dyDescent="0.2">
      <c r="C271" s="147"/>
      <c r="D271" s="147"/>
      <c r="E271" s="147"/>
      <c r="F271" s="147"/>
      <c r="G271" s="147"/>
      <c r="H271" s="147"/>
      <c r="J271" s="147"/>
    </row>
    <row r="272" spans="3:10" ht="16" x14ac:dyDescent="0.2">
      <c r="C272" s="147"/>
      <c r="D272" s="147"/>
      <c r="E272" s="147"/>
      <c r="F272" s="147"/>
      <c r="G272" s="147"/>
      <c r="H272" s="147"/>
      <c r="J272" s="147"/>
    </row>
    <row r="273" spans="3:10" ht="16" x14ac:dyDescent="0.2">
      <c r="C273" s="147"/>
      <c r="D273" s="147"/>
      <c r="E273" s="147"/>
      <c r="F273" s="147"/>
      <c r="G273" s="147"/>
      <c r="H273" s="147"/>
      <c r="J273" s="147"/>
    </row>
    <row r="274" spans="3:10" ht="16" x14ac:dyDescent="0.2">
      <c r="C274" s="147"/>
      <c r="D274" s="147"/>
      <c r="E274" s="147"/>
      <c r="F274" s="147"/>
      <c r="G274" s="147"/>
      <c r="H274" s="147"/>
      <c r="J274" s="147"/>
    </row>
    <row r="275" spans="3:10" ht="16" x14ac:dyDescent="0.2">
      <c r="C275" s="147"/>
      <c r="D275" s="147"/>
      <c r="E275" s="147"/>
      <c r="F275" s="147"/>
      <c r="G275" s="147"/>
      <c r="H275" s="147"/>
      <c r="J275" s="147"/>
    </row>
    <row r="276" spans="3:10" ht="16" x14ac:dyDescent="0.2">
      <c r="C276" s="147"/>
      <c r="D276" s="147"/>
      <c r="E276" s="147"/>
      <c r="F276" s="147"/>
      <c r="G276" s="147"/>
      <c r="H276" s="147"/>
      <c r="J276" s="147"/>
    </row>
    <row r="277" spans="3:10" ht="16" x14ac:dyDescent="0.2">
      <c r="C277" s="147"/>
      <c r="D277" s="147"/>
      <c r="E277" s="147"/>
      <c r="F277" s="147"/>
      <c r="G277" s="147"/>
      <c r="H277" s="147"/>
      <c r="J277" s="147"/>
    </row>
    <row r="278" spans="3:10" ht="16" x14ac:dyDescent="0.2">
      <c r="C278" s="147"/>
      <c r="D278" s="147"/>
      <c r="E278" s="147"/>
      <c r="F278" s="147"/>
      <c r="G278" s="147"/>
      <c r="H278" s="147"/>
      <c r="J278" s="147"/>
    </row>
    <row r="279" spans="3:10" ht="16" x14ac:dyDescent="0.2">
      <c r="C279" s="147"/>
      <c r="D279" s="147"/>
      <c r="E279" s="147"/>
      <c r="F279" s="147"/>
      <c r="G279" s="147"/>
      <c r="H279" s="147"/>
      <c r="J279" s="147"/>
    </row>
    <row r="280" spans="3:10" ht="16" x14ac:dyDescent="0.2">
      <c r="C280" s="147"/>
      <c r="D280" s="147"/>
      <c r="E280" s="147"/>
      <c r="F280" s="147"/>
      <c r="G280" s="147"/>
      <c r="H280" s="147"/>
      <c r="J280" s="147"/>
    </row>
    <row r="281" spans="3:10" ht="16" x14ac:dyDescent="0.2">
      <c r="C281" s="147"/>
      <c r="D281" s="147"/>
      <c r="E281" s="147"/>
      <c r="F281" s="147"/>
      <c r="G281" s="147"/>
      <c r="H281" s="147"/>
      <c r="J281" s="147"/>
    </row>
    <row r="282" spans="3:10" ht="16" x14ac:dyDescent="0.2">
      <c r="C282" s="147"/>
      <c r="D282" s="147"/>
      <c r="E282" s="147"/>
      <c r="F282" s="147"/>
      <c r="G282" s="147"/>
      <c r="H282" s="147"/>
      <c r="J282" s="147"/>
    </row>
    <row r="283" spans="3:10" ht="16" x14ac:dyDescent="0.2">
      <c r="C283" s="147"/>
      <c r="D283" s="147"/>
      <c r="E283" s="147"/>
      <c r="F283" s="147"/>
      <c r="G283" s="147"/>
      <c r="H283" s="147"/>
      <c r="J283" s="147"/>
    </row>
    <row r="284" spans="3:10" ht="16" x14ac:dyDescent="0.2">
      <c r="C284" s="147"/>
      <c r="D284" s="147"/>
      <c r="E284" s="147"/>
      <c r="F284" s="147"/>
      <c r="G284" s="147"/>
      <c r="H284" s="147"/>
      <c r="J284" s="147"/>
    </row>
    <row r="285" spans="3:10" ht="16" x14ac:dyDescent="0.2">
      <c r="C285" s="147"/>
      <c r="D285" s="147"/>
      <c r="E285" s="147"/>
      <c r="F285" s="147"/>
      <c r="G285" s="147"/>
      <c r="H285" s="147"/>
      <c r="J285" s="147"/>
    </row>
    <row r="286" spans="3:10" ht="16" x14ac:dyDescent="0.2">
      <c r="C286" s="147"/>
      <c r="D286" s="147"/>
      <c r="E286" s="147"/>
      <c r="F286" s="147"/>
      <c r="G286" s="147"/>
      <c r="H286" s="147"/>
      <c r="J286" s="147"/>
    </row>
    <row r="287" spans="3:10" ht="16" x14ac:dyDescent="0.2">
      <c r="C287" s="147"/>
      <c r="D287" s="147"/>
      <c r="E287" s="147"/>
      <c r="F287" s="147"/>
      <c r="G287" s="147"/>
      <c r="H287" s="147"/>
      <c r="J287" s="147"/>
    </row>
    <row r="288" spans="3:10" ht="16" x14ac:dyDescent="0.2">
      <c r="C288" s="147"/>
      <c r="D288" s="147"/>
      <c r="E288" s="147"/>
      <c r="F288" s="147"/>
      <c r="G288" s="147"/>
      <c r="H288" s="147"/>
      <c r="J288" s="147"/>
    </row>
    <row r="289" spans="3:10" ht="16" x14ac:dyDescent="0.2">
      <c r="C289" s="147"/>
      <c r="D289" s="147"/>
      <c r="E289" s="147"/>
      <c r="F289" s="147"/>
      <c r="G289" s="147"/>
      <c r="H289" s="147"/>
      <c r="J289" s="147"/>
    </row>
    <row r="290" spans="3:10" ht="16" x14ac:dyDescent="0.2">
      <c r="C290" s="147"/>
      <c r="D290" s="147"/>
      <c r="E290" s="147"/>
      <c r="F290" s="147"/>
      <c r="G290" s="147"/>
      <c r="H290" s="147"/>
      <c r="J290" s="147"/>
    </row>
    <row r="291" spans="3:10" ht="16" x14ac:dyDescent="0.2">
      <c r="C291" s="147"/>
      <c r="D291" s="147"/>
      <c r="E291" s="147"/>
      <c r="F291" s="147"/>
      <c r="G291" s="147"/>
      <c r="H291" s="147"/>
      <c r="J291" s="147"/>
    </row>
    <row r="292" spans="3:10" ht="16" x14ac:dyDescent="0.2">
      <c r="C292" s="147"/>
      <c r="D292" s="147"/>
      <c r="E292" s="147"/>
      <c r="F292" s="147"/>
      <c r="G292" s="147"/>
      <c r="H292" s="147"/>
      <c r="J292" s="147"/>
    </row>
    <row r="293" spans="3:10" ht="16" x14ac:dyDescent="0.2">
      <c r="C293" s="147"/>
      <c r="D293" s="147"/>
      <c r="E293" s="147"/>
      <c r="F293" s="147"/>
      <c r="G293" s="147"/>
      <c r="H293" s="147"/>
      <c r="J293" s="147"/>
    </row>
    <row r="294" spans="3:10" ht="16" x14ac:dyDescent="0.2">
      <c r="C294" s="147"/>
      <c r="D294" s="147"/>
      <c r="E294" s="147"/>
      <c r="F294" s="147"/>
      <c r="G294" s="147"/>
      <c r="H294" s="147"/>
      <c r="J294" s="147"/>
    </row>
    <row r="295" spans="3:10" ht="16" x14ac:dyDescent="0.2">
      <c r="C295" s="147"/>
      <c r="D295" s="147"/>
      <c r="E295" s="147"/>
      <c r="F295" s="147"/>
      <c r="G295" s="147"/>
      <c r="H295" s="147"/>
      <c r="J295" s="147"/>
    </row>
    <row r="296" spans="3:10" ht="16" x14ac:dyDescent="0.2">
      <c r="C296" s="147"/>
      <c r="D296" s="147"/>
      <c r="E296" s="147"/>
      <c r="F296" s="147"/>
      <c r="G296" s="147"/>
      <c r="H296" s="147"/>
      <c r="J296" s="147"/>
    </row>
    <row r="297" spans="3:10" ht="16" x14ac:dyDescent="0.2">
      <c r="C297" s="147"/>
      <c r="D297" s="147"/>
      <c r="E297" s="147"/>
      <c r="F297" s="147"/>
      <c r="G297" s="147"/>
      <c r="H297" s="147"/>
      <c r="J297" s="147"/>
    </row>
    <row r="298" spans="3:10" ht="16" x14ac:dyDescent="0.2">
      <c r="C298" s="147"/>
      <c r="D298" s="147"/>
      <c r="E298" s="147"/>
      <c r="F298" s="147"/>
      <c r="G298" s="147"/>
      <c r="H298" s="147"/>
      <c r="J298" s="147"/>
    </row>
    <row r="299" spans="3:10" ht="16" x14ac:dyDescent="0.2">
      <c r="C299" s="147"/>
      <c r="D299" s="147"/>
      <c r="E299" s="147"/>
      <c r="F299" s="147"/>
      <c r="G299" s="147"/>
      <c r="H299" s="147"/>
      <c r="J299" s="147"/>
    </row>
    <row r="300" spans="3:10" ht="16" x14ac:dyDescent="0.2">
      <c r="C300" s="147"/>
      <c r="D300" s="147"/>
      <c r="E300" s="147"/>
      <c r="F300" s="147"/>
      <c r="G300" s="147"/>
      <c r="H300" s="147"/>
      <c r="J300" s="147"/>
    </row>
    <row r="301" spans="3:10" ht="16" x14ac:dyDescent="0.2">
      <c r="C301" s="147"/>
      <c r="D301" s="147"/>
      <c r="E301" s="147"/>
      <c r="F301" s="147"/>
      <c r="G301" s="147"/>
      <c r="H301" s="147"/>
      <c r="J301" s="147"/>
    </row>
    <row r="302" spans="3:10" ht="16" x14ac:dyDescent="0.2">
      <c r="C302" s="147"/>
      <c r="D302" s="147"/>
      <c r="E302" s="147"/>
      <c r="F302" s="147"/>
      <c r="G302" s="147"/>
      <c r="H302" s="147"/>
      <c r="J302" s="147"/>
    </row>
    <row r="303" spans="3:10" ht="16" x14ac:dyDescent="0.2">
      <c r="C303" s="147"/>
      <c r="D303" s="147"/>
      <c r="E303" s="147"/>
      <c r="F303" s="147"/>
      <c r="G303" s="147"/>
      <c r="H303" s="147"/>
      <c r="J303" s="147"/>
    </row>
    <row r="304" spans="3:10" ht="16" x14ac:dyDescent="0.2">
      <c r="C304" s="147"/>
      <c r="D304" s="147"/>
      <c r="E304" s="147"/>
      <c r="F304" s="147"/>
      <c r="G304" s="147"/>
      <c r="H304" s="147"/>
      <c r="J304" s="147"/>
    </row>
    <row r="305" spans="3:10" ht="16" x14ac:dyDescent="0.2">
      <c r="C305" s="147"/>
      <c r="D305" s="147"/>
      <c r="E305" s="147"/>
      <c r="F305" s="147"/>
      <c r="G305" s="147"/>
      <c r="H305" s="147"/>
      <c r="J305" s="147"/>
    </row>
    <row r="306" spans="3:10" ht="16" x14ac:dyDescent="0.2">
      <c r="C306" s="147"/>
      <c r="D306" s="147"/>
      <c r="E306" s="147"/>
      <c r="F306" s="147"/>
      <c r="G306" s="147"/>
      <c r="H306" s="147"/>
      <c r="J306" s="147"/>
    </row>
    <row r="307" spans="3:10" ht="16" x14ac:dyDescent="0.2">
      <c r="C307" s="147"/>
      <c r="D307" s="147"/>
      <c r="E307" s="147"/>
      <c r="F307" s="147"/>
      <c r="G307" s="147"/>
      <c r="H307" s="147"/>
      <c r="J307" s="147"/>
    </row>
    <row r="308" spans="3:10" ht="16" x14ac:dyDescent="0.2">
      <c r="C308" s="147"/>
      <c r="D308" s="147"/>
      <c r="E308" s="147"/>
      <c r="F308" s="147"/>
      <c r="G308" s="147"/>
      <c r="H308" s="147"/>
      <c r="J308" s="147"/>
    </row>
    <row r="309" spans="3:10" ht="16" x14ac:dyDescent="0.2">
      <c r="C309" s="147"/>
      <c r="D309" s="147"/>
      <c r="E309" s="147"/>
      <c r="F309" s="147"/>
      <c r="G309" s="147"/>
      <c r="H309" s="147"/>
      <c r="J309" s="147"/>
    </row>
    <row r="310" spans="3:10" ht="16" x14ac:dyDescent="0.2">
      <c r="C310" s="147"/>
      <c r="D310" s="147"/>
      <c r="E310" s="147"/>
      <c r="F310" s="147"/>
      <c r="G310" s="147"/>
      <c r="H310" s="147"/>
      <c r="J310" s="147"/>
    </row>
    <row r="311" spans="3:10" ht="16" x14ac:dyDescent="0.2">
      <c r="C311" s="147"/>
      <c r="D311" s="147"/>
      <c r="E311" s="147"/>
      <c r="F311" s="147"/>
      <c r="G311" s="147"/>
      <c r="H311" s="147"/>
      <c r="J311" s="147"/>
    </row>
    <row r="312" spans="3:10" ht="16" x14ac:dyDescent="0.2">
      <c r="C312" s="147"/>
      <c r="D312" s="147"/>
      <c r="E312" s="147"/>
      <c r="F312" s="147"/>
      <c r="G312" s="147"/>
      <c r="H312" s="147"/>
      <c r="J312" s="147"/>
    </row>
    <row r="313" spans="3:10" ht="16" x14ac:dyDescent="0.2">
      <c r="C313" s="147"/>
      <c r="D313" s="147"/>
      <c r="E313" s="147"/>
      <c r="F313" s="147"/>
      <c r="G313" s="147"/>
      <c r="H313" s="147"/>
      <c r="J313" s="147"/>
    </row>
    <row r="314" spans="3:10" ht="16" x14ac:dyDescent="0.2">
      <c r="C314" s="147"/>
      <c r="D314" s="147"/>
      <c r="E314" s="147"/>
      <c r="F314" s="147"/>
      <c r="G314" s="147"/>
      <c r="H314" s="147"/>
      <c r="J314" s="147"/>
    </row>
    <row r="315" spans="3:10" ht="16" x14ac:dyDescent="0.2">
      <c r="C315" s="147"/>
      <c r="D315" s="147"/>
      <c r="E315" s="147"/>
      <c r="F315" s="147"/>
      <c r="G315" s="147"/>
      <c r="H315" s="147"/>
      <c r="J315" s="147"/>
    </row>
    <row r="316" spans="3:10" ht="16" x14ac:dyDescent="0.2">
      <c r="C316" s="147"/>
      <c r="D316" s="147"/>
      <c r="E316" s="147"/>
      <c r="F316" s="147"/>
      <c r="G316" s="147"/>
      <c r="H316" s="147"/>
      <c r="J316" s="147"/>
    </row>
    <row r="317" spans="3:10" ht="16" x14ac:dyDescent="0.2">
      <c r="C317" s="147"/>
      <c r="D317" s="147"/>
      <c r="E317" s="147"/>
      <c r="F317" s="147"/>
      <c r="G317" s="147"/>
      <c r="H317" s="147"/>
      <c r="J317" s="147"/>
    </row>
    <row r="318" spans="3:10" ht="16" x14ac:dyDescent="0.2">
      <c r="C318" s="147"/>
      <c r="D318" s="147"/>
      <c r="E318" s="147"/>
      <c r="F318" s="147"/>
      <c r="G318" s="147"/>
      <c r="H318" s="147"/>
      <c r="J318" s="147"/>
    </row>
    <row r="319" spans="3:10" ht="16" x14ac:dyDescent="0.2">
      <c r="C319" s="147"/>
      <c r="D319" s="147"/>
      <c r="E319" s="147"/>
      <c r="F319" s="147"/>
      <c r="G319" s="147"/>
      <c r="H319" s="147"/>
      <c r="J319" s="147"/>
    </row>
    <row r="320" spans="3:10" ht="16" x14ac:dyDescent="0.2">
      <c r="C320" s="147"/>
      <c r="D320" s="147"/>
      <c r="E320" s="147"/>
      <c r="F320" s="147"/>
      <c r="G320" s="147"/>
      <c r="H320" s="147"/>
      <c r="J320" s="147"/>
    </row>
    <row r="321" spans="3:10" ht="16" x14ac:dyDescent="0.2">
      <c r="C321" s="147"/>
      <c r="D321" s="147"/>
      <c r="E321" s="147"/>
      <c r="F321" s="147"/>
      <c r="G321" s="147"/>
      <c r="H321" s="147"/>
      <c r="J321" s="147"/>
    </row>
    <row r="322" spans="3:10" ht="16" x14ac:dyDescent="0.2">
      <c r="C322" s="147"/>
      <c r="D322" s="147"/>
      <c r="E322" s="147"/>
      <c r="F322" s="147"/>
      <c r="G322" s="147"/>
      <c r="H322" s="147"/>
      <c r="J322" s="147"/>
    </row>
    <row r="323" spans="3:10" ht="16" x14ac:dyDescent="0.2">
      <c r="C323" s="147"/>
      <c r="D323" s="147"/>
      <c r="E323" s="147"/>
      <c r="F323" s="147"/>
      <c r="G323" s="147"/>
      <c r="H323" s="147"/>
      <c r="J323" s="147"/>
    </row>
    <row r="324" spans="3:10" ht="16" x14ac:dyDescent="0.2">
      <c r="C324" s="147"/>
      <c r="D324" s="147"/>
      <c r="E324" s="147"/>
      <c r="F324" s="147"/>
      <c r="G324" s="147"/>
      <c r="H324" s="147"/>
      <c r="J324" s="147"/>
    </row>
    <row r="325" spans="3:10" ht="16" x14ac:dyDescent="0.2">
      <c r="C325" s="147"/>
      <c r="D325" s="147"/>
      <c r="E325" s="147"/>
      <c r="F325" s="147"/>
      <c r="G325" s="147"/>
      <c r="H325" s="147"/>
      <c r="J325" s="147"/>
    </row>
    <row r="326" spans="3:10" ht="16" x14ac:dyDescent="0.2">
      <c r="C326" s="147"/>
      <c r="D326" s="147"/>
      <c r="E326" s="147"/>
      <c r="F326" s="147"/>
      <c r="G326" s="147"/>
      <c r="H326" s="147"/>
      <c r="J326" s="147"/>
    </row>
    <row r="327" spans="3:10" ht="16" x14ac:dyDescent="0.2">
      <c r="C327" s="147"/>
      <c r="D327" s="147"/>
      <c r="E327" s="147"/>
      <c r="F327" s="147"/>
      <c r="G327" s="147"/>
      <c r="H327" s="147"/>
      <c r="J327" s="147"/>
    </row>
    <row r="328" spans="3:10" ht="16" x14ac:dyDescent="0.2">
      <c r="C328" s="147"/>
      <c r="D328" s="147"/>
      <c r="E328" s="147"/>
      <c r="F328" s="147"/>
      <c r="G328" s="147"/>
      <c r="H328" s="147"/>
      <c r="J328" s="147"/>
    </row>
    <row r="329" spans="3:10" ht="16" x14ac:dyDescent="0.2">
      <c r="C329" s="147"/>
      <c r="D329" s="147"/>
      <c r="E329" s="147"/>
      <c r="F329" s="147"/>
      <c r="G329" s="147"/>
      <c r="H329" s="147"/>
      <c r="J329" s="147"/>
    </row>
    <row r="330" spans="3:10" ht="16" x14ac:dyDescent="0.2">
      <c r="C330" s="147"/>
      <c r="D330" s="147"/>
      <c r="E330" s="147"/>
      <c r="F330" s="147"/>
      <c r="G330" s="147"/>
      <c r="H330" s="147"/>
      <c r="J330" s="147"/>
    </row>
    <row r="331" spans="3:10" ht="16" x14ac:dyDescent="0.2">
      <c r="C331" s="147"/>
      <c r="D331" s="147"/>
      <c r="E331" s="147"/>
      <c r="F331" s="147"/>
      <c r="G331" s="147"/>
      <c r="H331" s="147"/>
      <c r="J331" s="147"/>
    </row>
    <row r="332" spans="3:10" ht="16" x14ac:dyDescent="0.2">
      <c r="C332" s="147"/>
      <c r="D332" s="147"/>
      <c r="E332" s="147"/>
      <c r="F332" s="147"/>
      <c r="G332" s="147"/>
      <c r="H332" s="147"/>
      <c r="J332" s="147"/>
    </row>
    <row r="333" spans="3:10" ht="16" x14ac:dyDescent="0.2">
      <c r="C333" s="147"/>
      <c r="D333" s="147"/>
      <c r="E333" s="147"/>
      <c r="F333" s="147"/>
      <c r="G333" s="147"/>
      <c r="H333" s="147"/>
      <c r="J333" s="147"/>
    </row>
    <row r="334" spans="3:10" ht="16" x14ac:dyDescent="0.2">
      <c r="C334" s="147"/>
      <c r="D334" s="147"/>
      <c r="E334" s="147"/>
      <c r="F334" s="147"/>
      <c r="G334" s="147"/>
      <c r="H334" s="147"/>
      <c r="J334" s="147"/>
    </row>
    <row r="335" spans="3:10" ht="16" x14ac:dyDescent="0.2">
      <c r="C335" s="147"/>
      <c r="D335" s="147"/>
      <c r="E335" s="147"/>
      <c r="F335" s="147"/>
      <c r="G335" s="147"/>
      <c r="H335" s="147"/>
      <c r="J335" s="147"/>
    </row>
    <row r="336" spans="3:10" ht="16" x14ac:dyDescent="0.2">
      <c r="C336" s="147"/>
      <c r="D336" s="147"/>
      <c r="E336" s="147"/>
      <c r="F336" s="147"/>
      <c r="G336" s="147"/>
      <c r="H336" s="147"/>
      <c r="J336" s="147"/>
    </row>
    <row r="337" spans="3:10" ht="16" x14ac:dyDescent="0.2">
      <c r="C337" s="147"/>
      <c r="D337" s="147"/>
      <c r="E337" s="147"/>
      <c r="F337" s="147"/>
      <c r="G337" s="147"/>
      <c r="H337" s="147"/>
      <c r="J337" s="147"/>
    </row>
    <row r="338" spans="3:10" ht="16" x14ac:dyDescent="0.2">
      <c r="C338" s="147"/>
      <c r="D338" s="147"/>
      <c r="E338" s="147"/>
      <c r="F338" s="147"/>
      <c r="G338" s="147"/>
      <c r="H338" s="147"/>
      <c r="J338" s="147"/>
    </row>
    <row r="339" spans="3:10" ht="16" x14ac:dyDescent="0.2">
      <c r="C339" s="147"/>
      <c r="D339" s="147"/>
      <c r="E339" s="147"/>
      <c r="F339" s="147"/>
      <c r="G339" s="147"/>
      <c r="H339" s="147"/>
      <c r="J339" s="147"/>
    </row>
    <row r="340" spans="3:10" ht="16" x14ac:dyDescent="0.2">
      <c r="C340" s="147"/>
      <c r="D340" s="147"/>
      <c r="E340" s="147"/>
      <c r="F340" s="147"/>
      <c r="G340" s="147"/>
      <c r="H340" s="147"/>
      <c r="J340" s="147"/>
    </row>
    <row r="341" spans="3:10" ht="16" x14ac:dyDescent="0.2">
      <c r="C341" s="147"/>
      <c r="D341" s="147"/>
      <c r="E341" s="147"/>
      <c r="F341" s="147"/>
      <c r="G341" s="147"/>
      <c r="H341" s="147"/>
      <c r="J341" s="147"/>
    </row>
    <row r="342" spans="3:10" ht="16" x14ac:dyDescent="0.2">
      <c r="C342" s="147"/>
      <c r="D342" s="147"/>
      <c r="E342" s="147"/>
      <c r="F342" s="147"/>
      <c r="G342" s="147"/>
      <c r="H342" s="147"/>
      <c r="J342" s="147"/>
    </row>
    <row r="343" spans="3:10" ht="16" x14ac:dyDescent="0.2">
      <c r="C343" s="147"/>
      <c r="D343" s="147"/>
      <c r="E343" s="147"/>
      <c r="F343" s="147"/>
      <c r="G343" s="147"/>
      <c r="H343" s="147"/>
      <c r="J343" s="147"/>
    </row>
    <row r="344" spans="3:10" ht="16" x14ac:dyDescent="0.2">
      <c r="C344" s="147"/>
      <c r="D344" s="147"/>
      <c r="E344" s="147"/>
      <c r="F344" s="147"/>
      <c r="G344" s="147"/>
      <c r="H344" s="147"/>
      <c r="J344" s="147"/>
    </row>
    <row r="345" spans="3:10" ht="16" x14ac:dyDescent="0.2">
      <c r="C345" s="147"/>
      <c r="D345" s="147"/>
      <c r="E345" s="147"/>
      <c r="F345" s="147"/>
      <c r="G345" s="147"/>
      <c r="H345" s="147"/>
      <c r="J345" s="147"/>
    </row>
    <row r="346" spans="3:10" ht="16" x14ac:dyDescent="0.2">
      <c r="C346" s="147"/>
      <c r="D346" s="147"/>
      <c r="E346" s="147"/>
      <c r="F346" s="147"/>
      <c r="G346" s="147"/>
      <c r="H346" s="147"/>
      <c r="J346" s="147"/>
    </row>
    <row r="347" spans="3:10" ht="16" x14ac:dyDescent="0.2">
      <c r="C347" s="147"/>
      <c r="D347" s="147"/>
      <c r="E347" s="147"/>
      <c r="F347" s="147"/>
      <c r="G347" s="147"/>
      <c r="H347" s="147"/>
      <c r="J347" s="147"/>
    </row>
    <row r="348" spans="3:10" ht="16" x14ac:dyDescent="0.2">
      <c r="C348" s="147"/>
      <c r="D348" s="147"/>
      <c r="E348" s="147"/>
      <c r="F348" s="147"/>
      <c r="G348" s="147"/>
      <c r="H348" s="147"/>
      <c r="J348" s="147"/>
    </row>
    <row r="349" spans="3:10" ht="16" x14ac:dyDescent="0.2">
      <c r="C349" s="147"/>
      <c r="D349" s="147"/>
      <c r="E349" s="147"/>
      <c r="F349" s="147"/>
      <c r="G349" s="147"/>
      <c r="H349" s="147"/>
      <c r="J349" s="147"/>
    </row>
    <row r="350" spans="3:10" ht="16" x14ac:dyDescent="0.2">
      <c r="C350" s="147"/>
      <c r="D350" s="147"/>
      <c r="E350" s="147"/>
      <c r="F350" s="147"/>
      <c r="G350" s="147"/>
      <c r="H350" s="147"/>
      <c r="J350" s="147"/>
    </row>
    <row r="351" spans="3:10" ht="16" x14ac:dyDescent="0.2">
      <c r="C351" s="147"/>
      <c r="D351" s="147"/>
      <c r="E351" s="147"/>
      <c r="F351" s="147"/>
      <c r="G351" s="147"/>
      <c r="H351" s="147"/>
      <c r="J351" s="147"/>
    </row>
    <row r="352" spans="3:10" ht="16" x14ac:dyDescent="0.2">
      <c r="C352" s="147"/>
      <c r="D352" s="147"/>
      <c r="E352" s="147"/>
      <c r="F352" s="147"/>
      <c r="G352" s="147"/>
      <c r="H352" s="147"/>
      <c r="J352" s="147"/>
    </row>
    <row r="353" spans="3:10" ht="16" x14ac:dyDescent="0.2">
      <c r="C353" s="147"/>
      <c r="D353" s="147"/>
      <c r="E353" s="147"/>
      <c r="F353" s="147"/>
      <c r="G353" s="147"/>
      <c r="H353" s="147"/>
      <c r="J353" s="147"/>
    </row>
    <row r="354" spans="3:10" ht="16" x14ac:dyDescent="0.2">
      <c r="C354" s="147"/>
      <c r="D354" s="147"/>
      <c r="E354" s="147"/>
      <c r="F354" s="147"/>
      <c r="G354" s="147"/>
      <c r="H354" s="147"/>
      <c r="J354" s="147"/>
    </row>
    <row r="355" spans="3:10" ht="16" x14ac:dyDescent="0.2">
      <c r="C355" s="147"/>
      <c r="D355" s="147"/>
      <c r="E355" s="147"/>
      <c r="F355" s="147"/>
      <c r="G355" s="147"/>
      <c r="H355" s="147"/>
      <c r="J355" s="147"/>
    </row>
    <row r="356" spans="3:10" ht="16" x14ac:dyDescent="0.2">
      <c r="C356" s="147"/>
      <c r="D356" s="147"/>
      <c r="E356" s="147"/>
      <c r="F356" s="147"/>
      <c r="G356" s="147"/>
      <c r="H356" s="147"/>
      <c r="J356" s="147"/>
    </row>
    <row r="357" spans="3:10" ht="16" x14ac:dyDescent="0.2">
      <c r="C357" s="147"/>
      <c r="D357" s="147"/>
      <c r="E357" s="147"/>
      <c r="F357" s="147"/>
      <c r="G357" s="147"/>
      <c r="H357" s="147"/>
      <c r="J357" s="147"/>
    </row>
    <row r="358" spans="3:10" ht="16" x14ac:dyDescent="0.2">
      <c r="C358" s="147"/>
      <c r="D358" s="147"/>
      <c r="E358" s="147"/>
      <c r="F358" s="147"/>
      <c r="G358" s="147"/>
      <c r="H358" s="147"/>
      <c r="J358" s="147"/>
    </row>
    <row r="359" spans="3:10" ht="16" x14ac:dyDescent="0.2">
      <c r="C359" s="147"/>
      <c r="D359" s="147"/>
      <c r="E359" s="147"/>
      <c r="F359" s="147"/>
      <c r="G359" s="147"/>
      <c r="H359" s="147"/>
      <c r="J359" s="147"/>
    </row>
    <row r="360" spans="3:10" ht="16" x14ac:dyDescent="0.2">
      <c r="C360" s="147"/>
      <c r="D360" s="147"/>
      <c r="E360" s="147"/>
      <c r="F360" s="147"/>
      <c r="G360" s="147"/>
      <c r="H360" s="147"/>
      <c r="J360" s="147"/>
    </row>
    <row r="361" spans="3:10" ht="16" x14ac:dyDescent="0.2">
      <c r="C361" s="147"/>
      <c r="D361" s="147"/>
      <c r="E361" s="147"/>
      <c r="F361" s="147"/>
      <c r="G361" s="147"/>
      <c r="H361" s="147"/>
      <c r="J361" s="147"/>
    </row>
    <row r="362" spans="3:10" ht="16" x14ac:dyDescent="0.2">
      <c r="C362" s="147"/>
      <c r="D362" s="147"/>
      <c r="E362" s="147"/>
      <c r="F362" s="147"/>
      <c r="G362" s="147"/>
      <c r="H362" s="147"/>
      <c r="J362" s="147"/>
    </row>
    <row r="363" spans="3:10" ht="16" x14ac:dyDescent="0.2">
      <c r="C363" s="147"/>
      <c r="D363" s="147"/>
      <c r="E363" s="147"/>
      <c r="F363" s="147"/>
      <c r="G363" s="147"/>
      <c r="H363" s="147"/>
      <c r="J363" s="147"/>
    </row>
    <row r="364" spans="3:10" ht="16" x14ac:dyDescent="0.2">
      <c r="C364" s="147"/>
      <c r="D364" s="147"/>
      <c r="E364" s="147"/>
      <c r="F364" s="147"/>
      <c r="G364" s="147"/>
      <c r="H364" s="147"/>
      <c r="J364" s="147"/>
    </row>
    <row r="365" spans="3:10" ht="16" x14ac:dyDescent="0.2">
      <c r="C365" s="147"/>
      <c r="D365" s="147"/>
      <c r="E365" s="147"/>
      <c r="F365" s="147"/>
      <c r="G365" s="147"/>
      <c r="H365" s="147"/>
      <c r="J365" s="147"/>
    </row>
    <row r="366" spans="3:10" ht="16" x14ac:dyDescent="0.2">
      <c r="C366" s="147"/>
      <c r="D366" s="147"/>
      <c r="E366" s="147"/>
      <c r="F366" s="147"/>
      <c r="G366" s="147"/>
      <c r="H366" s="147"/>
      <c r="J366" s="147"/>
    </row>
    <row r="367" spans="3:10" ht="16" x14ac:dyDescent="0.2">
      <c r="C367" s="147"/>
      <c r="D367" s="147"/>
      <c r="E367" s="147"/>
      <c r="F367" s="147"/>
      <c r="G367" s="147"/>
      <c r="H367" s="147"/>
      <c r="J367" s="147"/>
    </row>
    <row r="368" spans="3:10" ht="16" x14ac:dyDescent="0.2">
      <c r="C368" s="147"/>
      <c r="D368" s="147"/>
      <c r="E368" s="147"/>
      <c r="F368" s="147"/>
      <c r="G368" s="147"/>
      <c r="H368" s="147"/>
      <c r="J368" s="147"/>
    </row>
    <row r="369" spans="3:10" ht="16" x14ac:dyDescent="0.2">
      <c r="C369" s="147"/>
      <c r="D369" s="147"/>
      <c r="E369" s="147"/>
      <c r="F369" s="147"/>
      <c r="G369" s="147"/>
      <c r="H369" s="147"/>
      <c r="J369" s="147"/>
    </row>
    <row r="370" spans="3:10" ht="16" x14ac:dyDescent="0.2">
      <c r="C370" s="147"/>
      <c r="D370" s="147"/>
      <c r="E370" s="147"/>
      <c r="F370" s="147"/>
      <c r="G370" s="147"/>
      <c r="H370" s="147"/>
      <c r="J370" s="147"/>
    </row>
    <row r="371" spans="3:10" ht="16" x14ac:dyDescent="0.2">
      <c r="C371" s="147"/>
      <c r="D371" s="147"/>
      <c r="E371" s="147"/>
      <c r="F371" s="147"/>
      <c r="G371" s="147"/>
      <c r="H371" s="147"/>
      <c r="J371" s="147"/>
    </row>
    <row r="372" spans="3:10" ht="16" x14ac:dyDescent="0.2">
      <c r="C372" s="147"/>
      <c r="D372" s="147"/>
      <c r="E372" s="147"/>
      <c r="F372" s="147"/>
      <c r="G372" s="147"/>
      <c r="H372" s="147"/>
      <c r="J372" s="147"/>
    </row>
    <row r="373" spans="3:10" ht="16" x14ac:dyDescent="0.2">
      <c r="C373" s="147"/>
      <c r="D373" s="147"/>
      <c r="E373" s="147"/>
      <c r="F373" s="147"/>
      <c r="G373" s="147"/>
      <c r="H373" s="147"/>
      <c r="J373" s="147"/>
    </row>
    <row r="374" spans="3:10" ht="16" x14ac:dyDescent="0.2">
      <c r="C374" s="147"/>
      <c r="D374" s="147"/>
      <c r="E374" s="147"/>
      <c r="F374" s="147"/>
      <c r="G374" s="147"/>
      <c r="H374" s="147"/>
      <c r="J374" s="147"/>
    </row>
    <row r="375" spans="3:10" ht="16" x14ac:dyDescent="0.2">
      <c r="C375" s="147"/>
      <c r="D375" s="147"/>
      <c r="E375" s="147"/>
      <c r="F375" s="147"/>
      <c r="G375" s="147"/>
      <c r="H375" s="147"/>
      <c r="J375" s="147"/>
    </row>
    <row r="376" spans="3:10" ht="16" x14ac:dyDescent="0.2">
      <c r="C376" s="147"/>
      <c r="D376" s="147"/>
      <c r="E376" s="147"/>
      <c r="F376" s="147"/>
      <c r="G376" s="147"/>
      <c r="H376" s="147"/>
      <c r="J376" s="147"/>
    </row>
    <row r="377" spans="3:10" ht="16" x14ac:dyDescent="0.2">
      <c r="C377" s="147"/>
      <c r="D377" s="147"/>
      <c r="E377" s="147"/>
      <c r="F377" s="147"/>
      <c r="G377" s="147"/>
      <c r="H377" s="147"/>
      <c r="J377" s="147"/>
    </row>
    <row r="378" spans="3:10" ht="16" x14ac:dyDescent="0.2">
      <c r="C378" s="147"/>
      <c r="D378" s="147"/>
      <c r="E378" s="147"/>
      <c r="F378" s="147"/>
      <c r="G378" s="147"/>
      <c r="H378" s="147"/>
      <c r="J378" s="147"/>
    </row>
    <row r="379" spans="3:10" ht="16" x14ac:dyDescent="0.2">
      <c r="C379" s="147"/>
      <c r="D379" s="147"/>
      <c r="E379" s="147"/>
      <c r="F379" s="147"/>
      <c r="G379" s="147"/>
      <c r="H379" s="147"/>
      <c r="J379" s="147"/>
    </row>
    <row r="380" spans="3:10" ht="16" x14ac:dyDescent="0.2">
      <c r="C380" s="147"/>
      <c r="D380" s="147"/>
      <c r="E380" s="147"/>
      <c r="F380" s="147"/>
      <c r="G380" s="147"/>
      <c r="H380" s="147"/>
      <c r="J380" s="147"/>
    </row>
    <row r="381" spans="3:10" ht="16" x14ac:dyDescent="0.2">
      <c r="C381" s="147"/>
      <c r="D381" s="147"/>
      <c r="E381" s="147"/>
      <c r="F381" s="147"/>
      <c r="G381" s="147"/>
      <c r="H381" s="147"/>
      <c r="J381" s="147"/>
    </row>
    <row r="382" spans="3:10" ht="16" x14ac:dyDescent="0.2">
      <c r="C382" s="147"/>
      <c r="D382" s="147"/>
      <c r="E382" s="147"/>
      <c r="F382" s="147"/>
      <c r="G382" s="147"/>
      <c r="H382" s="147"/>
      <c r="J382" s="147"/>
    </row>
    <row r="383" spans="3:10" ht="16" x14ac:dyDescent="0.2">
      <c r="C383" s="147"/>
      <c r="D383" s="147"/>
      <c r="E383" s="147"/>
      <c r="F383" s="147"/>
      <c r="G383" s="147"/>
      <c r="H383" s="147"/>
      <c r="J383" s="147"/>
    </row>
    <row r="384" spans="3:10" ht="16" x14ac:dyDescent="0.2">
      <c r="C384" s="147"/>
      <c r="D384" s="147"/>
      <c r="E384" s="147"/>
      <c r="F384" s="147"/>
      <c r="G384" s="147"/>
      <c r="H384" s="147"/>
      <c r="J384" s="147"/>
    </row>
    <row r="385" spans="3:10" ht="16" x14ac:dyDescent="0.2">
      <c r="C385" s="147"/>
      <c r="D385" s="147"/>
      <c r="E385" s="147"/>
      <c r="F385" s="147"/>
      <c r="G385" s="147"/>
      <c r="H385" s="147"/>
      <c r="J385" s="147"/>
    </row>
    <row r="386" spans="3:10" ht="16" x14ac:dyDescent="0.2">
      <c r="C386" s="147"/>
      <c r="D386" s="147"/>
      <c r="E386" s="147"/>
      <c r="F386" s="147"/>
      <c r="G386" s="147"/>
      <c r="H386" s="147"/>
      <c r="J386" s="147"/>
    </row>
    <row r="387" spans="3:10" ht="16" x14ac:dyDescent="0.2">
      <c r="C387" s="147"/>
      <c r="D387" s="147"/>
      <c r="E387" s="147"/>
      <c r="F387" s="147"/>
      <c r="G387" s="147"/>
      <c r="H387" s="147"/>
      <c r="J387" s="147"/>
    </row>
    <row r="388" spans="3:10" ht="16" x14ac:dyDescent="0.2">
      <c r="C388" s="147"/>
      <c r="D388" s="147"/>
      <c r="E388" s="147"/>
      <c r="F388" s="147"/>
      <c r="G388" s="147"/>
      <c r="H388" s="147"/>
      <c r="J388" s="147"/>
    </row>
    <row r="389" spans="3:10" ht="16" x14ac:dyDescent="0.2">
      <c r="C389" s="147"/>
      <c r="D389" s="147"/>
      <c r="E389" s="147"/>
      <c r="F389" s="147"/>
      <c r="G389" s="147"/>
      <c r="H389" s="147"/>
      <c r="J389" s="147"/>
    </row>
    <row r="390" spans="3:10" ht="16" x14ac:dyDescent="0.2">
      <c r="C390" s="147"/>
      <c r="D390" s="147"/>
      <c r="E390" s="147"/>
      <c r="F390" s="147"/>
      <c r="G390" s="147"/>
      <c r="H390" s="147"/>
      <c r="J390" s="147"/>
    </row>
    <row r="391" spans="3:10" ht="16" x14ac:dyDescent="0.2">
      <c r="C391" s="147"/>
      <c r="D391" s="147"/>
      <c r="E391" s="147"/>
      <c r="F391" s="147"/>
      <c r="G391" s="147"/>
      <c r="H391" s="147"/>
      <c r="J391" s="147"/>
    </row>
    <row r="392" spans="3:10" ht="16" x14ac:dyDescent="0.2">
      <c r="C392" s="147"/>
      <c r="D392" s="147"/>
      <c r="E392" s="147"/>
      <c r="F392" s="147"/>
      <c r="G392" s="147"/>
      <c r="H392" s="147"/>
      <c r="J392" s="147"/>
    </row>
    <row r="393" spans="3:10" ht="16" x14ac:dyDescent="0.2">
      <c r="C393" s="147"/>
      <c r="D393" s="147"/>
      <c r="E393" s="147"/>
      <c r="F393" s="147"/>
      <c r="G393" s="147"/>
      <c r="H393" s="147"/>
      <c r="J393" s="147"/>
    </row>
    <row r="394" spans="3:10" ht="16" x14ac:dyDescent="0.2">
      <c r="C394" s="147"/>
      <c r="D394" s="147"/>
      <c r="E394" s="147"/>
      <c r="F394" s="147"/>
      <c r="G394" s="147"/>
      <c r="H394" s="147"/>
      <c r="J394" s="147"/>
    </row>
    <row r="395" spans="3:10" ht="16" x14ac:dyDescent="0.2">
      <c r="C395" s="147"/>
      <c r="D395" s="147"/>
      <c r="E395" s="147"/>
      <c r="F395" s="147"/>
      <c r="G395" s="147"/>
      <c r="H395" s="147"/>
      <c r="J395" s="147"/>
    </row>
    <row r="396" spans="3:10" ht="16" x14ac:dyDescent="0.2">
      <c r="C396" s="147"/>
      <c r="D396" s="147"/>
      <c r="E396" s="147"/>
      <c r="F396" s="147"/>
      <c r="G396" s="147"/>
      <c r="H396" s="147"/>
      <c r="J396" s="147"/>
    </row>
    <row r="397" spans="3:10" ht="16" x14ac:dyDescent="0.2">
      <c r="C397" s="147"/>
      <c r="D397" s="147"/>
      <c r="E397" s="147"/>
      <c r="F397" s="147"/>
      <c r="G397" s="147"/>
      <c r="H397" s="147"/>
      <c r="J397" s="147"/>
    </row>
    <row r="398" spans="3:10" ht="16" x14ac:dyDescent="0.2">
      <c r="C398" s="147"/>
      <c r="D398" s="147"/>
      <c r="E398" s="147"/>
      <c r="F398" s="147"/>
      <c r="G398" s="147"/>
      <c r="H398" s="147"/>
      <c r="J398" s="147"/>
    </row>
    <row r="399" spans="3:10" ht="16" x14ac:dyDescent="0.2">
      <c r="C399" s="147"/>
      <c r="D399" s="147"/>
      <c r="E399" s="147"/>
      <c r="F399" s="147"/>
      <c r="G399" s="147"/>
      <c r="H399" s="147"/>
      <c r="J399" s="147"/>
    </row>
    <row r="400" spans="3:10" ht="16" x14ac:dyDescent="0.2">
      <c r="C400" s="147"/>
      <c r="D400" s="147"/>
      <c r="E400" s="147"/>
      <c r="F400" s="147"/>
      <c r="G400" s="147"/>
      <c r="H400" s="147"/>
      <c r="J400" s="147"/>
    </row>
    <row r="401" spans="3:10" ht="16" x14ac:dyDescent="0.2">
      <c r="C401" s="147"/>
      <c r="D401" s="147"/>
      <c r="E401" s="147"/>
      <c r="F401" s="147"/>
      <c r="G401" s="147"/>
      <c r="H401" s="147"/>
      <c r="J401" s="147"/>
    </row>
    <row r="402" spans="3:10" ht="16" x14ac:dyDescent="0.2">
      <c r="C402" s="147"/>
      <c r="D402" s="147"/>
      <c r="E402" s="147"/>
      <c r="F402" s="147"/>
      <c r="G402" s="147"/>
      <c r="H402" s="147"/>
      <c r="J402" s="147"/>
    </row>
    <row r="403" spans="3:10" ht="16" x14ac:dyDescent="0.2">
      <c r="C403" s="147"/>
      <c r="D403" s="147"/>
      <c r="E403" s="147"/>
      <c r="F403" s="147"/>
      <c r="G403" s="147"/>
      <c r="H403" s="147"/>
      <c r="J403" s="147"/>
    </row>
    <row r="404" spans="3:10" ht="16" x14ac:dyDescent="0.2">
      <c r="C404" s="147"/>
      <c r="D404" s="147"/>
      <c r="E404" s="147"/>
      <c r="F404" s="147"/>
      <c r="G404" s="147"/>
      <c r="H404" s="147"/>
      <c r="J404" s="147"/>
    </row>
    <row r="405" spans="3:10" ht="16" x14ac:dyDescent="0.2">
      <c r="C405" s="147"/>
      <c r="D405" s="147"/>
      <c r="E405" s="147"/>
      <c r="F405" s="147"/>
      <c r="G405" s="147"/>
      <c r="H405" s="147"/>
      <c r="J405" s="147"/>
    </row>
    <row r="406" spans="3:10" ht="16" x14ac:dyDescent="0.2">
      <c r="C406" s="147"/>
      <c r="D406" s="147"/>
      <c r="E406" s="147"/>
      <c r="F406" s="147"/>
      <c r="G406" s="147"/>
      <c r="H406" s="147"/>
      <c r="J406" s="147"/>
    </row>
    <row r="407" spans="3:10" ht="16" x14ac:dyDescent="0.2">
      <c r="C407" s="147"/>
      <c r="D407" s="147"/>
      <c r="E407" s="147"/>
      <c r="F407" s="147"/>
      <c r="G407" s="147"/>
      <c r="H407" s="147"/>
      <c r="J407" s="147"/>
    </row>
    <row r="408" spans="3:10" ht="16" x14ac:dyDescent="0.2">
      <c r="C408" s="147"/>
      <c r="D408" s="147"/>
      <c r="E408" s="147"/>
      <c r="F408" s="147"/>
      <c r="G408" s="147"/>
      <c r="H408" s="147"/>
      <c r="J408" s="147"/>
    </row>
    <row r="409" spans="3:10" ht="16" x14ac:dyDescent="0.2">
      <c r="C409" s="147"/>
      <c r="D409" s="147"/>
      <c r="E409" s="147"/>
      <c r="F409" s="147"/>
      <c r="G409" s="147"/>
      <c r="H409" s="147"/>
      <c r="J409" s="147"/>
    </row>
    <row r="410" spans="3:10" ht="16" x14ac:dyDescent="0.2">
      <c r="C410" s="147"/>
      <c r="D410" s="147"/>
      <c r="E410" s="147"/>
      <c r="F410" s="147"/>
      <c r="G410" s="147"/>
      <c r="H410" s="147"/>
      <c r="J410" s="147"/>
    </row>
    <row r="411" spans="3:10" ht="16" x14ac:dyDescent="0.2">
      <c r="C411" s="147"/>
      <c r="D411" s="147"/>
      <c r="E411" s="147"/>
      <c r="F411" s="147"/>
      <c r="G411" s="147"/>
      <c r="H411" s="147"/>
      <c r="J411" s="147"/>
    </row>
    <row r="412" spans="3:10" ht="16" x14ac:dyDescent="0.2">
      <c r="C412" s="147"/>
      <c r="D412" s="147"/>
      <c r="E412" s="147"/>
      <c r="F412" s="147"/>
      <c r="G412" s="147"/>
      <c r="H412" s="147"/>
      <c r="J412" s="147"/>
    </row>
    <row r="413" spans="3:10" ht="16" x14ac:dyDescent="0.2">
      <c r="C413" s="147"/>
      <c r="D413" s="147"/>
      <c r="E413" s="147"/>
      <c r="F413" s="147"/>
      <c r="G413" s="147"/>
      <c r="H413" s="147"/>
      <c r="J413" s="147"/>
    </row>
    <row r="414" spans="3:10" ht="16" x14ac:dyDescent="0.2">
      <c r="C414" s="147"/>
      <c r="D414" s="147"/>
      <c r="E414" s="147"/>
      <c r="F414" s="147"/>
      <c r="G414" s="147"/>
      <c r="H414" s="147"/>
      <c r="J414" s="147"/>
    </row>
    <row r="415" spans="3:10" ht="16" x14ac:dyDescent="0.2">
      <c r="C415" s="147"/>
      <c r="D415" s="147"/>
      <c r="E415" s="147"/>
      <c r="F415" s="147"/>
      <c r="G415" s="147"/>
      <c r="H415" s="147"/>
      <c r="J415" s="147"/>
    </row>
    <row r="416" spans="3:10" ht="16" x14ac:dyDescent="0.2">
      <c r="C416" s="147"/>
      <c r="D416" s="147"/>
      <c r="E416" s="147"/>
      <c r="F416" s="147"/>
      <c r="G416" s="147"/>
      <c r="H416" s="147"/>
      <c r="J416" s="147"/>
    </row>
    <row r="417" spans="3:10" ht="16" x14ac:dyDescent="0.2">
      <c r="C417" s="147"/>
      <c r="D417" s="147"/>
      <c r="E417" s="147"/>
      <c r="F417" s="147"/>
      <c r="G417" s="147"/>
      <c r="H417" s="147"/>
      <c r="J417" s="147"/>
    </row>
    <row r="418" spans="3:10" ht="16" x14ac:dyDescent="0.2">
      <c r="C418" s="147"/>
      <c r="D418" s="147"/>
      <c r="E418" s="147"/>
      <c r="F418" s="147"/>
      <c r="G418" s="147"/>
      <c r="H418" s="147"/>
      <c r="J418" s="147"/>
    </row>
    <row r="419" spans="3:10" ht="16" x14ac:dyDescent="0.2">
      <c r="C419" s="147"/>
      <c r="D419" s="147"/>
      <c r="E419" s="147"/>
      <c r="F419" s="147"/>
      <c r="G419" s="147"/>
      <c r="H419" s="147"/>
      <c r="J419" s="147"/>
    </row>
    <row r="420" spans="3:10" ht="16" x14ac:dyDescent="0.2">
      <c r="C420" s="147"/>
      <c r="D420" s="147"/>
      <c r="E420" s="147"/>
      <c r="F420" s="147"/>
      <c r="G420" s="147"/>
      <c r="H420" s="147"/>
      <c r="J420" s="147"/>
    </row>
    <row r="421" spans="3:10" ht="16" x14ac:dyDescent="0.2">
      <c r="C421" s="147"/>
      <c r="D421" s="147"/>
      <c r="E421" s="147"/>
      <c r="F421" s="147"/>
      <c r="G421" s="147"/>
      <c r="H421" s="147"/>
      <c r="J421" s="147"/>
    </row>
    <row r="422" spans="3:10" ht="16" x14ac:dyDescent="0.2">
      <c r="C422" s="147"/>
      <c r="D422" s="147"/>
      <c r="E422" s="147"/>
      <c r="F422" s="147"/>
      <c r="G422" s="147"/>
      <c r="H422" s="147"/>
      <c r="J422" s="147"/>
    </row>
    <row r="423" spans="3:10" ht="16" x14ac:dyDescent="0.2">
      <c r="C423" s="147"/>
      <c r="D423" s="147"/>
      <c r="E423" s="147"/>
      <c r="F423" s="147"/>
      <c r="G423" s="147"/>
      <c r="H423" s="147"/>
      <c r="J423" s="147"/>
    </row>
    <row r="424" spans="3:10" ht="16" x14ac:dyDescent="0.2">
      <c r="C424" s="147"/>
      <c r="D424" s="147"/>
      <c r="E424" s="147"/>
      <c r="F424" s="147"/>
      <c r="G424" s="147"/>
      <c r="H424" s="147"/>
      <c r="J424" s="147"/>
    </row>
    <row r="425" spans="3:10" ht="16" x14ac:dyDescent="0.2">
      <c r="C425" s="147"/>
      <c r="D425" s="147"/>
      <c r="E425" s="147"/>
      <c r="F425" s="147"/>
      <c r="G425" s="147"/>
      <c r="H425" s="147"/>
      <c r="J425" s="147"/>
    </row>
    <row r="426" spans="3:10" ht="16" x14ac:dyDescent="0.2">
      <c r="C426" s="147"/>
      <c r="D426" s="147"/>
      <c r="E426" s="147"/>
      <c r="F426" s="147"/>
      <c r="G426" s="147"/>
      <c r="H426" s="147"/>
      <c r="J426" s="147"/>
    </row>
    <row r="427" spans="3:10" ht="16" x14ac:dyDescent="0.2">
      <c r="C427" s="147"/>
      <c r="D427" s="147"/>
      <c r="E427" s="147"/>
      <c r="F427" s="147"/>
      <c r="G427" s="147"/>
      <c r="H427" s="147"/>
      <c r="J427" s="147"/>
    </row>
    <row r="428" spans="3:10" ht="16" x14ac:dyDescent="0.2">
      <c r="C428" s="147"/>
      <c r="D428" s="147"/>
      <c r="E428" s="147"/>
      <c r="F428" s="147"/>
      <c r="G428" s="147"/>
      <c r="H428" s="147"/>
      <c r="J428" s="147"/>
    </row>
    <row r="429" spans="3:10" ht="16" x14ac:dyDescent="0.2">
      <c r="C429" s="147"/>
      <c r="D429" s="147"/>
      <c r="E429" s="147"/>
      <c r="F429" s="147"/>
      <c r="G429" s="147"/>
      <c r="H429" s="147"/>
      <c r="J429" s="147"/>
    </row>
    <row r="430" spans="3:10" ht="16" x14ac:dyDescent="0.2">
      <c r="C430" s="147"/>
      <c r="D430" s="147"/>
      <c r="E430" s="147"/>
      <c r="F430" s="147"/>
      <c r="G430" s="147"/>
      <c r="H430" s="147"/>
      <c r="J430" s="147"/>
    </row>
    <row r="431" spans="3:10" ht="16" x14ac:dyDescent="0.2">
      <c r="C431" s="147"/>
      <c r="D431" s="147"/>
      <c r="E431" s="147"/>
      <c r="F431" s="147"/>
      <c r="G431" s="147"/>
      <c r="H431" s="147"/>
      <c r="J431" s="147"/>
    </row>
    <row r="432" spans="3:10" ht="16" x14ac:dyDescent="0.2">
      <c r="C432" s="147"/>
      <c r="D432" s="147"/>
      <c r="E432" s="147"/>
      <c r="F432" s="147"/>
      <c r="G432" s="147"/>
      <c r="H432" s="147"/>
      <c r="J432" s="147"/>
    </row>
    <row r="433" spans="3:10" ht="16" x14ac:dyDescent="0.2">
      <c r="C433" s="147"/>
      <c r="D433" s="147"/>
      <c r="E433" s="147"/>
      <c r="F433" s="147"/>
      <c r="G433" s="147"/>
      <c r="H433" s="147"/>
      <c r="J433" s="147"/>
    </row>
    <row r="434" spans="3:10" ht="16" x14ac:dyDescent="0.2">
      <c r="C434" s="147"/>
      <c r="D434" s="147"/>
      <c r="E434" s="147"/>
      <c r="F434" s="147"/>
      <c r="G434" s="147"/>
      <c r="H434" s="147"/>
      <c r="J434" s="147"/>
    </row>
    <row r="435" spans="3:10" ht="16" x14ac:dyDescent="0.2">
      <c r="C435" s="147"/>
      <c r="D435" s="147"/>
      <c r="E435" s="147"/>
      <c r="F435" s="147"/>
      <c r="G435" s="147"/>
      <c r="H435" s="147"/>
      <c r="J435" s="147"/>
    </row>
    <row r="436" spans="3:10" ht="16" x14ac:dyDescent="0.2">
      <c r="C436" s="147"/>
      <c r="D436" s="147"/>
      <c r="E436" s="147"/>
      <c r="F436" s="147"/>
      <c r="G436" s="147"/>
      <c r="H436" s="147"/>
      <c r="J436" s="147"/>
    </row>
    <row r="437" spans="3:10" ht="16" x14ac:dyDescent="0.2">
      <c r="C437" s="147"/>
      <c r="D437" s="147"/>
      <c r="E437" s="147"/>
      <c r="F437" s="147"/>
      <c r="G437" s="147"/>
      <c r="H437" s="147"/>
      <c r="J437" s="147"/>
    </row>
    <row r="438" spans="3:10" ht="16" x14ac:dyDescent="0.2">
      <c r="C438" s="147"/>
      <c r="D438" s="147"/>
      <c r="E438" s="147"/>
      <c r="F438" s="147"/>
      <c r="G438" s="147"/>
      <c r="H438" s="147"/>
      <c r="J438" s="147"/>
    </row>
    <row r="439" spans="3:10" ht="16" x14ac:dyDescent="0.2">
      <c r="C439" s="147"/>
      <c r="D439" s="147"/>
      <c r="E439" s="147"/>
      <c r="F439" s="147"/>
      <c r="G439" s="147"/>
      <c r="H439" s="147"/>
      <c r="J439" s="147"/>
    </row>
    <row r="440" spans="3:10" ht="16" x14ac:dyDescent="0.2">
      <c r="C440" s="147"/>
      <c r="D440" s="147"/>
      <c r="E440" s="147"/>
      <c r="F440" s="147"/>
      <c r="G440" s="147"/>
      <c r="H440" s="147"/>
      <c r="J440" s="147"/>
    </row>
    <row r="441" spans="3:10" ht="16" x14ac:dyDescent="0.2">
      <c r="C441" s="147"/>
      <c r="D441" s="147"/>
      <c r="E441" s="147"/>
      <c r="F441" s="147"/>
      <c r="G441" s="147"/>
      <c r="H441" s="147"/>
      <c r="J441" s="147"/>
    </row>
    <row r="442" spans="3:10" ht="16" x14ac:dyDescent="0.2">
      <c r="C442" s="147"/>
      <c r="D442" s="147"/>
      <c r="E442" s="147"/>
      <c r="F442" s="147"/>
      <c r="G442" s="147"/>
      <c r="H442" s="147"/>
      <c r="J442" s="147"/>
    </row>
    <row r="443" spans="3:10" ht="16" x14ac:dyDescent="0.2">
      <c r="C443" s="147"/>
      <c r="D443" s="147"/>
      <c r="E443" s="147"/>
      <c r="F443" s="147"/>
      <c r="G443" s="147"/>
      <c r="H443" s="147"/>
      <c r="J443" s="147"/>
    </row>
    <row r="444" spans="3:10" ht="16" x14ac:dyDescent="0.2">
      <c r="C444" s="147"/>
      <c r="D444" s="147"/>
      <c r="E444" s="147"/>
      <c r="F444" s="147"/>
      <c r="G444" s="147"/>
      <c r="H444" s="147"/>
      <c r="J444" s="147"/>
    </row>
    <row r="445" spans="3:10" ht="16" x14ac:dyDescent="0.2">
      <c r="C445" s="147"/>
      <c r="D445" s="147"/>
      <c r="E445" s="147"/>
      <c r="F445" s="147"/>
      <c r="G445" s="147"/>
      <c r="H445" s="147"/>
      <c r="J445" s="147"/>
    </row>
    <row r="446" spans="3:10" ht="16" x14ac:dyDescent="0.2">
      <c r="C446" s="147"/>
      <c r="D446" s="147"/>
      <c r="E446" s="147"/>
      <c r="F446" s="147"/>
      <c r="G446" s="147"/>
      <c r="H446" s="147"/>
      <c r="J446" s="147"/>
    </row>
    <row r="447" spans="3:10" ht="16" x14ac:dyDescent="0.2">
      <c r="C447" s="147"/>
      <c r="D447" s="147"/>
      <c r="E447" s="147"/>
      <c r="F447" s="147"/>
      <c r="G447" s="147"/>
      <c r="H447" s="147"/>
      <c r="J447" s="147"/>
    </row>
    <row r="448" spans="3:10" ht="16" x14ac:dyDescent="0.2">
      <c r="C448" s="147"/>
      <c r="D448" s="147"/>
      <c r="E448" s="147"/>
      <c r="F448" s="147"/>
      <c r="G448" s="147"/>
      <c r="H448" s="147"/>
      <c r="J448" s="147"/>
    </row>
    <row r="449" spans="3:10" ht="16" x14ac:dyDescent="0.2">
      <c r="C449" s="147"/>
      <c r="D449" s="147"/>
      <c r="E449" s="147"/>
      <c r="F449" s="147"/>
      <c r="G449" s="147"/>
      <c r="H449" s="147"/>
      <c r="J449" s="147"/>
    </row>
    <row r="450" spans="3:10" ht="16" x14ac:dyDescent="0.2">
      <c r="C450" s="147"/>
      <c r="D450" s="147"/>
      <c r="E450" s="147"/>
      <c r="F450" s="147"/>
      <c r="G450" s="147"/>
      <c r="H450" s="147"/>
      <c r="J450" s="147"/>
    </row>
    <row r="451" spans="3:10" ht="16" x14ac:dyDescent="0.2">
      <c r="C451" s="147"/>
      <c r="D451" s="147"/>
      <c r="E451" s="147"/>
      <c r="F451" s="147"/>
      <c r="G451" s="147"/>
      <c r="H451" s="147"/>
      <c r="J451" s="147"/>
    </row>
    <row r="452" spans="3:10" ht="16" x14ac:dyDescent="0.2">
      <c r="C452" s="147"/>
      <c r="D452" s="147"/>
      <c r="E452" s="147"/>
      <c r="F452" s="147"/>
      <c r="G452" s="147"/>
      <c r="H452" s="147"/>
      <c r="J452" s="147"/>
    </row>
    <row r="453" spans="3:10" ht="16" x14ac:dyDescent="0.2">
      <c r="C453" s="147"/>
      <c r="D453" s="147"/>
      <c r="E453" s="147"/>
      <c r="F453" s="147"/>
      <c r="G453" s="147"/>
      <c r="H453" s="147"/>
      <c r="J453" s="147"/>
    </row>
    <row r="454" spans="3:10" ht="16" x14ac:dyDescent="0.2">
      <c r="C454" s="147"/>
      <c r="D454" s="147"/>
      <c r="E454" s="147"/>
      <c r="F454" s="147"/>
      <c r="G454" s="147"/>
      <c r="H454" s="147"/>
      <c r="J454" s="147"/>
    </row>
    <row r="455" spans="3:10" ht="16" x14ac:dyDescent="0.2">
      <c r="C455" s="147"/>
      <c r="D455" s="147"/>
      <c r="E455" s="147"/>
      <c r="F455" s="147"/>
      <c r="G455" s="147"/>
      <c r="H455" s="147"/>
      <c r="J455" s="147"/>
    </row>
    <row r="456" spans="3:10" ht="16" x14ac:dyDescent="0.2">
      <c r="C456" s="147"/>
      <c r="D456" s="147"/>
      <c r="E456" s="147"/>
      <c r="F456" s="147"/>
      <c r="G456" s="147"/>
      <c r="H456" s="147"/>
      <c r="J456" s="147"/>
    </row>
    <row r="457" spans="3:10" ht="16" x14ac:dyDescent="0.2">
      <c r="C457" s="147"/>
      <c r="D457" s="147"/>
      <c r="E457" s="147"/>
      <c r="F457" s="147"/>
      <c r="G457" s="147"/>
      <c r="H457" s="147"/>
      <c r="J457" s="147"/>
    </row>
    <row r="458" spans="3:10" ht="16" x14ac:dyDescent="0.2">
      <c r="C458" s="147"/>
      <c r="D458" s="147"/>
      <c r="E458" s="147"/>
      <c r="F458" s="147"/>
      <c r="G458" s="147"/>
      <c r="H458" s="147"/>
      <c r="J458" s="147"/>
    </row>
    <row r="459" spans="3:10" ht="16" x14ac:dyDescent="0.2">
      <c r="C459" s="147"/>
      <c r="D459" s="147"/>
      <c r="E459" s="147"/>
      <c r="F459" s="147"/>
      <c r="G459" s="147"/>
      <c r="H459" s="147"/>
      <c r="J459" s="147"/>
    </row>
    <row r="460" spans="3:10" ht="16" x14ac:dyDescent="0.2">
      <c r="C460" s="147"/>
      <c r="D460" s="147"/>
      <c r="E460" s="147"/>
      <c r="F460" s="147"/>
      <c r="G460" s="147"/>
      <c r="H460" s="147"/>
      <c r="J460" s="147"/>
    </row>
    <row r="461" spans="3:10" ht="16" x14ac:dyDescent="0.2">
      <c r="C461" s="147"/>
      <c r="D461" s="147"/>
      <c r="E461" s="147"/>
      <c r="F461" s="147"/>
      <c r="G461" s="147"/>
      <c r="H461" s="147"/>
      <c r="J461" s="147"/>
    </row>
    <row r="462" spans="3:10" ht="16" x14ac:dyDescent="0.2">
      <c r="C462" s="147"/>
      <c r="D462" s="147"/>
      <c r="E462" s="147"/>
      <c r="F462" s="147"/>
      <c r="G462" s="147"/>
      <c r="H462" s="147"/>
      <c r="J462" s="147"/>
    </row>
    <row r="463" spans="3:10" ht="16" x14ac:dyDescent="0.2">
      <c r="C463" s="147"/>
      <c r="D463" s="147"/>
      <c r="E463" s="147"/>
      <c r="F463" s="147"/>
      <c r="G463" s="147"/>
      <c r="H463" s="147"/>
      <c r="J463" s="147"/>
    </row>
    <row r="464" spans="3:10" ht="16" x14ac:dyDescent="0.2">
      <c r="C464" s="147"/>
      <c r="D464" s="147"/>
      <c r="E464" s="147"/>
      <c r="F464" s="147"/>
      <c r="G464" s="147"/>
      <c r="H464" s="147"/>
      <c r="J464" s="147"/>
    </row>
    <row r="465" spans="3:10" ht="16" x14ac:dyDescent="0.2">
      <c r="C465" s="147"/>
      <c r="D465" s="147"/>
      <c r="E465" s="147"/>
      <c r="F465" s="147"/>
      <c r="G465" s="147"/>
      <c r="H465" s="147"/>
      <c r="J465" s="147"/>
    </row>
    <row r="466" spans="3:10" ht="16" x14ac:dyDescent="0.2">
      <c r="C466" s="147"/>
      <c r="D466" s="147"/>
      <c r="E466" s="147"/>
      <c r="F466" s="147"/>
      <c r="G466" s="147"/>
      <c r="H466" s="147"/>
      <c r="J466" s="147"/>
    </row>
    <row r="467" spans="3:10" ht="16" x14ac:dyDescent="0.2">
      <c r="C467" s="147"/>
      <c r="D467" s="147"/>
      <c r="E467" s="147"/>
      <c r="F467" s="147"/>
      <c r="G467" s="147"/>
      <c r="H467" s="147"/>
      <c r="J467" s="147"/>
    </row>
    <row r="468" spans="3:10" ht="16" x14ac:dyDescent="0.2">
      <c r="C468" s="147"/>
      <c r="D468" s="147"/>
      <c r="E468" s="147"/>
      <c r="F468" s="147"/>
      <c r="G468" s="147"/>
      <c r="H468" s="147"/>
      <c r="J468" s="147"/>
    </row>
    <row r="469" spans="3:10" ht="16" x14ac:dyDescent="0.2">
      <c r="C469" s="147"/>
      <c r="D469" s="147"/>
      <c r="E469" s="147"/>
      <c r="F469" s="147"/>
      <c r="G469" s="147"/>
      <c r="H469" s="147"/>
      <c r="J469" s="147"/>
    </row>
    <row r="470" spans="3:10" ht="16" x14ac:dyDescent="0.2">
      <c r="C470" s="147"/>
      <c r="D470" s="147"/>
      <c r="E470" s="147"/>
      <c r="F470" s="147"/>
      <c r="G470" s="147"/>
      <c r="H470" s="147"/>
      <c r="J470" s="147"/>
    </row>
    <row r="471" spans="3:10" ht="16" x14ac:dyDescent="0.2">
      <c r="C471" s="147"/>
      <c r="D471" s="147"/>
      <c r="E471" s="147"/>
      <c r="F471" s="147"/>
      <c r="G471" s="147"/>
      <c r="H471" s="147"/>
      <c r="J471" s="147"/>
    </row>
    <row r="472" spans="3:10" ht="16" x14ac:dyDescent="0.2">
      <c r="C472" s="147"/>
      <c r="D472" s="147"/>
      <c r="E472" s="147"/>
      <c r="F472" s="147"/>
      <c r="G472" s="147"/>
      <c r="H472" s="147"/>
      <c r="J472" s="147"/>
    </row>
    <row r="473" spans="3:10" ht="16" x14ac:dyDescent="0.2">
      <c r="C473" s="147"/>
      <c r="D473" s="147"/>
      <c r="E473" s="147"/>
      <c r="F473" s="147"/>
      <c r="G473" s="147"/>
      <c r="H473" s="147"/>
      <c r="J473" s="147"/>
    </row>
    <row r="474" spans="3:10" ht="16" x14ac:dyDescent="0.2">
      <c r="C474" s="147"/>
      <c r="D474" s="147"/>
      <c r="E474" s="147"/>
      <c r="F474" s="147"/>
      <c r="G474" s="147"/>
      <c r="H474" s="147"/>
      <c r="J474" s="147"/>
    </row>
    <row r="475" spans="3:10" ht="16" x14ac:dyDescent="0.2">
      <c r="C475" s="147"/>
      <c r="D475" s="147"/>
      <c r="E475" s="147"/>
      <c r="F475" s="147"/>
      <c r="G475" s="147"/>
      <c r="H475" s="147"/>
      <c r="J475" s="147"/>
    </row>
    <row r="476" spans="3:10" ht="16" x14ac:dyDescent="0.2">
      <c r="C476" s="147"/>
      <c r="D476" s="147"/>
      <c r="E476" s="147"/>
      <c r="F476" s="147"/>
      <c r="G476" s="147"/>
      <c r="H476" s="147"/>
      <c r="J476" s="147"/>
    </row>
    <row r="477" spans="3:10" ht="16" x14ac:dyDescent="0.2">
      <c r="C477" s="147"/>
      <c r="D477" s="147"/>
      <c r="E477" s="147"/>
      <c r="F477" s="147"/>
      <c r="G477" s="147"/>
      <c r="H477" s="147"/>
      <c r="J477" s="147"/>
    </row>
    <row r="478" spans="3:10" ht="16" x14ac:dyDescent="0.2">
      <c r="C478" s="147"/>
      <c r="D478" s="147"/>
      <c r="E478" s="147"/>
      <c r="F478" s="147"/>
      <c r="G478" s="147"/>
      <c r="H478" s="147"/>
      <c r="J478" s="147"/>
    </row>
    <row r="479" spans="3:10" ht="16" x14ac:dyDescent="0.2">
      <c r="C479" s="147"/>
      <c r="D479" s="147"/>
      <c r="E479" s="147"/>
      <c r="F479" s="147"/>
      <c r="G479" s="147"/>
      <c r="H479" s="147"/>
      <c r="J479" s="147"/>
    </row>
    <row r="480" spans="3:10" ht="16" x14ac:dyDescent="0.2">
      <c r="C480" s="147"/>
      <c r="D480" s="147"/>
      <c r="E480" s="147"/>
      <c r="F480" s="147"/>
      <c r="G480" s="147"/>
      <c r="H480" s="147"/>
      <c r="J480" s="147"/>
    </row>
    <row r="481" spans="3:10" ht="16" x14ac:dyDescent="0.2">
      <c r="C481" s="147"/>
      <c r="D481" s="147"/>
      <c r="E481" s="147"/>
      <c r="F481" s="147"/>
      <c r="G481" s="147"/>
      <c r="H481" s="147"/>
      <c r="J481" s="147"/>
    </row>
    <row r="482" spans="3:10" ht="16" x14ac:dyDescent="0.2">
      <c r="C482" s="147"/>
      <c r="D482" s="147"/>
      <c r="E482" s="147"/>
      <c r="F482" s="147"/>
      <c r="G482" s="147"/>
      <c r="H482" s="147"/>
      <c r="J482" s="147"/>
    </row>
    <row r="483" spans="3:10" ht="16" x14ac:dyDescent="0.2">
      <c r="C483" s="147"/>
      <c r="D483" s="147"/>
      <c r="E483" s="147"/>
      <c r="F483" s="147"/>
      <c r="G483" s="147"/>
      <c r="H483" s="147"/>
      <c r="J483" s="147"/>
    </row>
    <row r="484" spans="3:10" ht="16" x14ac:dyDescent="0.2">
      <c r="C484" s="147"/>
      <c r="D484" s="147"/>
      <c r="E484" s="147"/>
      <c r="F484" s="147"/>
      <c r="G484" s="147"/>
      <c r="H484" s="147"/>
      <c r="J484" s="147"/>
    </row>
    <row r="485" spans="3:10" ht="16" x14ac:dyDescent="0.2">
      <c r="C485" s="147"/>
      <c r="D485" s="147"/>
      <c r="E485" s="147"/>
      <c r="F485" s="147"/>
      <c r="G485" s="147"/>
      <c r="H485" s="147"/>
      <c r="J485" s="147"/>
    </row>
    <row r="486" spans="3:10" ht="16" x14ac:dyDescent="0.2">
      <c r="C486" s="147"/>
      <c r="D486" s="147"/>
      <c r="E486" s="147"/>
      <c r="F486" s="147"/>
      <c r="G486" s="147"/>
      <c r="H486" s="147"/>
      <c r="J486" s="147"/>
    </row>
    <row r="487" spans="3:10" ht="16" x14ac:dyDescent="0.2">
      <c r="C487" s="147"/>
      <c r="D487" s="147"/>
      <c r="E487" s="147"/>
      <c r="F487" s="147"/>
      <c r="G487" s="147"/>
      <c r="H487" s="147"/>
      <c r="J487" s="147"/>
    </row>
    <row r="488" spans="3:10" ht="16" x14ac:dyDescent="0.2">
      <c r="C488" s="147"/>
      <c r="D488" s="147"/>
      <c r="E488" s="147"/>
      <c r="F488" s="147"/>
      <c r="G488" s="147"/>
      <c r="H488" s="147"/>
      <c r="J488" s="147"/>
    </row>
    <row r="489" spans="3:10" ht="16" x14ac:dyDescent="0.2">
      <c r="C489" s="147"/>
      <c r="D489" s="147"/>
      <c r="E489" s="147"/>
      <c r="F489" s="147"/>
      <c r="G489" s="147"/>
      <c r="H489" s="147"/>
      <c r="J489" s="147"/>
    </row>
    <row r="490" spans="3:10" ht="16" x14ac:dyDescent="0.2">
      <c r="C490" s="147"/>
      <c r="D490" s="147"/>
      <c r="E490" s="147"/>
      <c r="F490" s="147"/>
      <c r="G490" s="147"/>
      <c r="H490" s="147"/>
      <c r="J490" s="147"/>
    </row>
    <row r="491" spans="3:10" ht="16" x14ac:dyDescent="0.2">
      <c r="C491" s="147"/>
      <c r="D491" s="147"/>
      <c r="E491" s="147"/>
      <c r="F491" s="147"/>
      <c r="G491" s="147"/>
      <c r="H491" s="147"/>
      <c r="J491" s="147"/>
    </row>
    <row r="492" spans="3:10" ht="16" x14ac:dyDescent="0.2">
      <c r="C492" s="147"/>
      <c r="D492" s="147"/>
      <c r="E492" s="147"/>
      <c r="F492" s="147"/>
      <c r="G492" s="147"/>
      <c r="H492" s="147"/>
      <c r="J492" s="147"/>
    </row>
    <row r="493" spans="3:10" ht="16" x14ac:dyDescent="0.2">
      <c r="C493" s="147"/>
      <c r="D493" s="147"/>
      <c r="E493" s="147"/>
      <c r="F493" s="147"/>
      <c r="G493" s="147"/>
      <c r="H493" s="147"/>
      <c r="J493" s="147"/>
    </row>
    <row r="494" spans="3:10" ht="16" x14ac:dyDescent="0.2">
      <c r="C494" s="147"/>
      <c r="D494" s="147"/>
      <c r="E494" s="147"/>
      <c r="F494" s="147"/>
      <c r="G494" s="147"/>
      <c r="H494" s="147"/>
      <c r="J494" s="147"/>
    </row>
    <row r="495" spans="3:10" ht="16" x14ac:dyDescent="0.2">
      <c r="C495" s="147"/>
      <c r="D495" s="147"/>
      <c r="E495" s="147"/>
      <c r="F495" s="147"/>
      <c r="G495" s="147"/>
      <c r="H495" s="147"/>
      <c r="J495" s="147"/>
    </row>
    <row r="496" spans="3:10" ht="16" x14ac:dyDescent="0.2">
      <c r="C496" s="147"/>
      <c r="D496" s="147"/>
      <c r="E496" s="147"/>
      <c r="F496" s="147"/>
      <c r="G496" s="147"/>
      <c r="H496" s="147"/>
      <c r="J496" s="147"/>
    </row>
    <row r="497" spans="3:10" ht="16" x14ac:dyDescent="0.2">
      <c r="C497" s="147"/>
      <c r="D497" s="147"/>
      <c r="E497" s="147"/>
      <c r="F497" s="147"/>
      <c r="G497" s="147"/>
      <c r="H497" s="147"/>
      <c r="J497" s="147"/>
    </row>
    <row r="498" spans="3:10" ht="16" x14ac:dyDescent="0.2">
      <c r="C498" s="147"/>
      <c r="D498" s="147"/>
      <c r="E498" s="147"/>
      <c r="F498" s="147"/>
      <c r="G498" s="147"/>
      <c r="H498" s="147"/>
      <c r="J498" s="147"/>
    </row>
    <row r="499" spans="3:10" ht="16" x14ac:dyDescent="0.2">
      <c r="C499" s="147"/>
      <c r="D499" s="147"/>
      <c r="E499" s="147"/>
      <c r="F499" s="147"/>
      <c r="G499" s="147"/>
      <c r="H499" s="147"/>
      <c r="J499" s="147"/>
    </row>
    <row r="500" spans="3:10" ht="16" x14ac:dyDescent="0.2">
      <c r="C500" s="147"/>
      <c r="D500" s="147"/>
      <c r="E500" s="147"/>
      <c r="F500" s="147"/>
      <c r="G500" s="147"/>
      <c r="H500" s="147"/>
      <c r="J500" s="147"/>
    </row>
    <row r="501" spans="3:10" ht="16" x14ac:dyDescent="0.2">
      <c r="C501" s="147"/>
      <c r="D501" s="147"/>
      <c r="E501" s="147"/>
      <c r="F501" s="147"/>
      <c r="G501" s="147"/>
      <c r="H501" s="147"/>
      <c r="J501" s="147"/>
    </row>
    <row r="502" spans="3:10" ht="16" x14ac:dyDescent="0.2">
      <c r="C502" s="147"/>
      <c r="D502" s="147"/>
      <c r="E502" s="147"/>
      <c r="F502" s="147"/>
      <c r="G502" s="147"/>
      <c r="H502" s="147"/>
      <c r="J502" s="147"/>
    </row>
    <row r="503" spans="3:10" ht="16" x14ac:dyDescent="0.2">
      <c r="C503" s="147"/>
      <c r="D503" s="147"/>
      <c r="E503" s="147"/>
      <c r="F503" s="147"/>
      <c r="G503" s="147"/>
      <c r="H503" s="147"/>
      <c r="J503" s="147"/>
    </row>
    <row r="504" spans="3:10" ht="16" x14ac:dyDescent="0.2">
      <c r="C504" s="147"/>
      <c r="D504" s="147"/>
      <c r="E504" s="147"/>
      <c r="F504" s="147"/>
      <c r="G504" s="147"/>
      <c r="H504" s="147"/>
      <c r="J504" s="147"/>
    </row>
    <row r="505" spans="3:10" ht="16" x14ac:dyDescent="0.2">
      <c r="C505" s="147"/>
      <c r="D505" s="147"/>
      <c r="E505" s="147"/>
      <c r="F505" s="147"/>
      <c r="G505" s="147"/>
      <c r="H505" s="147"/>
      <c r="J505" s="147"/>
    </row>
    <row r="506" spans="3:10" ht="16" x14ac:dyDescent="0.2">
      <c r="C506" s="147"/>
      <c r="D506" s="147"/>
      <c r="E506" s="147"/>
      <c r="F506" s="147"/>
      <c r="G506" s="147"/>
      <c r="H506" s="147"/>
      <c r="J506" s="147"/>
    </row>
    <row r="507" spans="3:10" ht="16" x14ac:dyDescent="0.2">
      <c r="C507" s="147"/>
      <c r="D507" s="147"/>
      <c r="E507" s="147"/>
      <c r="F507" s="147"/>
      <c r="G507" s="147"/>
      <c r="H507" s="147"/>
      <c r="J507" s="147"/>
    </row>
    <row r="508" spans="3:10" ht="16" x14ac:dyDescent="0.2">
      <c r="C508" s="147"/>
      <c r="D508" s="147"/>
      <c r="E508" s="147"/>
      <c r="F508" s="147"/>
      <c r="G508" s="147"/>
      <c r="H508" s="147"/>
      <c r="J508" s="147"/>
    </row>
    <row r="509" spans="3:10" ht="16" x14ac:dyDescent="0.2">
      <c r="C509" s="147"/>
      <c r="D509" s="147"/>
      <c r="E509" s="147"/>
      <c r="F509" s="147"/>
      <c r="G509" s="147"/>
      <c r="H509" s="147"/>
      <c r="J509" s="147"/>
    </row>
    <row r="510" spans="3:10" ht="16" x14ac:dyDescent="0.2">
      <c r="C510" s="147"/>
      <c r="D510" s="147"/>
      <c r="E510" s="147"/>
      <c r="F510" s="147"/>
      <c r="G510" s="147"/>
      <c r="H510" s="147"/>
      <c r="J510" s="147"/>
    </row>
    <row r="511" spans="3:10" ht="16" x14ac:dyDescent="0.2">
      <c r="C511" s="147"/>
      <c r="D511" s="147"/>
      <c r="E511" s="147"/>
      <c r="F511" s="147"/>
      <c r="G511" s="147"/>
      <c r="H511" s="147"/>
      <c r="J511" s="147"/>
    </row>
    <row r="512" spans="3:10" ht="16" x14ac:dyDescent="0.2">
      <c r="C512" s="147"/>
      <c r="D512" s="147"/>
      <c r="E512" s="147"/>
      <c r="F512" s="147"/>
      <c r="G512" s="147"/>
      <c r="H512" s="147"/>
      <c r="J512" s="147"/>
    </row>
    <row r="513" spans="3:10" ht="16" x14ac:dyDescent="0.2">
      <c r="C513" s="147"/>
      <c r="D513" s="147"/>
      <c r="E513" s="147"/>
      <c r="F513" s="147"/>
      <c r="G513" s="147"/>
      <c r="H513" s="147"/>
      <c r="J513" s="147"/>
    </row>
    <row r="514" spans="3:10" ht="16" x14ac:dyDescent="0.2">
      <c r="C514" s="147"/>
      <c r="D514" s="147"/>
      <c r="E514" s="147"/>
      <c r="F514" s="147"/>
      <c r="G514" s="147"/>
      <c r="H514" s="147"/>
      <c r="J514" s="147"/>
    </row>
    <row r="515" spans="3:10" ht="16" x14ac:dyDescent="0.2">
      <c r="C515" s="147"/>
      <c r="D515" s="147"/>
      <c r="E515" s="147"/>
      <c r="F515" s="147"/>
      <c r="G515" s="147"/>
      <c r="H515" s="147"/>
      <c r="J515" s="147"/>
    </row>
    <row r="516" spans="3:10" ht="16" x14ac:dyDescent="0.2">
      <c r="C516" s="147"/>
      <c r="D516" s="147"/>
      <c r="E516" s="147"/>
      <c r="F516" s="147"/>
      <c r="G516" s="147"/>
      <c r="H516" s="147"/>
      <c r="J516" s="147"/>
    </row>
    <row r="517" spans="3:10" ht="16" x14ac:dyDescent="0.2">
      <c r="C517" s="147"/>
      <c r="D517" s="147"/>
      <c r="E517" s="147"/>
      <c r="F517" s="147"/>
      <c r="G517" s="147"/>
      <c r="H517" s="147"/>
      <c r="J517" s="147"/>
    </row>
    <row r="518" spans="3:10" ht="16" x14ac:dyDescent="0.2">
      <c r="C518" s="147"/>
      <c r="D518" s="147"/>
      <c r="E518" s="147"/>
      <c r="F518" s="147"/>
      <c r="G518" s="147"/>
      <c r="H518" s="147"/>
      <c r="J518" s="147"/>
    </row>
    <row r="519" spans="3:10" ht="16" x14ac:dyDescent="0.2">
      <c r="C519" s="147"/>
      <c r="D519" s="147"/>
      <c r="E519" s="147"/>
      <c r="F519" s="147"/>
      <c r="G519" s="147"/>
      <c r="H519" s="147"/>
      <c r="J519" s="147"/>
    </row>
    <row r="520" spans="3:10" ht="16" x14ac:dyDescent="0.2">
      <c r="C520" s="147"/>
      <c r="D520" s="147"/>
      <c r="E520" s="147"/>
      <c r="F520" s="147"/>
      <c r="G520" s="147"/>
      <c r="H520" s="147"/>
      <c r="J520" s="147"/>
    </row>
    <row r="521" spans="3:10" ht="16" x14ac:dyDescent="0.2">
      <c r="C521" s="147"/>
      <c r="D521" s="147"/>
      <c r="E521" s="147"/>
      <c r="F521" s="147"/>
      <c r="G521" s="147"/>
      <c r="H521" s="147"/>
      <c r="J521" s="147"/>
    </row>
    <row r="522" spans="3:10" ht="16" x14ac:dyDescent="0.2">
      <c r="C522" s="147"/>
      <c r="D522" s="147"/>
      <c r="E522" s="147"/>
      <c r="F522" s="147"/>
      <c r="G522" s="147"/>
      <c r="H522" s="147"/>
      <c r="J522" s="147"/>
    </row>
    <row r="523" spans="3:10" ht="16" x14ac:dyDescent="0.2">
      <c r="C523" s="147"/>
      <c r="D523" s="147"/>
      <c r="E523" s="147"/>
      <c r="F523" s="147"/>
      <c r="G523" s="147"/>
      <c r="H523" s="147"/>
      <c r="J523" s="147"/>
    </row>
    <row r="524" spans="3:10" ht="16" x14ac:dyDescent="0.2">
      <c r="C524" s="147"/>
      <c r="D524" s="147"/>
      <c r="E524" s="147"/>
      <c r="F524" s="147"/>
      <c r="G524" s="147"/>
      <c r="H524" s="147"/>
      <c r="J524" s="147"/>
    </row>
    <row r="525" spans="3:10" ht="16" x14ac:dyDescent="0.2">
      <c r="C525" s="147"/>
      <c r="D525" s="147"/>
      <c r="E525" s="147"/>
      <c r="F525" s="147"/>
      <c r="G525" s="147"/>
      <c r="H525" s="147"/>
      <c r="J525" s="147"/>
    </row>
    <row r="526" spans="3:10" ht="16" x14ac:dyDescent="0.2">
      <c r="C526" s="147"/>
      <c r="D526" s="147"/>
      <c r="E526" s="147"/>
      <c r="F526" s="147"/>
      <c r="G526" s="147"/>
      <c r="H526" s="147"/>
      <c r="J526" s="147"/>
    </row>
    <row r="527" spans="3:10" ht="16" x14ac:dyDescent="0.2">
      <c r="C527" s="147"/>
      <c r="D527" s="147"/>
      <c r="E527" s="147"/>
      <c r="F527" s="147"/>
      <c r="G527" s="147"/>
      <c r="H527" s="147"/>
      <c r="J527" s="147"/>
    </row>
    <row r="528" spans="3:10" ht="16" x14ac:dyDescent="0.2">
      <c r="C528" s="147"/>
      <c r="D528" s="147"/>
      <c r="E528" s="147"/>
      <c r="F528" s="147"/>
      <c r="G528" s="147"/>
      <c r="H528" s="147"/>
      <c r="J528" s="147"/>
    </row>
    <row r="529" spans="3:10" ht="16" x14ac:dyDescent="0.2">
      <c r="C529" s="147"/>
      <c r="D529" s="147"/>
      <c r="E529" s="147"/>
      <c r="F529" s="147"/>
      <c r="G529" s="147"/>
      <c r="H529" s="147"/>
      <c r="J529" s="147"/>
    </row>
    <row r="530" spans="3:10" ht="16" x14ac:dyDescent="0.2">
      <c r="C530" s="147"/>
      <c r="D530" s="147"/>
      <c r="E530" s="147"/>
      <c r="F530" s="147"/>
      <c r="G530" s="147"/>
      <c r="H530" s="147"/>
      <c r="J530" s="147"/>
    </row>
    <row r="531" spans="3:10" ht="16" x14ac:dyDescent="0.2">
      <c r="C531" s="147"/>
      <c r="D531" s="147"/>
      <c r="E531" s="147"/>
      <c r="F531" s="147"/>
      <c r="G531" s="147"/>
      <c r="H531" s="147"/>
      <c r="J531" s="147"/>
    </row>
    <row r="532" spans="3:10" ht="16" x14ac:dyDescent="0.2">
      <c r="C532" s="147"/>
      <c r="D532" s="147"/>
      <c r="E532" s="147"/>
      <c r="F532" s="147"/>
      <c r="G532" s="147"/>
      <c r="H532" s="147"/>
      <c r="J532" s="147"/>
    </row>
    <row r="533" spans="3:10" ht="16" x14ac:dyDescent="0.2">
      <c r="C533" s="147"/>
      <c r="D533" s="147"/>
      <c r="E533" s="147"/>
      <c r="F533" s="147"/>
      <c r="G533" s="147"/>
      <c r="H533" s="147"/>
      <c r="J533" s="147"/>
    </row>
    <row r="534" spans="3:10" ht="16" x14ac:dyDescent="0.2">
      <c r="C534" s="147"/>
      <c r="D534" s="147"/>
      <c r="E534" s="147"/>
      <c r="F534" s="147"/>
      <c r="G534" s="147"/>
      <c r="H534" s="147"/>
      <c r="J534" s="147"/>
    </row>
    <row r="535" spans="3:10" ht="16" x14ac:dyDescent="0.2">
      <c r="C535" s="147"/>
      <c r="D535" s="147"/>
      <c r="E535" s="147"/>
      <c r="F535" s="147"/>
      <c r="G535" s="147"/>
      <c r="H535" s="147"/>
      <c r="J535" s="147"/>
    </row>
    <row r="536" spans="3:10" ht="16" x14ac:dyDescent="0.2">
      <c r="C536" s="147"/>
      <c r="D536" s="147"/>
      <c r="E536" s="147"/>
      <c r="F536" s="147"/>
      <c r="G536" s="147"/>
      <c r="H536" s="147"/>
      <c r="J536" s="147"/>
    </row>
    <row r="537" spans="3:10" ht="16" x14ac:dyDescent="0.2">
      <c r="C537" s="147"/>
      <c r="D537" s="147"/>
      <c r="E537" s="147"/>
      <c r="F537" s="147"/>
      <c r="G537" s="147"/>
      <c r="H537" s="147"/>
      <c r="J537" s="147"/>
    </row>
    <row r="538" spans="3:10" ht="16" x14ac:dyDescent="0.2">
      <c r="C538" s="147"/>
      <c r="D538" s="147"/>
      <c r="E538" s="147"/>
      <c r="F538" s="147"/>
      <c r="G538" s="147"/>
      <c r="H538" s="147"/>
      <c r="J538" s="147"/>
    </row>
    <row r="539" spans="3:10" ht="16" x14ac:dyDescent="0.2">
      <c r="C539" s="147"/>
      <c r="D539" s="147"/>
      <c r="E539" s="147"/>
      <c r="F539" s="147"/>
      <c r="G539" s="147"/>
      <c r="H539" s="147"/>
      <c r="J539" s="147"/>
    </row>
    <row r="540" spans="3:10" ht="16" x14ac:dyDescent="0.2">
      <c r="C540" s="147"/>
      <c r="D540" s="147"/>
      <c r="E540" s="147"/>
      <c r="F540" s="147"/>
      <c r="G540" s="147"/>
      <c r="H540" s="147"/>
      <c r="J540" s="147"/>
    </row>
    <row r="541" spans="3:10" ht="16" x14ac:dyDescent="0.2">
      <c r="C541" s="147"/>
      <c r="D541" s="147"/>
      <c r="E541" s="147"/>
      <c r="F541" s="147"/>
      <c r="G541" s="147"/>
      <c r="H541" s="147"/>
      <c r="J541" s="147"/>
    </row>
    <row r="542" spans="3:10" ht="16" x14ac:dyDescent="0.2">
      <c r="C542" s="147"/>
      <c r="D542" s="147"/>
      <c r="E542" s="147"/>
      <c r="F542" s="147"/>
      <c r="G542" s="147"/>
      <c r="H542" s="147"/>
      <c r="J542" s="147"/>
    </row>
    <row r="543" spans="3:10" ht="16" x14ac:dyDescent="0.2">
      <c r="C543" s="147"/>
      <c r="D543" s="147"/>
      <c r="E543" s="147"/>
      <c r="F543" s="147"/>
      <c r="G543" s="147"/>
      <c r="H543" s="147"/>
      <c r="J543" s="147"/>
    </row>
    <row r="544" spans="3:10" ht="16" x14ac:dyDescent="0.2">
      <c r="C544" s="147"/>
      <c r="D544" s="147"/>
      <c r="E544" s="147"/>
      <c r="F544" s="147"/>
      <c r="G544" s="147"/>
      <c r="H544" s="147"/>
      <c r="J544" s="147"/>
    </row>
    <row r="545" spans="3:10" ht="16" x14ac:dyDescent="0.2">
      <c r="C545" s="147"/>
      <c r="D545" s="147"/>
      <c r="E545" s="147"/>
      <c r="F545" s="147"/>
      <c r="G545" s="147"/>
      <c r="H545" s="147"/>
      <c r="J545" s="147"/>
    </row>
    <row r="546" spans="3:10" ht="16" x14ac:dyDescent="0.2">
      <c r="C546" s="147"/>
      <c r="D546" s="147"/>
      <c r="E546" s="147"/>
      <c r="F546" s="147"/>
      <c r="G546" s="147"/>
      <c r="H546" s="147"/>
      <c r="J546" s="147"/>
    </row>
    <row r="547" spans="3:10" ht="16" x14ac:dyDescent="0.2">
      <c r="C547" s="147"/>
      <c r="D547" s="147"/>
      <c r="E547" s="147"/>
      <c r="F547" s="147"/>
      <c r="G547" s="147"/>
      <c r="H547" s="147"/>
      <c r="J547" s="147"/>
    </row>
    <row r="548" spans="3:10" ht="16" x14ac:dyDescent="0.2">
      <c r="C548" s="147"/>
      <c r="D548" s="147"/>
      <c r="E548" s="147"/>
      <c r="F548" s="147"/>
      <c r="G548" s="147"/>
      <c r="H548" s="147"/>
      <c r="J548" s="147"/>
    </row>
    <row r="549" spans="3:10" ht="16" x14ac:dyDescent="0.2">
      <c r="C549" s="147"/>
      <c r="D549" s="147"/>
      <c r="E549" s="147"/>
      <c r="F549" s="147"/>
      <c r="G549" s="147"/>
      <c r="H549" s="147"/>
      <c r="J549" s="147"/>
    </row>
    <row r="550" spans="3:10" ht="16" x14ac:dyDescent="0.2">
      <c r="C550" s="147"/>
      <c r="D550" s="147"/>
      <c r="E550" s="147"/>
      <c r="F550" s="147"/>
      <c r="G550" s="147"/>
      <c r="H550" s="147"/>
      <c r="J550" s="147"/>
    </row>
    <row r="551" spans="3:10" ht="16" x14ac:dyDescent="0.2">
      <c r="C551" s="147"/>
      <c r="D551" s="147"/>
      <c r="E551" s="147"/>
      <c r="F551" s="147"/>
      <c r="G551" s="147"/>
      <c r="H551" s="147"/>
      <c r="J551" s="147"/>
    </row>
    <row r="552" spans="3:10" ht="16" x14ac:dyDescent="0.2">
      <c r="C552" s="147"/>
      <c r="D552" s="147"/>
      <c r="E552" s="147"/>
      <c r="F552" s="147"/>
      <c r="G552" s="147"/>
      <c r="H552" s="147"/>
      <c r="J552" s="147"/>
    </row>
    <row r="553" spans="3:10" ht="16" x14ac:dyDescent="0.2">
      <c r="C553" s="147"/>
      <c r="D553" s="147"/>
      <c r="E553" s="147"/>
      <c r="F553" s="147"/>
      <c r="G553" s="147"/>
      <c r="H553" s="147"/>
      <c r="J553" s="147"/>
    </row>
    <row r="554" spans="3:10" ht="16" x14ac:dyDescent="0.2">
      <c r="C554" s="147"/>
      <c r="D554" s="147"/>
      <c r="E554" s="147"/>
      <c r="F554" s="147"/>
      <c r="G554" s="147"/>
      <c r="H554" s="147"/>
      <c r="J554" s="147"/>
    </row>
    <row r="555" spans="3:10" ht="16" x14ac:dyDescent="0.2">
      <c r="C555" s="147"/>
      <c r="D555" s="147"/>
      <c r="E555" s="147"/>
      <c r="F555" s="147"/>
      <c r="G555" s="147"/>
      <c r="H555" s="147"/>
      <c r="J555" s="147"/>
    </row>
    <row r="556" spans="3:10" ht="16" x14ac:dyDescent="0.2">
      <c r="C556" s="147"/>
      <c r="D556" s="147"/>
      <c r="E556" s="147"/>
      <c r="F556" s="147"/>
      <c r="G556" s="147"/>
      <c r="H556" s="147"/>
      <c r="J556" s="147"/>
    </row>
    <row r="557" spans="3:10" ht="16" x14ac:dyDescent="0.2">
      <c r="C557" s="147"/>
      <c r="D557" s="147"/>
      <c r="E557" s="147"/>
      <c r="F557" s="147"/>
      <c r="G557" s="147"/>
      <c r="H557" s="147"/>
      <c r="J557" s="147"/>
    </row>
    <row r="558" spans="3:10" ht="16" x14ac:dyDescent="0.2">
      <c r="C558" s="147"/>
      <c r="D558" s="147"/>
      <c r="E558" s="147"/>
      <c r="F558" s="147"/>
      <c r="G558" s="147"/>
      <c r="H558" s="147"/>
      <c r="J558" s="147"/>
    </row>
    <row r="559" spans="3:10" ht="16" x14ac:dyDescent="0.2">
      <c r="C559" s="147"/>
      <c r="D559" s="147"/>
      <c r="E559" s="147"/>
      <c r="F559" s="147"/>
      <c r="G559" s="147"/>
      <c r="H559" s="147"/>
      <c r="J559" s="147"/>
    </row>
    <row r="560" spans="3:10" ht="16" x14ac:dyDescent="0.2">
      <c r="C560" s="147"/>
      <c r="D560" s="147"/>
      <c r="E560" s="147"/>
      <c r="F560" s="147"/>
      <c r="G560" s="147"/>
      <c r="H560" s="147"/>
      <c r="J560" s="147"/>
    </row>
    <row r="561" spans="3:10" ht="16" x14ac:dyDescent="0.2">
      <c r="C561" s="147"/>
      <c r="D561" s="147"/>
      <c r="E561" s="147"/>
      <c r="F561" s="147"/>
      <c r="G561" s="147"/>
      <c r="H561" s="147"/>
      <c r="J561" s="147"/>
    </row>
    <row r="562" spans="3:10" ht="16" x14ac:dyDescent="0.2">
      <c r="C562" s="147"/>
      <c r="D562" s="147"/>
      <c r="E562" s="147"/>
      <c r="F562" s="147"/>
      <c r="G562" s="147"/>
      <c r="H562" s="147"/>
      <c r="J562" s="147"/>
    </row>
    <row r="563" spans="3:10" ht="16" x14ac:dyDescent="0.2">
      <c r="C563" s="147"/>
      <c r="D563" s="147"/>
      <c r="E563" s="147"/>
      <c r="F563" s="147"/>
      <c r="G563" s="147"/>
      <c r="H563" s="147"/>
      <c r="J563" s="147"/>
    </row>
    <row r="564" spans="3:10" ht="16" x14ac:dyDescent="0.2">
      <c r="C564" s="147"/>
      <c r="D564" s="147"/>
      <c r="E564" s="147"/>
      <c r="F564" s="147"/>
      <c r="G564" s="147"/>
      <c r="H564" s="147"/>
      <c r="J564" s="147"/>
    </row>
    <row r="565" spans="3:10" ht="16" x14ac:dyDescent="0.2">
      <c r="C565" s="147"/>
      <c r="D565" s="147"/>
      <c r="E565" s="147"/>
      <c r="F565" s="147"/>
      <c r="G565" s="147"/>
      <c r="H565" s="147"/>
      <c r="J565" s="147"/>
    </row>
    <row r="566" spans="3:10" ht="16" x14ac:dyDescent="0.2">
      <c r="C566" s="147"/>
      <c r="D566" s="147"/>
      <c r="E566" s="147"/>
      <c r="F566" s="147"/>
      <c r="G566" s="147"/>
      <c r="H566" s="147"/>
      <c r="J566" s="147"/>
    </row>
    <row r="567" spans="3:10" ht="16" x14ac:dyDescent="0.2">
      <c r="C567" s="147"/>
      <c r="D567" s="147"/>
      <c r="E567" s="147"/>
      <c r="F567" s="147"/>
      <c r="G567" s="147"/>
      <c r="H567" s="147"/>
      <c r="J567" s="147"/>
    </row>
    <row r="568" spans="3:10" ht="16" x14ac:dyDescent="0.2">
      <c r="C568" s="147"/>
      <c r="D568" s="147"/>
      <c r="E568" s="147"/>
      <c r="F568" s="147"/>
      <c r="G568" s="147"/>
      <c r="H568" s="147"/>
      <c r="J568" s="147"/>
    </row>
    <row r="569" spans="3:10" ht="16" x14ac:dyDescent="0.2">
      <c r="C569" s="147"/>
      <c r="D569" s="147"/>
      <c r="E569" s="147"/>
      <c r="F569" s="147"/>
      <c r="G569" s="147"/>
      <c r="H569" s="147"/>
      <c r="J569" s="147"/>
    </row>
    <row r="570" spans="3:10" ht="16" x14ac:dyDescent="0.2">
      <c r="C570" s="147"/>
      <c r="D570" s="147"/>
      <c r="E570" s="147"/>
      <c r="F570" s="147"/>
      <c r="G570" s="147"/>
      <c r="H570" s="147"/>
      <c r="J570" s="147"/>
    </row>
    <row r="571" spans="3:10" ht="16" x14ac:dyDescent="0.2">
      <c r="C571" s="147"/>
      <c r="D571" s="147"/>
      <c r="E571" s="147"/>
      <c r="F571" s="147"/>
      <c r="G571" s="147"/>
      <c r="H571" s="147"/>
      <c r="J571" s="147"/>
    </row>
    <row r="572" spans="3:10" ht="16" x14ac:dyDescent="0.2">
      <c r="C572" s="147"/>
      <c r="D572" s="147"/>
      <c r="E572" s="147"/>
      <c r="F572" s="147"/>
      <c r="G572" s="147"/>
      <c r="H572" s="147"/>
      <c r="J572" s="147"/>
    </row>
    <row r="573" spans="3:10" ht="16" x14ac:dyDescent="0.2">
      <c r="C573" s="147"/>
      <c r="D573" s="147"/>
      <c r="E573" s="147"/>
      <c r="F573" s="147"/>
      <c r="G573" s="147"/>
      <c r="H573" s="147"/>
      <c r="J573" s="147"/>
    </row>
    <row r="574" spans="3:10" ht="16" x14ac:dyDescent="0.2">
      <c r="C574" s="147"/>
      <c r="D574" s="147"/>
      <c r="E574" s="147"/>
      <c r="F574" s="147"/>
      <c r="G574" s="147"/>
      <c r="H574" s="147"/>
      <c r="J574" s="147"/>
    </row>
    <row r="575" spans="3:10" ht="16" x14ac:dyDescent="0.2">
      <c r="C575" s="147"/>
      <c r="D575" s="147"/>
      <c r="E575" s="147"/>
      <c r="F575" s="147"/>
      <c r="G575" s="147"/>
      <c r="H575" s="147"/>
      <c r="J575" s="147"/>
    </row>
    <row r="576" spans="3:10" ht="16" x14ac:dyDescent="0.2">
      <c r="C576" s="147"/>
      <c r="D576" s="147"/>
      <c r="E576" s="147"/>
      <c r="F576" s="147"/>
      <c r="G576" s="147"/>
      <c r="H576" s="147"/>
      <c r="J576" s="147"/>
    </row>
    <row r="577" spans="3:10" ht="16" x14ac:dyDescent="0.2">
      <c r="C577" s="147"/>
      <c r="D577" s="147"/>
      <c r="E577" s="147"/>
      <c r="F577" s="147"/>
      <c r="G577" s="147"/>
      <c r="H577" s="147"/>
      <c r="J577" s="147"/>
    </row>
    <row r="578" spans="3:10" ht="16" x14ac:dyDescent="0.2">
      <c r="C578" s="147"/>
      <c r="D578" s="147"/>
      <c r="E578" s="147"/>
      <c r="F578" s="147"/>
      <c r="G578" s="147"/>
      <c r="H578" s="147"/>
      <c r="J578" s="147"/>
    </row>
    <row r="579" spans="3:10" ht="16" x14ac:dyDescent="0.2">
      <c r="C579" s="147"/>
      <c r="D579" s="147"/>
      <c r="E579" s="147"/>
      <c r="F579" s="147"/>
      <c r="G579" s="147"/>
      <c r="H579" s="147"/>
      <c r="J579" s="147"/>
    </row>
    <row r="580" spans="3:10" ht="16" x14ac:dyDescent="0.2">
      <c r="C580" s="147"/>
      <c r="D580" s="147"/>
      <c r="E580" s="147"/>
      <c r="F580" s="147"/>
      <c r="G580" s="147"/>
      <c r="H580" s="147"/>
      <c r="J580" s="147"/>
    </row>
    <row r="581" spans="3:10" ht="16" x14ac:dyDescent="0.2">
      <c r="C581" s="147"/>
      <c r="D581" s="147"/>
      <c r="E581" s="147"/>
      <c r="F581" s="147"/>
      <c r="G581" s="147"/>
      <c r="H581" s="147"/>
      <c r="J581" s="147"/>
    </row>
    <row r="582" spans="3:10" ht="16" x14ac:dyDescent="0.2">
      <c r="C582" s="147"/>
      <c r="D582" s="147"/>
      <c r="E582" s="147"/>
      <c r="F582" s="147"/>
      <c r="G582" s="147"/>
      <c r="H582" s="147"/>
      <c r="J582" s="147"/>
    </row>
    <row r="583" spans="3:10" ht="16" x14ac:dyDescent="0.2">
      <c r="C583" s="147"/>
      <c r="D583" s="147"/>
      <c r="E583" s="147"/>
      <c r="F583" s="147"/>
      <c r="G583" s="147"/>
      <c r="H583" s="147"/>
      <c r="J583" s="147"/>
    </row>
    <row r="584" spans="3:10" ht="16" x14ac:dyDescent="0.2">
      <c r="C584" s="147"/>
      <c r="D584" s="147"/>
      <c r="E584" s="147"/>
      <c r="F584" s="147"/>
      <c r="G584" s="147"/>
      <c r="H584" s="147"/>
      <c r="J584" s="147"/>
    </row>
    <row r="585" spans="3:10" ht="16" x14ac:dyDescent="0.2">
      <c r="C585" s="147"/>
      <c r="D585" s="147"/>
      <c r="E585" s="147"/>
      <c r="F585" s="147"/>
      <c r="G585" s="147"/>
      <c r="H585" s="147"/>
      <c r="J585" s="147"/>
    </row>
    <row r="586" spans="3:10" ht="16" x14ac:dyDescent="0.2">
      <c r="C586" s="147"/>
      <c r="D586" s="147"/>
      <c r="E586" s="147"/>
      <c r="F586" s="147"/>
      <c r="G586" s="147"/>
      <c r="H586" s="147"/>
      <c r="J586" s="147"/>
    </row>
    <row r="587" spans="3:10" ht="16" x14ac:dyDescent="0.2">
      <c r="C587" s="147"/>
      <c r="D587" s="147"/>
      <c r="E587" s="147"/>
      <c r="F587" s="147"/>
      <c r="G587" s="147"/>
      <c r="H587" s="147"/>
      <c r="J587" s="147"/>
    </row>
    <row r="588" spans="3:10" ht="16" x14ac:dyDescent="0.2">
      <c r="C588" s="147"/>
      <c r="D588" s="147"/>
      <c r="E588" s="147"/>
      <c r="F588" s="147"/>
      <c r="G588" s="147"/>
      <c r="H588" s="147"/>
      <c r="J588" s="147"/>
    </row>
    <row r="589" spans="3:10" ht="16" x14ac:dyDescent="0.2">
      <c r="C589" s="147"/>
      <c r="D589" s="147"/>
      <c r="E589" s="147"/>
      <c r="F589" s="147"/>
      <c r="G589" s="147"/>
      <c r="H589" s="147"/>
      <c r="J589" s="147"/>
    </row>
    <row r="590" spans="3:10" ht="16" x14ac:dyDescent="0.2">
      <c r="C590" s="147"/>
      <c r="D590" s="147"/>
      <c r="E590" s="147"/>
      <c r="F590" s="147"/>
      <c r="G590" s="147"/>
      <c r="H590" s="147"/>
      <c r="J590" s="147"/>
    </row>
    <row r="591" spans="3:10" ht="16" x14ac:dyDescent="0.2">
      <c r="C591" s="147"/>
      <c r="D591" s="147"/>
      <c r="E591" s="147"/>
      <c r="F591" s="147"/>
      <c r="G591" s="147"/>
      <c r="H591" s="147"/>
      <c r="J591" s="147"/>
    </row>
    <row r="592" spans="3:10" ht="16" x14ac:dyDescent="0.2">
      <c r="C592" s="147"/>
      <c r="D592" s="147"/>
      <c r="E592" s="147"/>
      <c r="F592" s="147"/>
      <c r="G592" s="147"/>
      <c r="H592" s="147"/>
      <c r="J592" s="147"/>
    </row>
    <row r="593" spans="3:10" ht="16" x14ac:dyDescent="0.2">
      <c r="C593" s="147"/>
      <c r="D593" s="147"/>
      <c r="E593" s="147"/>
      <c r="F593" s="147"/>
      <c r="G593" s="147"/>
      <c r="H593" s="147"/>
      <c r="J593" s="147"/>
    </row>
    <row r="594" spans="3:10" ht="16" x14ac:dyDescent="0.2">
      <c r="C594" s="147"/>
      <c r="D594" s="147"/>
      <c r="E594" s="147"/>
      <c r="F594" s="147"/>
      <c r="G594" s="147"/>
      <c r="H594" s="147"/>
      <c r="J594" s="147"/>
    </row>
    <row r="595" spans="3:10" ht="16" x14ac:dyDescent="0.2">
      <c r="C595" s="147"/>
      <c r="D595" s="147"/>
      <c r="E595" s="147"/>
      <c r="F595" s="147"/>
      <c r="G595" s="147"/>
      <c r="H595" s="147"/>
      <c r="J595" s="147"/>
    </row>
    <row r="596" spans="3:10" ht="16" x14ac:dyDescent="0.2">
      <c r="C596" s="147"/>
      <c r="D596" s="147"/>
      <c r="E596" s="147"/>
      <c r="F596" s="147"/>
      <c r="G596" s="147"/>
      <c r="H596" s="147"/>
      <c r="J596" s="147"/>
    </row>
    <row r="597" spans="3:10" ht="16" x14ac:dyDescent="0.2">
      <c r="C597" s="147"/>
      <c r="D597" s="147"/>
      <c r="E597" s="147"/>
      <c r="F597" s="147"/>
      <c r="G597" s="147"/>
      <c r="H597" s="147"/>
      <c r="J597" s="147"/>
    </row>
    <row r="598" spans="3:10" ht="16" x14ac:dyDescent="0.2">
      <c r="C598" s="147"/>
      <c r="D598" s="147"/>
      <c r="E598" s="147"/>
      <c r="F598" s="147"/>
      <c r="G598" s="147"/>
      <c r="H598" s="147"/>
      <c r="J598" s="147"/>
    </row>
    <row r="599" spans="3:10" ht="16" x14ac:dyDescent="0.2">
      <c r="C599" s="147"/>
      <c r="D599" s="147"/>
      <c r="E599" s="147"/>
      <c r="F599" s="147"/>
      <c r="G599" s="147"/>
      <c r="H599" s="147"/>
      <c r="J599" s="147"/>
    </row>
    <row r="600" spans="3:10" ht="16" x14ac:dyDescent="0.2">
      <c r="C600" s="147"/>
      <c r="D600" s="147"/>
      <c r="E600" s="147"/>
      <c r="F600" s="147"/>
      <c r="G600" s="147"/>
      <c r="H600" s="147"/>
      <c r="J600" s="147"/>
    </row>
    <row r="601" spans="3:10" ht="16" x14ac:dyDescent="0.2">
      <c r="C601" s="147"/>
      <c r="D601" s="147"/>
      <c r="E601" s="147"/>
      <c r="F601" s="147"/>
      <c r="G601" s="147"/>
      <c r="H601" s="147"/>
      <c r="J601" s="147"/>
    </row>
    <row r="602" spans="3:10" ht="16" x14ac:dyDescent="0.2">
      <c r="C602" s="147"/>
      <c r="D602" s="147"/>
      <c r="E602" s="147"/>
      <c r="F602" s="147"/>
      <c r="G602" s="147"/>
      <c r="H602" s="147"/>
      <c r="J602" s="147"/>
    </row>
    <row r="603" spans="3:10" ht="16" x14ac:dyDescent="0.2">
      <c r="C603" s="147"/>
      <c r="D603" s="147"/>
      <c r="E603" s="147"/>
      <c r="F603" s="147"/>
      <c r="G603" s="147"/>
      <c r="H603" s="147"/>
      <c r="J603" s="147"/>
    </row>
    <row r="604" spans="3:10" ht="16" x14ac:dyDescent="0.2">
      <c r="C604" s="147"/>
      <c r="D604" s="147"/>
      <c r="E604" s="147"/>
      <c r="F604" s="147"/>
      <c r="G604" s="147"/>
      <c r="H604" s="147"/>
      <c r="J604" s="147"/>
    </row>
    <row r="605" spans="3:10" ht="16" x14ac:dyDescent="0.2">
      <c r="C605" s="147"/>
      <c r="D605" s="147"/>
      <c r="E605" s="147"/>
      <c r="F605" s="147"/>
      <c r="G605" s="147"/>
      <c r="H605" s="147"/>
      <c r="J605" s="147"/>
    </row>
    <row r="606" spans="3:10" ht="16" x14ac:dyDescent="0.2">
      <c r="C606" s="147"/>
      <c r="D606" s="147"/>
      <c r="E606" s="147"/>
      <c r="F606" s="147"/>
      <c r="G606" s="147"/>
      <c r="H606" s="147"/>
      <c r="J606" s="147"/>
    </row>
    <row r="607" spans="3:10" ht="16" x14ac:dyDescent="0.2">
      <c r="C607" s="147"/>
      <c r="D607" s="147"/>
      <c r="E607" s="147"/>
      <c r="F607" s="147"/>
      <c r="G607" s="147"/>
      <c r="H607" s="147"/>
      <c r="J607" s="147"/>
    </row>
    <row r="608" spans="3:10" ht="16" x14ac:dyDescent="0.2">
      <c r="C608" s="147"/>
      <c r="D608" s="147"/>
      <c r="E608" s="147"/>
      <c r="F608" s="147"/>
      <c r="G608" s="147"/>
      <c r="H608" s="147"/>
      <c r="J608" s="147"/>
    </row>
    <row r="609" spans="3:10" ht="16" x14ac:dyDescent="0.2">
      <c r="C609" s="147"/>
      <c r="D609" s="147"/>
      <c r="E609" s="147"/>
      <c r="F609" s="147"/>
      <c r="G609" s="147"/>
      <c r="H609" s="147"/>
      <c r="J609" s="147"/>
    </row>
    <row r="610" spans="3:10" ht="16" x14ac:dyDescent="0.2">
      <c r="C610" s="147"/>
      <c r="D610" s="147"/>
      <c r="E610" s="147"/>
      <c r="F610" s="147"/>
      <c r="G610" s="147"/>
      <c r="H610" s="147"/>
      <c r="J610" s="147"/>
    </row>
    <row r="611" spans="3:10" ht="16" x14ac:dyDescent="0.2">
      <c r="C611" s="147"/>
      <c r="D611" s="147"/>
      <c r="E611" s="147"/>
      <c r="F611" s="147"/>
      <c r="G611" s="147"/>
      <c r="H611" s="147"/>
      <c r="J611" s="147"/>
    </row>
    <row r="612" spans="3:10" ht="16" x14ac:dyDescent="0.2">
      <c r="C612" s="147"/>
      <c r="D612" s="147"/>
      <c r="E612" s="147"/>
      <c r="F612" s="147"/>
      <c r="G612" s="147"/>
      <c r="H612" s="147"/>
      <c r="J612" s="147"/>
    </row>
    <row r="613" spans="3:10" ht="16" x14ac:dyDescent="0.2">
      <c r="C613" s="147"/>
      <c r="D613" s="147"/>
      <c r="E613" s="147"/>
      <c r="F613" s="147"/>
      <c r="G613" s="147"/>
      <c r="H613" s="147"/>
      <c r="J613" s="147"/>
    </row>
    <row r="614" spans="3:10" ht="16" x14ac:dyDescent="0.2">
      <c r="C614" s="147"/>
      <c r="D614" s="147"/>
      <c r="E614" s="147"/>
      <c r="F614" s="147"/>
      <c r="G614" s="147"/>
      <c r="H614" s="147"/>
      <c r="J614" s="147"/>
    </row>
    <row r="615" spans="3:10" ht="16" x14ac:dyDescent="0.2">
      <c r="C615" s="147"/>
      <c r="D615" s="147"/>
      <c r="E615" s="147"/>
      <c r="F615" s="147"/>
      <c r="G615" s="147"/>
      <c r="H615" s="147"/>
      <c r="J615" s="147"/>
    </row>
    <row r="616" spans="3:10" ht="16" x14ac:dyDescent="0.2">
      <c r="C616" s="147"/>
      <c r="D616" s="147"/>
      <c r="E616" s="147"/>
      <c r="F616" s="147"/>
      <c r="G616" s="147"/>
      <c r="H616" s="147"/>
      <c r="J616" s="147"/>
    </row>
    <row r="617" spans="3:10" ht="16" x14ac:dyDescent="0.2">
      <c r="C617" s="147"/>
      <c r="D617" s="147"/>
      <c r="E617" s="147"/>
      <c r="F617" s="147"/>
      <c r="G617" s="147"/>
      <c r="H617" s="147"/>
      <c r="J617" s="147"/>
    </row>
    <row r="618" spans="3:10" ht="16" x14ac:dyDescent="0.2">
      <c r="C618" s="147"/>
      <c r="D618" s="147"/>
      <c r="E618" s="147"/>
      <c r="F618" s="147"/>
      <c r="G618" s="147"/>
      <c r="H618" s="147"/>
      <c r="J618" s="147"/>
    </row>
    <row r="619" spans="3:10" ht="16" x14ac:dyDescent="0.2">
      <c r="C619" s="147"/>
      <c r="D619" s="147"/>
      <c r="E619" s="147"/>
      <c r="F619" s="147"/>
      <c r="G619" s="147"/>
      <c r="H619" s="147"/>
      <c r="J619" s="147"/>
    </row>
    <row r="620" spans="3:10" ht="16" x14ac:dyDescent="0.2">
      <c r="C620" s="147"/>
      <c r="D620" s="147"/>
      <c r="E620" s="147"/>
      <c r="F620" s="147"/>
      <c r="G620" s="147"/>
      <c r="H620" s="147"/>
      <c r="J620" s="147"/>
    </row>
    <row r="621" spans="3:10" ht="16" x14ac:dyDescent="0.2">
      <c r="C621" s="147"/>
      <c r="D621" s="147"/>
      <c r="E621" s="147"/>
      <c r="F621" s="147"/>
      <c r="G621" s="147"/>
      <c r="H621" s="147"/>
      <c r="J621" s="147"/>
    </row>
    <row r="622" spans="3:10" ht="16" x14ac:dyDescent="0.2">
      <c r="C622" s="147"/>
      <c r="D622" s="147"/>
      <c r="E622" s="147"/>
      <c r="F622" s="147"/>
      <c r="G622" s="147"/>
      <c r="H622" s="147"/>
      <c r="J622" s="147"/>
    </row>
    <row r="623" spans="3:10" ht="16" x14ac:dyDescent="0.2">
      <c r="C623" s="147"/>
      <c r="D623" s="147"/>
      <c r="E623" s="147"/>
      <c r="F623" s="147"/>
      <c r="G623" s="147"/>
      <c r="H623" s="147"/>
      <c r="J623" s="147"/>
    </row>
    <row r="624" spans="3:10" ht="16" x14ac:dyDescent="0.2">
      <c r="C624" s="147"/>
      <c r="D624" s="147"/>
      <c r="E624" s="147"/>
      <c r="F624" s="147"/>
      <c r="G624" s="147"/>
      <c r="H624" s="147"/>
      <c r="J624" s="147"/>
    </row>
    <row r="625" spans="3:10" ht="16" x14ac:dyDescent="0.2">
      <c r="C625" s="147"/>
      <c r="D625" s="147"/>
      <c r="E625" s="147"/>
      <c r="F625" s="147"/>
      <c r="G625" s="147"/>
      <c r="H625" s="147"/>
      <c r="J625" s="147"/>
    </row>
    <row r="626" spans="3:10" ht="16" x14ac:dyDescent="0.2">
      <c r="C626" s="147"/>
      <c r="D626" s="147"/>
      <c r="E626" s="147"/>
      <c r="F626" s="147"/>
      <c r="G626" s="147"/>
      <c r="H626" s="147"/>
      <c r="J626" s="147"/>
    </row>
    <row r="627" spans="3:10" ht="16" x14ac:dyDescent="0.2">
      <c r="C627" s="147"/>
      <c r="D627" s="147"/>
      <c r="E627" s="147"/>
      <c r="F627" s="147"/>
      <c r="G627" s="147"/>
      <c r="H627" s="147"/>
      <c r="J627" s="147"/>
    </row>
    <row r="628" spans="3:10" ht="16" x14ac:dyDescent="0.2">
      <c r="C628" s="147"/>
      <c r="D628" s="147"/>
      <c r="E628" s="147"/>
      <c r="F628" s="147"/>
      <c r="G628" s="147"/>
      <c r="H628" s="147"/>
      <c r="J628" s="147"/>
    </row>
    <row r="629" spans="3:10" ht="16" x14ac:dyDescent="0.2">
      <c r="C629" s="147"/>
      <c r="D629" s="147"/>
      <c r="E629" s="147"/>
      <c r="F629" s="147"/>
      <c r="G629" s="147"/>
      <c r="H629" s="147"/>
      <c r="J629" s="147"/>
    </row>
    <row r="630" spans="3:10" ht="16" x14ac:dyDescent="0.2">
      <c r="C630" s="147"/>
      <c r="D630" s="147"/>
      <c r="E630" s="147"/>
      <c r="F630" s="147"/>
      <c r="G630" s="147"/>
      <c r="H630" s="147"/>
      <c r="J630" s="147"/>
    </row>
    <row r="631" spans="3:10" ht="16" x14ac:dyDescent="0.2">
      <c r="C631" s="147"/>
      <c r="D631" s="147"/>
      <c r="E631" s="147"/>
      <c r="F631" s="147"/>
      <c r="G631" s="147"/>
      <c r="H631" s="147"/>
      <c r="J631" s="147"/>
    </row>
    <row r="632" spans="3:10" ht="16" x14ac:dyDescent="0.2">
      <c r="C632" s="147"/>
      <c r="D632" s="147"/>
      <c r="E632" s="147"/>
      <c r="F632" s="147"/>
      <c r="G632" s="147"/>
      <c r="H632" s="147"/>
      <c r="J632" s="147"/>
    </row>
    <row r="633" spans="3:10" ht="16" x14ac:dyDescent="0.2">
      <c r="C633" s="147"/>
      <c r="D633" s="147"/>
      <c r="E633" s="147"/>
      <c r="F633" s="147"/>
      <c r="G633" s="147"/>
      <c r="H633" s="147"/>
      <c r="J633" s="147"/>
    </row>
    <row r="634" spans="3:10" ht="16" x14ac:dyDescent="0.2">
      <c r="C634" s="147"/>
      <c r="D634" s="147"/>
      <c r="E634" s="147"/>
      <c r="F634" s="147"/>
      <c r="G634" s="147"/>
      <c r="H634" s="147"/>
      <c r="J634" s="147"/>
    </row>
    <row r="635" spans="3:10" ht="16" x14ac:dyDescent="0.2">
      <c r="C635" s="147"/>
      <c r="D635" s="147"/>
      <c r="E635" s="147"/>
      <c r="F635" s="147"/>
      <c r="G635" s="147"/>
      <c r="H635" s="147"/>
      <c r="J635" s="147"/>
    </row>
    <row r="636" spans="3:10" ht="16" x14ac:dyDescent="0.2">
      <c r="C636" s="147"/>
      <c r="D636" s="147"/>
      <c r="E636" s="147"/>
      <c r="F636" s="147"/>
      <c r="G636" s="147"/>
      <c r="H636" s="147"/>
      <c r="J636" s="147"/>
    </row>
    <row r="637" spans="3:10" ht="16" x14ac:dyDescent="0.2">
      <c r="C637" s="147"/>
      <c r="D637" s="147"/>
      <c r="E637" s="147"/>
      <c r="F637" s="147"/>
      <c r="G637" s="147"/>
      <c r="H637" s="147"/>
      <c r="J637" s="147"/>
    </row>
    <row r="638" spans="3:10" ht="16" x14ac:dyDescent="0.2">
      <c r="C638" s="147"/>
      <c r="D638" s="147"/>
      <c r="E638" s="147"/>
      <c r="F638" s="147"/>
      <c r="G638" s="147"/>
      <c r="H638" s="147"/>
      <c r="J638" s="147"/>
    </row>
    <row r="639" spans="3:10" ht="16" x14ac:dyDescent="0.2">
      <c r="C639" s="147"/>
      <c r="D639" s="147"/>
      <c r="E639" s="147"/>
      <c r="F639" s="147"/>
      <c r="G639" s="147"/>
      <c r="H639" s="147"/>
      <c r="J639" s="147"/>
    </row>
    <row r="640" spans="3:10" ht="16" x14ac:dyDescent="0.2">
      <c r="C640" s="147"/>
      <c r="D640" s="147"/>
      <c r="E640" s="147"/>
      <c r="F640" s="147"/>
      <c r="G640" s="147"/>
      <c r="H640" s="147"/>
      <c r="J640" s="147"/>
    </row>
    <row r="641" spans="3:10" ht="16" x14ac:dyDescent="0.2">
      <c r="C641" s="147"/>
      <c r="D641" s="147"/>
      <c r="E641" s="147"/>
      <c r="F641" s="147"/>
      <c r="G641" s="147"/>
      <c r="H641" s="147"/>
      <c r="J641" s="147"/>
    </row>
    <row r="642" spans="3:10" ht="16" x14ac:dyDescent="0.2">
      <c r="C642" s="147"/>
      <c r="D642" s="147"/>
      <c r="E642" s="147"/>
      <c r="F642" s="147"/>
      <c r="G642" s="147"/>
      <c r="H642" s="147"/>
      <c r="J642" s="147"/>
    </row>
    <row r="643" spans="3:10" ht="16" x14ac:dyDescent="0.2">
      <c r="C643" s="147"/>
      <c r="D643" s="147"/>
      <c r="E643" s="147"/>
      <c r="F643" s="147"/>
      <c r="G643" s="147"/>
      <c r="H643" s="147"/>
      <c r="J643" s="147"/>
    </row>
    <row r="644" spans="3:10" ht="16" x14ac:dyDescent="0.2">
      <c r="C644" s="147"/>
      <c r="D644" s="147"/>
      <c r="E644" s="147"/>
      <c r="F644" s="147"/>
      <c r="G644" s="147"/>
      <c r="H644" s="147"/>
      <c r="J644" s="147"/>
    </row>
    <row r="645" spans="3:10" ht="16" x14ac:dyDescent="0.2">
      <c r="C645" s="147"/>
      <c r="D645" s="147"/>
      <c r="E645" s="147"/>
      <c r="F645" s="147"/>
      <c r="G645" s="147"/>
      <c r="H645" s="147"/>
      <c r="J645" s="147"/>
    </row>
    <row r="646" spans="3:10" ht="16" x14ac:dyDescent="0.2">
      <c r="C646" s="147"/>
      <c r="D646" s="147"/>
      <c r="E646" s="147"/>
      <c r="F646" s="147"/>
      <c r="G646" s="147"/>
      <c r="H646" s="147"/>
      <c r="J646" s="147"/>
    </row>
    <row r="647" spans="3:10" ht="16" x14ac:dyDescent="0.2">
      <c r="C647" s="147"/>
      <c r="D647" s="147"/>
      <c r="E647" s="147"/>
      <c r="F647" s="147"/>
      <c r="G647" s="147"/>
      <c r="H647" s="147"/>
      <c r="J647" s="147"/>
    </row>
    <row r="648" spans="3:10" ht="16" x14ac:dyDescent="0.2">
      <c r="C648" s="147"/>
      <c r="D648" s="147"/>
      <c r="E648" s="147"/>
      <c r="F648" s="147"/>
      <c r="G648" s="147"/>
      <c r="H648" s="147"/>
      <c r="J648" s="147"/>
    </row>
    <row r="649" spans="3:10" ht="16" x14ac:dyDescent="0.2">
      <c r="C649" s="147"/>
      <c r="D649" s="147"/>
      <c r="E649" s="147"/>
      <c r="F649" s="147"/>
      <c r="G649" s="147"/>
      <c r="H649" s="147"/>
      <c r="J649" s="147"/>
    </row>
    <row r="650" spans="3:10" ht="16" x14ac:dyDescent="0.2">
      <c r="C650" s="147"/>
      <c r="D650" s="147"/>
      <c r="E650" s="147"/>
      <c r="F650" s="147"/>
      <c r="G650" s="147"/>
      <c r="H650" s="147"/>
      <c r="J650" s="147"/>
    </row>
    <row r="651" spans="3:10" ht="16" x14ac:dyDescent="0.2">
      <c r="C651" s="147"/>
      <c r="D651" s="147"/>
      <c r="E651" s="147"/>
      <c r="F651" s="147"/>
      <c r="G651" s="147"/>
      <c r="H651" s="147"/>
      <c r="J651" s="147"/>
    </row>
    <row r="652" spans="3:10" ht="16" x14ac:dyDescent="0.2">
      <c r="C652" s="147"/>
      <c r="D652" s="147"/>
      <c r="E652" s="147"/>
      <c r="F652" s="147"/>
      <c r="G652" s="147"/>
      <c r="H652" s="147"/>
      <c r="J652" s="147"/>
    </row>
    <row r="653" spans="3:10" ht="16" x14ac:dyDescent="0.2">
      <c r="C653" s="147"/>
      <c r="D653" s="147"/>
      <c r="E653" s="147"/>
      <c r="F653" s="147"/>
      <c r="G653" s="147"/>
      <c r="H653" s="147"/>
      <c r="J653" s="147"/>
    </row>
    <row r="654" spans="3:10" ht="16" x14ac:dyDescent="0.2">
      <c r="C654" s="147"/>
      <c r="D654" s="147"/>
      <c r="E654" s="147"/>
      <c r="F654" s="147"/>
      <c r="G654" s="147"/>
      <c r="H654" s="147"/>
      <c r="J654" s="147"/>
    </row>
    <row r="655" spans="3:10" ht="16" x14ac:dyDescent="0.2">
      <c r="C655" s="147"/>
      <c r="D655" s="147"/>
      <c r="E655" s="147"/>
      <c r="F655" s="147"/>
      <c r="G655" s="147"/>
      <c r="H655" s="147"/>
      <c r="J655" s="147"/>
    </row>
    <row r="656" spans="3:10" ht="16" x14ac:dyDescent="0.2">
      <c r="C656" s="147"/>
      <c r="D656" s="147"/>
      <c r="E656" s="147"/>
      <c r="F656" s="147"/>
      <c r="G656" s="147"/>
      <c r="H656" s="147"/>
      <c r="J656" s="147"/>
    </row>
    <row r="657" spans="3:10" ht="16" x14ac:dyDescent="0.2">
      <c r="C657" s="147"/>
      <c r="D657" s="147"/>
      <c r="E657" s="147"/>
      <c r="F657" s="147"/>
      <c r="G657" s="147"/>
      <c r="H657" s="147"/>
      <c r="J657" s="147"/>
    </row>
    <row r="658" spans="3:10" ht="16" x14ac:dyDescent="0.2">
      <c r="C658" s="147"/>
      <c r="D658" s="147"/>
      <c r="E658" s="147"/>
      <c r="F658" s="147"/>
      <c r="G658" s="147"/>
      <c r="H658" s="147"/>
      <c r="J658" s="147"/>
    </row>
    <row r="659" spans="3:10" ht="16" x14ac:dyDescent="0.2">
      <c r="C659" s="147"/>
      <c r="D659" s="147"/>
      <c r="E659" s="147"/>
      <c r="F659" s="147"/>
      <c r="G659" s="147"/>
      <c r="H659" s="147"/>
      <c r="J659" s="147"/>
    </row>
    <row r="660" spans="3:10" ht="16" x14ac:dyDescent="0.2">
      <c r="C660" s="147"/>
      <c r="D660" s="147"/>
      <c r="E660" s="147"/>
      <c r="F660" s="147"/>
      <c r="G660" s="147"/>
      <c r="H660" s="147"/>
      <c r="J660" s="147"/>
    </row>
    <row r="661" spans="3:10" ht="16" x14ac:dyDescent="0.2">
      <c r="C661" s="147"/>
      <c r="D661" s="147"/>
      <c r="E661" s="147"/>
      <c r="F661" s="147"/>
      <c r="G661" s="147"/>
      <c r="H661" s="147"/>
      <c r="J661" s="147"/>
    </row>
    <row r="662" spans="3:10" ht="16" x14ac:dyDescent="0.2">
      <c r="C662" s="147"/>
      <c r="D662" s="147"/>
      <c r="E662" s="147"/>
      <c r="F662" s="147"/>
      <c r="G662" s="147"/>
      <c r="H662" s="147"/>
      <c r="J662" s="147"/>
    </row>
    <row r="663" spans="3:10" ht="16" x14ac:dyDescent="0.2">
      <c r="C663" s="147"/>
      <c r="D663" s="147"/>
      <c r="E663" s="147"/>
      <c r="F663" s="147"/>
      <c r="G663" s="147"/>
      <c r="H663" s="147"/>
      <c r="J663" s="147"/>
    </row>
    <row r="664" spans="3:10" ht="16" x14ac:dyDescent="0.2">
      <c r="C664" s="147"/>
      <c r="D664" s="147"/>
      <c r="E664" s="147"/>
      <c r="F664" s="147"/>
      <c r="G664" s="147"/>
      <c r="H664" s="147"/>
      <c r="J664" s="147"/>
    </row>
    <row r="665" spans="3:10" ht="16" x14ac:dyDescent="0.2">
      <c r="C665" s="147"/>
      <c r="D665" s="147"/>
      <c r="E665" s="147"/>
      <c r="F665" s="147"/>
      <c r="G665" s="147"/>
      <c r="H665" s="147"/>
      <c r="J665" s="147"/>
    </row>
    <row r="666" spans="3:10" ht="16" x14ac:dyDescent="0.2">
      <c r="C666" s="147"/>
      <c r="D666" s="147"/>
      <c r="E666" s="147"/>
      <c r="F666" s="147"/>
      <c r="G666" s="147"/>
      <c r="H666" s="147"/>
      <c r="J666" s="147"/>
    </row>
    <row r="667" spans="3:10" ht="16" x14ac:dyDescent="0.2">
      <c r="C667" s="147"/>
      <c r="D667" s="147"/>
      <c r="E667" s="147"/>
      <c r="F667" s="147"/>
      <c r="G667" s="147"/>
      <c r="H667" s="147"/>
      <c r="J667" s="147"/>
    </row>
    <row r="668" spans="3:10" ht="16" x14ac:dyDescent="0.2">
      <c r="C668" s="147"/>
      <c r="D668" s="147"/>
      <c r="E668" s="147"/>
      <c r="F668" s="147"/>
      <c r="G668" s="147"/>
      <c r="H668" s="147"/>
      <c r="J668" s="147"/>
    </row>
    <row r="669" spans="3:10" ht="16" x14ac:dyDescent="0.2">
      <c r="C669" s="147"/>
      <c r="D669" s="147"/>
      <c r="E669" s="147"/>
      <c r="F669" s="147"/>
      <c r="G669" s="147"/>
      <c r="H669" s="147"/>
      <c r="J669" s="147"/>
    </row>
    <row r="670" spans="3:10" ht="16" x14ac:dyDescent="0.2">
      <c r="C670" s="147"/>
      <c r="D670" s="147"/>
      <c r="E670" s="147"/>
      <c r="F670" s="147"/>
      <c r="G670" s="147"/>
      <c r="H670" s="147"/>
      <c r="J670" s="147"/>
    </row>
    <row r="671" spans="3:10" ht="16" x14ac:dyDescent="0.2">
      <c r="C671" s="147"/>
      <c r="D671" s="147"/>
      <c r="E671" s="147"/>
      <c r="F671" s="147"/>
      <c r="G671" s="147"/>
      <c r="H671" s="147"/>
      <c r="J671" s="147"/>
    </row>
    <row r="672" spans="3:10" ht="16" x14ac:dyDescent="0.2">
      <c r="C672" s="147"/>
      <c r="D672" s="147"/>
      <c r="E672" s="147"/>
      <c r="F672" s="147"/>
      <c r="G672" s="147"/>
      <c r="H672" s="147"/>
      <c r="J672" s="147"/>
    </row>
    <row r="673" spans="3:10" ht="16" x14ac:dyDescent="0.2">
      <c r="C673" s="147"/>
      <c r="D673" s="147"/>
      <c r="E673" s="147"/>
      <c r="F673" s="147"/>
      <c r="G673" s="147"/>
      <c r="H673" s="147"/>
      <c r="J673" s="147"/>
    </row>
    <row r="674" spans="3:10" ht="16" x14ac:dyDescent="0.2">
      <c r="C674" s="147"/>
      <c r="D674" s="147"/>
      <c r="E674" s="147"/>
      <c r="F674" s="147"/>
      <c r="G674" s="147"/>
      <c r="H674" s="147"/>
      <c r="J674" s="147"/>
    </row>
    <row r="675" spans="3:10" ht="16" x14ac:dyDescent="0.2">
      <c r="C675" s="147"/>
      <c r="D675" s="147"/>
      <c r="E675" s="147"/>
      <c r="F675" s="147"/>
      <c r="G675" s="147"/>
      <c r="H675" s="147"/>
      <c r="J675" s="147"/>
    </row>
    <row r="676" spans="3:10" ht="16" x14ac:dyDescent="0.2">
      <c r="C676" s="147"/>
      <c r="D676" s="147"/>
      <c r="E676" s="147"/>
      <c r="F676" s="147"/>
      <c r="G676" s="147"/>
      <c r="H676" s="147"/>
      <c r="J676" s="147"/>
    </row>
    <row r="677" spans="3:10" ht="16" x14ac:dyDescent="0.2">
      <c r="C677" s="147"/>
      <c r="D677" s="147"/>
      <c r="E677" s="147"/>
      <c r="F677" s="147"/>
      <c r="G677" s="147"/>
      <c r="H677" s="147"/>
      <c r="J677" s="147"/>
    </row>
    <row r="678" spans="3:10" ht="16" x14ac:dyDescent="0.2">
      <c r="C678" s="147"/>
      <c r="D678" s="147"/>
      <c r="E678" s="147"/>
      <c r="F678" s="147"/>
      <c r="G678" s="147"/>
      <c r="H678" s="147"/>
      <c r="J678" s="147"/>
    </row>
    <row r="679" spans="3:10" ht="16" x14ac:dyDescent="0.2">
      <c r="C679" s="147"/>
      <c r="D679" s="147"/>
      <c r="E679" s="147"/>
      <c r="F679" s="147"/>
      <c r="G679" s="147"/>
      <c r="H679" s="147"/>
      <c r="J679" s="147"/>
    </row>
    <row r="680" spans="3:10" ht="16" x14ac:dyDescent="0.2">
      <c r="C680" s="147"/>
      <c r="D680" s="147"/>
      <c r="E680" s="147"/>
      <c r="F680" s="147"/>
      <c r="G680" s="147"/>
      <c r="H680" s="147"/>
      <c r="J680" s="147"/>
    </row>
    <row r="681" spans="3:10" ht="16" x14ac:dyDescent="0.2">
      <c r="C681" s="147"/>
      <c r="D681" s="147"/>
      <c r="E681" s="147"/>
      <c r="F681" s="147"/>
      <c r="G681" s="147"/>
      <c r="H681" s="147"/>
      <c r="J681" s="147"/>
    </row>
    <row r="682" spans="3:10" ht="16" x14ac:dyDescent="0.2">
      <c r="C682" s="147"/>
      <c r="D682" s="147"/>
      <c r="E682" s="147"/>
      <c r="F682" s="147"/>
      <c r="G682" s="147"/>
      <c r="H682" s="147"/>
      <c r="J682" s="147"/>
    </row>
    <row r="683" spans="3:10" ht="16" x14ac:dyDescent="0.2">
      <c r="C683" s="147"/>
      <c r="D683" s="147"/>
      <c r="E683" s="147"/>
      <c r="F683" s="147"/>
      <c r="G683" s="147"/>
      <c r="H683" s="147"/>
      <c r="J683" s="147"/>
    </row>
    <row r="684" spans="3:10" ht="16" x14ac:dyDescent="0.2">
      <c r="C684" s="147"/>
      <c r="D684" s="147"/>
      <c r="E684" s="147"/>
      <c r="F684" s="147"/>
      <c r="G684" s="147"/>
      <c r="H684" s="147"/>
      <c r="J684" s="147"/>
    </row>
    <row r="685" spans="3:10" ht="16" x14ac:dyDescent="0.2">
      <c r="C685" s="147"/>
      <c r="D685" s="147"/>
      <c r="E685" s="147"/>
      <c r="F685" s="147"/>
      <c r="G685" s="147"/>
      <c r="H685" s="147"/>
      <c r="J685" s="147"/>
    </row>
    <row r="686" spans="3:10" ht="16" x14ac:dyDescent="0.2">
      <c r="C686" s="147"/>
      <c r="D686" s="147"/>
      <c r="E686" s="147"/>
      <c r="F686" s="147"/>
      <c r="G686" s="147"/>
      <c r="H686" s="147"/>
      <c r="J686" s="147"/>
    </row>
    <row r="687" spans="3:10" ht="16" x14ac:dyDescent="0.2">
      <c r="C687" s="147"/>
      <c r="D687" s="147"/>
      <c r="E687" s="147"/>
      <c r="F687" s="147"/>
      <c r="G687" s="147"/>
      <c r="H687" s="147"/>
      <c r="J687" s="147"/>
    </row>
    <row r="688" spans="3:10" ht="16" x14ac:dyDescent="0.2">
      <c r="C688" s="147"/>
      <c r="D688" s="147"/>
      <c r="E688" s="147"/>
      <c r="F688" s="147"/>
      <c r="G688" s="147"/>
      <c r="H688" s="147"/>
      <c r="J688" s="147"/>
    </row>
    <row r="689" spans="3:10" ht="16" x14ac:dyDescent="0.2">
      <c r="C689" s="147"/>
      <c r="D689" s="147"/>
      <c r="E689" s="147"/>
      <c r="F689" s="147"/>
      <c r="G689" s="147"/>
      <c r="H689" s="147"/>
      <c r="J689" s="147"/>
    </row>
    <row r="690" spans="3:10" ht="16" x14ac:dyDescent="0.2">
      <c r="C690" s="147"/>
      <c r="D690" s="147"/>
      <c r="E690" s="147"/>
      <c r="F690" s="147"/>
      <c r="G690" s="147"/>
      <c r="H690" s="147"/>
      <c r="J690" s="147"/>
    </row>
    <row r="691" spans="3:10" ht="16" x14ac:dyDescent="0.2">
      <c r="C691" s="147"/>
      <c r="D691" s="147"/>
      <c r="E691" s="147"/>
      <c r="F691" s="147"/>
      <c r="G691" s="147"/>
      <c r="H691" s="147"/>
      <c r="J691" s="147"/>
    </row>
    <row r="692" spans="3:10" ht="16" x14ac:dyDescent="0.2">
      <c r="C692" s="147"/>
      <c r="D692" s="147"/>
      <c r="E692" s="147"/>
      <c r="F692" s="147"/>
      <c r="G692" s="147"/>
      <c r="H692" s="147"/>
      <c r="J692" s="147"/>
    </row>
    <row r="693" spans="3:10" ht="16" x14ac:dyDescent="0.2">
      <c r="C693" s="147"/>
      <c r="D693" s="147"/>
      <c r="E693" s="147"/>
      <c r="F693" s="147"/>
      <c r="G693" s="147"/>
      <c r="H693" s="147"/>
      <c r="J693" s="147"/>
    </row>
    <row r="694" spans="3:10" ht="16" x14ac:dyDescent="0.2">
      <c r="C694" s="147"/>
      <c r="D694" s="147"/>
      <c r="E694" s="147"/>
      <c r="F694" s="147"/>
      <c r="G694" s="147"/>
      <c r="H694" s="147"/>
      <c r="J694" s="147"/>
    </row>
    <row r="695" spans="3:10" ht="16" x14ac:dyDescent="0.2">
      <c r="C695" s="147"/>
      <c r="D695" s="147"/>
      <c r="E695" s="147"/>
      <c r="F695" s="147"/>
      <c r="G695" s="147"/>
      <c r="H695" s="147"/>
      <c r="J695" s="147"/>
    </row>
    <row r="696" spans="3:10" ht="16" x14ac:dyDescent="0.2">
      <c r="C696" s="147"/>
      <c r="D696" s="147"/>
      <c r="E696" s="147"/>
      <c r="F696" s="147"/>
      <c r="G696" s="147"/>
      <c r="H696" s="147"/>
      <c r="J696" s="147"/>
    </row>
    <row r="697" spans="3:10" ht="16" x14ac:dyDescent="0.2">
      <c r="C697" s="147"/>
      <c r="D697" s="147"/>
      <c r="E697" s="147"/>
      <c r="F697" s="147"/>
      <c r="G697" s="147"/>
      <c r="H697" s="147"/>
      <c r="J697" s="147"/>
    </row>
    <row r="698" spans="3:10" ht="16" x14ac:dyDescent="0.2">
      <c r="C698" s="147"/>
      <c r="D698" s="147"/>
      <c r="E698" s="147"/>
      <c r="F698" s="147"/>
      <c r="G698" s="147"/>
      <c r="H698" s="147"/>
      <c r="J698" s="147"/>
    </row>
    <row r="699" spans="3:10" ht="16" x14ac:dyDescent="0.2">
      <c r="C699" s="147"/>
      <c r="D699" s="147"/>
      <c r="E699" s="147"/>
      <c r="F699" s="147"/>
      <c r="G699" s="147"/>
      <c r="H699" s="147"/>
      <c r="J699" s="147"/>
    </row>
    <row r="700" spans="3:10" ht="16" x14ac:dyDescent="0.2">
      <c r="C700" s="147"/>
      <c r="D700" s="147"/>
      <c r="E700" s="147"/>
      <c r="F700" s="147"/>
      <c r="G700" s="147"/>
      <c r="H700" s="147"/>
      <c r="J700" s="147"/>
    </row>
    <row r="701" spans="3:10" ht="16" x14ac:dyDescent="0.2">
      <c r="C701" s="147"/>
      <c r="D701" s="147"/>
      <c r="E701" s="147"/>
      <c r="F701" s="147"/>
      <c r="G701" s="147"/>
      <c r="H701" s="147"/>
      <c r="J701" s="147"/>
    </row>
    <row r="702" spans="3:10" ht="16" x14ac:dyDescent="0.2">
      <c r="C702" s="147"/>
      <c r="D702" s="147"/>
      <c r="E702" s="147"/>
      <c r="F702" s="147"/>
      <c r="G702" s="147"/>
      <c r="H702" s="147"/>
      <c r="J702" s="147"/>
    </row>
    <row r="703" spans="3:10" ht="16" x14ac:dyDescent="0.2">
      <c r="C703" s="147"/>
      <c r="D703" s="147"/>
      <c r="E703" s="147"/>
      <c r="F703" s="147"/>
      <c r="G703" s="147"/>
      <c r="H703" s="147"/>
      <c r="J703" s="147"/>
    </row>
    <row r="704" spans="3:10" ht="16" x14ac:dyDescent="0.2">
      <c r="C704" s="147"/>
      <c r="D704" s="147"/>
      <c r="E704" s="147"/>
      <c r="F704" s="147"/>
      <c r="G704" s="147"/>
      <c r="H704" s="147"/>
      <c r="J704" s="147"/>
    </row>
    <row r="705" spans="3:10" ht="16" x14ac:dyDescent="0.2">
      <c r="C705" s="147"/>
      <c r="D705" s="147"/>
      <c r="E705" s="147"/>
      <c r="F705" s="147"/>
      <c r="G705" s="147"/>
      <c r="H705" s="147"/>
      <c r="J705" s="147"/>
    </row>
    <row r="706" spans="3:10" ht="16" x14ac:dyDescent="0.2">
      <c r="C706" s="147"/>
      <c r="D706" s="147"/>
      <c r="E706" s="147"/>
      <c r="F706" s="147"/>
      <c r="G706" s="147"/>
      <c r="H706" s="147"/>
      <c r="J706" s="147"/>
    </row>
    <row r="707" spans="3:10" ht="16" x14ac:dyDescent="0.2">
      <c r="C707" s="147"/>
      <c r="D707" s="147"/>
      <c r="E707" s="147"/>
      <c r="F707" s="147"/>
      <c r="G707" s="147"/>
      <c r="H707" s="147"/>
      <c r="J707" s="147"/>
    </row>
    <row r="708" spans="3:10" ht="16" x14ac:dyDescent="0.2">
      <c r="C708" s="147"/>
      <c r="D708" s="147"/>
      <c r="E708" s="147"/>
      <c r="F708" s="147"/>
      <c r="G708" s="147"/>
      <c r="H708" s="147"/>
      <c r="J708" s="147"/>
    </row>
    <row r="709" spans="3:10" ht="16" x14ac:dyDescent="0.2">
      <c r="C709" s="147"/>
      <c r="D709" s="147"/>
      <c r="E709" s="147"/>
      <c r="F709" s="147"/>
      <c r="G709" s="147"/>
      <c r="H709" s="147"/>
      <c r="J709" s="147"/>
    </row>
    <row r="710" spans="3:10" ht="16" x14ac:dyDescent="0.2">
      <c r="C710" s="147"/>
      <c r="D710" s="147"/>
      <c r="E710" s="147"/>
      <c r="F710" s="147"/>
      <c r="G710" s="147"/>
      <c r="H710" s="147"/>
      <c r="J710" s="147"/>
    </row>
    <row r="711" spans="3:10" ht="16" x14ac:dyDescent="0.2">
      <c r="C711" s="147"/>
      <c r="D711" s="147"/>
      <c r="E711" s="147"/>
      <c r="F711" s="147"/>
      <c r="G711" s="147"/>
      <c r="H711" s="147"/>
      <c r="J711" s="147"/>
    </row>
    <row r="712" spans="3:10" ht="16" x14ac:dyDescent="0.2">
      <c r="C712" s="147"/>
      <c r="D712" s="147"/>
      <c r="E712" s="147"/>
      <c r="F712" s="147"/>
      <c r="G712" s="147"/>
      <c r="H712" s="147"/>
      <c r="J712" s="147"/>
    </row>
    <row r="713" spans="3:10" ht="16" x14ac:dyDescent="0.2">
      <c r="C713" s="147"/>
      <c r="D713" s="147"/>
      <c r="E713" s="147"/>
      <c r="F713" s="147"/>
      <c r="G713" s="147"/>
      <c r="H713" s="147"/>
      <c r="J713" s="147"/>
    </row>
    <row r="714" spans="3:10" ht="16" x14ac:dyDescent="0.2">
      <c r="C714" s="147"/>
      <c r="D714" s="147"/>
      <c r="E714" s="147"/>
      <c r="F714" s="147"/>
      <c r="G714" s="147"/>
      <c r="H714" s="147"/>
      <c r="J714" s="147"/>
    </row>
    <row r="715" spans="3:10" ht="16" x14ac:dyDescent="0.2">
      <c r="C715" s="147"/>
      <c r="D715" s="147"/>
      <c r="E715" s="147"/>
      <c r="F715" s="147"/>
      <c r="G715" s="147"/>
      <c r="H715" s="147"/>
      <c r="J715" s="147"/>
    </row>
    <row r="716" spans="3:10" ht="16" x14ac:dyDescent="0.2">
      <c r="C716" s="147"/>
      <c r="D716" s="147"/>
      <c r="E716" s="147"/>
      <c r="F716" s="147"/>
      <c r="G716" s="147"/>
      <c r="H716" s="147"/>
      <c r="J716" s="147"/>
    </row>
    <row r="717" spans="3:10" ht="16" x14ac:dyDescent="0.2">
      <c r="C717" s="147"/>
      <c r="D717" s="147"/>
      <c r="E717" s="147"/>
      <c r="F717" s="147"/>
      <c r="G717" s="147"/>
      <c r="H717" s="147"/>
      <c r="J717" s="147"/>
    </row>
    <row r="718" spans="3:10" ht="16" x14ac:dyDescent="0.2">
      <c r="C718" s="147"/>
      <c r="D718" s="147"/>
      <c r="E718" s="147"/>
      <c r="F718" s="147"/>
      <c r="G718" s="147"/>
      <c r="H718" s="147"/>
      <c r="J718" s="147"/>
    </row>
    <row r="719" spans="3:10" ht="16" x14ac:dyDescent="0.2">
      <c r="C719" s="147"/>
      <c r="D719" s="147"/>
      <c r="E719" s="147"/>
      <c r="F719" s="147"/>
      <c r="G719" s="147"/>
      <c r="H719" s="147"/>
      <c r="J719" s="147"/>
    </row>
    <row r="720" spans="3:10" ht="16" x14ac:dyDescent="0.2">
      <c r="C720" s="147"/>
      <c r="D720" s="147"/>
      <c r="E720" s="147"/>
      <c r="F720" s="147"/>
      <c r="G720" s="147"/>
      <c r="H720" s="147"/>
      <c r="J720" s="147"/>
    </row>
    <row r="721" spans="3:10" ht="16" x14ac:dyDescent="0.2">
      <c r="C721" s="147"/>
      <c r="D721" s="147"/>
      <c r="E721" s="147"/>
      <c r="F721" s="147"/>
      <c r="G721" s="147"/>
      <c r="H721" s="147"/>
      <c r="J721" s="147"/>
    </row>
    <row r="722" spans="3:10" ht="16" x14ac:dyDescent="0.2">
      <c r="C722" s="147"/>
      <c r="D722" s="147"/>
      <c r="E722" s="147"/>
      <c r="F722" s="147"/>
      <c r="G722" s="147"/>
      <c r="H722" s="147"/>
      <c r="J722" s="147"/>
    </row>
    <row r="723" spans="3:10" ht="16" x14ac:dyDescent="0.2">
      <c r="C723" s="147"/>
      <c r="D723" s="147"/>
      <c r="E723" s="147"/>
      <c r="F723" s="147"/>
      <c r="G723" s="147"/>
      <c r="H723" s="147"/>
      <c r="J723" s="147"/>
    </row>
    <row r="724" spans="3:10" ht="16" x14ac:dyDescent="0.2">
      <c r="C724" s="147"/>
      <c r="D724" s="147"/>
      <c r="E724" s="147"/>
      <c r="F724" s="147"/>
      <c r="G724" s="147"/>
      <c r="H724" s="147"/>
      <c r="J724" s="147"/>
    </row>
    <row r="725" spans="3:10" ht="16" x14ac:dyDescent="0.2">
      <c r="C725" s="147"/>
      <c r="D725" s="147"/>
      <c r="E725" s="147"/>
      <c r="F725" s="147"/>
      <c r="G725" s="147"/>
      <c r="H725" s="147"/>
      <c r="J725" s="147"/>
    </row>
    <row r="726" spans="3:10" ht="16" x14ac:dyDescent="0.2">
      <c r="C726" s="147"/>
      <c r="D726" s="147"/>
      <c r="E726" s="147"/>
      <c r="F726" s="147"/>
      <c r="G726" s="147"/>
      <c r="H726" s="147"/>
      <c r="J726" s="147"/>
    </row>
    <row r="727" spans="3:10" ht="16" x14ac:dyDescent="0.2">
      <c r="C727" s="147"/>
      <c r="D727" s="147"/>
      <c r="E727" s="147"/>
      <c r="F727" s="147"/>
      <c r="G727" s="147"/>
      <c r="H727" s="147"/>
      <c r="J727" s="147"/>
    </row>
    <row r="728" spans="3:10" ht="16" x14ac:dyDescent="0.2">
      <c r="C728" s="147"/>
      <c r="D728" s="147"/>
      <c r="E728" s="147"/>
      <c r="F728" s="147"/>
      <c r="G728" s="147"/>
      <c r="H728" s="147"/>
      <c r="J728" s="147"/>
    </row>
    <row r="729" spans="3:10" ht="16" x14ac:dyDescent="0.2">
      <c r="C729" s="147"/>
      <c r="D729" s="147"/>
      <c r="E729" s="147"/>
      <c r="F729" s="147"/>
      <c r="G729" s="147"/>
      <c r="H729" s="147"/>
      <c r="J729" s="147"/>
    </row>
    <row r="730" spans="3:10" ht="16" x14ac:dyDescent="0.2">
      <c r="C730" s="147"/>
      <c r="D730" s="147"/>
      <c r="E730" s="147"/>
      <c r="F730" s="147"/>
      <c r="G730" s="147"/>
      <c r="H730" s="147"/>
      <c r="J730" s="147"/>
    </row>
    <row r="731" spans="3:10" ht="16" x14ac:dyDescent="0.2">
      <c r="C731" s="147"/>
      <c r="D731" s="147"/>
      <c r="E731" s="147"/>
      <c r="F731" s="147"/>
      <c r="G731" s="147"/>
      <c r="H731" s="147"/>
      <c r="J731" s="147"/>
    </row>
    <row r="732" spans="3:10" ht="16" x14ac:dyDescent="0.2">
      <c r="C732" s="147"/>
      <c r="D732" s="147"/>
      <c r="E732" s="147"/>
      <c r="F732" s="147"/>
      <c r="G732" s="147"/>
      <c r="H732" s="147"/>
      <c r="J732" s="147"/>
    </row>
    <row r="733" spans="3:10" ht="16" x14ac:dyDescent="0.2">
      <c r="C733" s="147"/>
      <c r="D733" s="147"/>
      <c r="E733" s="147"/>
      <c r="F733" s="147"/>
      <c r="G733" s="147"/>
      <c r="H733" s="147"/>
      <c r="J733" s="147"/>
    </row>
    <row r="734" spans="3:10" ht="16" x14ac:dyDescent="0.2">
      <c r="C734" s="147"/>
      <c r="D734" s="147"/>
      <c r="E734" s="147"/>
      <c r="F734" s="147"/>
      <c r="G734" s="147"/>
      <c r="H734" s="147"/>
      <c r="J734" s="147"/>
    </row>
    <row r="735" spans="3:10" ht="16" x14ac:dyDescent="0.2">
      <c r="C735" s="147"/>
      <c r="D735" s="147"/>
      <c r="E735" s="147"/>
      <c r="F735" s="147"/>
      <c r="G735" s="147"/>
      <c r="H735" s="147"/>
      <c r="J735" s="147"/>
    </row>
    <row r="736" spans="3:10" ht="16" x14ac:dyDescent="0.2">
      <c r="C736" s="147"/>
      <c r="D736" s="147"/>
      <c r="E736" s="147"/>
      <c r="F736" s="147"/>
      <c r="G736" s="147"/>
      <c r="H736" s="147"/>
      <c r="J736" s="147"/>
    </row>
    <row r="737" spans="3:10" ht="16" x14ac:dyDescent="0.2">
      <c r="C737" s="147"/>
      <c r="D737" s="147"/>
      <c r="E737" s="147"/>
      <c r="F737" s="147"/>
      <c r="G737" s="147"/>
      <c r="H737" s="147"/>
      <c r="J737" s="147"/>
    </row>
    <row r="738" spans="3:10" ht="16" x14ac:dyDescent="0.2">
      <c r="C738" s="147"/>
      <c r="D738" s="147"/>
      <c r="E738" s="147"/>
      <c r="F738" s="147"/>
      <c r="G738" s="147"/>
      <c r="H738" s="147"/>
      <c r="J738" s="147"/>
    </row>
    <row r="739" spans="3:10" ht="16" x14ac:dyDescent="0.2">
      <c r="C739" s="147"/>
      <c r="D739" s="147"/>
      <c r="E739" s="147"/>
      <c r="F739" s="147"/>
      <c r="G739" s="147"/>
      <c r="H739" s="147"/>
      <c r="J739" s="147"/>
    </row>
    <row r="740" spans="3:10" ht="16" x14ac:dyDescent="0.2">
      <c r="C740" s="147"/>
      <c r="D740" s="147"/>
      <c r="E740" s="147"/>
      <c r="F740" s="147"/>
      <c r="G740" s="147"/>
      <c r="H740" s="147"/>
      <c r="J740" s="147"/>
    </row>
    <row r="741" spans="3:10" ht="16" x14ac:dyDescent="0.2">
      <c r="C741" s="147"/>
      <c r="D741" s="147"/>
      <c r="E741" s="147"/>
      <c r="F741" s="147"/>
      <c r="G741" s="147"/>
      <c r="H741" s="147"/>
      <c r="J741" s="147"/>
    </row>
    <row r="742" spans="3:10" ht="16" x14ac:dyDescent="0.2">
      <c r="C742" s="147"/>
      <c r="D742" s="147"/>
      <c r="E742" s="147"/>
      <c r="F742" s="147"/>
      <c r="G742" s="147"/>
      <c r="H742" s="147"/>
      <c r="J742" s="147"/>
    </row>
    <row r="743" spans="3:10" ht="16" x14ac:dyDescent="0.2">
      <c r="C743" s="147"/>
      <c r="D743" s="147"/>
      <c r="E743" s="147"/>
      <c r="F743" s="147"/>
      <c r="G743" s="147"/>
      <c r="H743" s="147"/>
      <c r="J743" s="147"/>
    </row>
    <row r="744" spans="3:10" ht="16" x14ac:dyDescent="0.2">
      <c r="C744" s="147"/>
      <c r="D744" s="147"/>
      <c r="E744" s="147"/>
      <c r="F744" s="147"/>
      <c r="G744" s="147"/>
      <c r="H744" s="147"/>
      <c r="J744" s="147"/>
    </row>
    <row r="745" spans="3:10" ht="16" x14ac:dyDescent="0.2">
      <c r="C745" s="147"/>
      <c r="D745" s="147"/>
      <c r="E745" s="147"/>
      <c r="F745" s="147"/>
      <c r="G745" s="147"/>
      <c r="H745" s="147"/>
      <c r="J745" s="147"/>
    </row>
    <row r="746" spans="3:10" ht="16" x14ac:dyDescent="0.2">
      <c r="C746" s="147"/>
      <c r="D746" s="147"/>
      <c r="E746" s="147"/>
      <c r="F746" s="147"/>
      <c r="G746" s="147"/>
      <c r="H746" s="147"/>
      <c r="J746" s="147"/>
    </row>
    <row r="747" spans="3:10" ht="16" x14ac:dyDescent="0.2">
      <c r="C747" s="147"/>
      <c r="D747" s="147"/>
      <c r="E747" s="147"/>
      <c r="F747" s="147"/>
      <c r="G747" s="147"/>
      <c r="H747" s="147"/>
      <c r="J747" s="147"/>
    </row>
    <row r="748" spans="3:10" ht="16" x14ac:dyDescent="0.2">
      <c r="C748" s="147"/>
      <c r="D748" s="147"/>
      <c r="E748" s="147"/>
      <c r="F748" s="147"/>
      <c r="G748" s="147"/>
      <c r="H748" s="147"/>
      <c r="J748" s="147"/>
    </row>
    <row r="749" spans="3:10" ht="16" x14ac:dyDescent="0.2">
      <c r="C749" s="147"/>
      <c r="D749" s="147"/>
      <c r="E749" s="147"/>
      <c r="F749" s="147"/>
      <c r="G749" s="147"/>
      <c r="H749" s="147"/>
      <c r="J749" s="147"/>
    </row>
    <row r="750" spans="3:10" ht="16" x14ac:dyDescent="0.2">
      <c r="C750" s="147"/>
      <c r="D750" s="147"/>
      <c r="E750" s="147"/>
      <c r="F750" s="147"/>
      <c r="G750" s="147"/>
      <c r="H750" s="147"/>
      <c r="J750" s="147"/>
    </row>
    <row r="751" spans="3:10" ht="16" x14ac:dyDescent="0.2">
      <c r="C751" s="147"/>
      <c r="D751" s="147"/>
      <c r="E751" s="147"/>
      <c r="F751" s="147"/>
      <c r="G751" s="147"/>
      <c r="H751" s="147"/>
      <c r="J751" s="147"/>
    </row>
    <row r="752" spans="3:10" ht="16" x14ac:dyDescent="0.2">
      <c r="C752" s="147"/>
      <c r="D752" s="147"/>
      <c r="E752" s="147"/>
      <c r="F752" s="147"/>
      <c r="G752" s="147"/>
      <c r="H752" s="147"/>
      <c r="J752" s="147"/>
    </row>
    <row r="753" spans="3:10" ht="16" x14ac:dyDescent="0.2">
      <c r="C753" s="147"/>
      <c r="D753" s="147"/>
      <c r="E753" s="147"/>
      <c r="F753" s="147"/>
      <c r="G753" s="147"/>
      <c r="H753" s="147"/>
      <c r="J753" s="147"/>
    </row>
    <row r="754" spans="3:10" ht="16" x14ac:dyDescent="0.2">
      <c r="C754" s="147"/>
      <c r="D754" s="147"/>
      <c r="E754" s="147"/>
      <c r="F754" s="147"/>
      <c r="G754" s="147"/>
      <c r="H754" s="147"/>
      <c r="J754" s="147"/>
    </row>
    <row r="755" spans="3:10" ht="16" x14ac:dyDescent="0.2">
      <c r="C755" s="147"/>
      <c r="D755" s="147"/>
      <c r="E755" s="147"/>
      <c r="F755" s="147"/>
      <c r="G755" s="147"/>
      <c r="H755" s="147"/>
      <c r="J755" s="147"/>
    </row>
    <row r="756" spans="3:10" ht="16" x14ac:dyDescent="0.2">
      <c r="C756" s="147"/>
      <c r="D756" s="147"/>
      <c r="E756" s="147"/>
      <c r="F756" s="147"/>
      <c r="G756" s="147"/>
      <c r="H756" s="147"/>
      <c r="J756" s="147"/>
    </row>
    <row r="757" spans="3:10" ht="16" x14ac:dyDescent="0.2">
      <c r="C757" s="147"/>
      <c r="D757" s="147"/>
      <c r="E757" s="147"/>
      <c r="F757" s="147"/>
      <c r="G757" s="147"/>
      <c r="H757" s="147"/>
      <c r="J757" s="147"/>
    </row>
    <row r="758" spans="3:10" ht="16" x14ac:dyDescent="0.2">
      <c r="C758" s="147"/>
      <c r="D758" s="147"/>
      <c r="E758" s="147"/>
      <c r="F758" s="147"/>
      <c r="G758" s="147"/>
      <c r="H758" s="147"/>
      <c r="J758" s="147"/>
    </row>
    <row r="759" spans="3:10" ht="16" x14ac:dyDescent="0.2">
      <c r="C759" s="147"/>
      <c r="D759" s="147"/>
      <c r="E759" s="147"/>
      <c r="F759" s="147"/>
      <c r="G759" s="147"/>
      <c r="H759" s="147"/>
      <c r="J759" s="147"/>
    </row>
    <row r="760" spans="3:10" ht="16" x14ac:dyDescent="0.2">
      <c r="C760" s="147"/>
      <c r="D760" s="147"/>
      <c r="E760" s="147"/>
      <c r="F760" s="147"/>
      <c r="G760" s="147"/>
      <c r="H760" s="147"/>
      <c r="J760" s="147"/>
    </row>
    <row r="761" spans="3:10" ht="16" x14ac:dyDescent="0.2">
      <c r="C761" s="147"/>
      <c r="D761" s="147"/>
      <c r="E761" s="147"/>
      <c r="F761" s="147"/>
      <c r="G761" s="147"/>
      <c r="H761" s="147"/>
      <c r="J761" s="147"/>
    </row>
    <row r="762" spans="3:10" ht="16" x14ac:dyDescent="0.2">
      <c r="C762" s="147"/>
      <c r="D762" s="147"/>
      <c r="E762" s="147"/>
      <c r="F762" s="147"/>
      <c r="G762" s="147"/>
      <c r="H762" s="147"/>
      <c r="J762" s="147"/>
    </row>
    <row r="763" spans="3:10" ht="16" x14ac:dyDescent="0.2">
      <c r="C763" s="147"/>
      <c r="D763" s="147"/>
      <c r="E763" s="147"/>
      <c r="F763" s="147"/>
      <c r="G763" s="147"/>
      <c r="H763" s="147"/>
      <c r="J763" s="147"/>
    </row>
    <row r="764" spans="3:10" ht="16" x14ac:dyDescent="0.2">
      <c r="C764" s="147"/>
      <c r="D764" s="147"/>
      <c r="E764" s="147"/>
      <c r="F764" s="147"/>
      <c r="G764" s="147"/>
      <c r="H764" s="147"/>
      <c r="J764" s="147"/>
    </row>
    <row r="765" spans="3:10" ht="16" x14ac:dyDescent="0.2">
      <c r="C765" s="147"/>
      <c r="D765" s="147"/>
      <c r="E765" s="147"/>
      <c r="F765" s="147"/>
      <c r="G765" s="147"/>
      <c r="H765" s="147"/>
      <c r="J765" s="147"/>
    </row>
    <row r="766" spans="3:10" ht="16" x14ac:dyDescent="0.2">
      <c r="C766" s="147"/>
      <c r="D766" s="147"/>
      <c r="E766" s="147"/>
      <c r="F766" s="147"/>
      <c r="G766" s="147"/>
      <c r="H766" s="147"/>
      <c r="J766" s="147"/>
    </row>
    <row r="767" spans="3:10" ht="16" x14ac:dyDescent="0.2">
      <c r="C767" s="147"/>
      <c r="D767" s="147"/>
      <c r="E767" s="147"/>
      <c r="F767" s="147"/>
      <c r="G767" s="147"/>
      <c r="H767" s="147"/>
      <c r="J767" s="147"/>
    </row>
    <row r="768" spans="3:10" ht="16" x14ac:dyDescent="0.2">
      <c r="C768" s="147"/>
      <c r="D768" s="147"/>
      <c r="E768" s="147"/>
      <c r="F768" s="147"/>
      <c r="G768" s="147"/>
      <c r="H768" s="147"/>
      <c r="J768" s="147"/>
    </row>
    <row r="769" spans="3:10" ht="16" x14ac:dyDescent="0.2">
      <c r="C769" s="147"/>
      <c r="D769" s="147"/>
      <c r="E769" s="147"/>
      <c r="F769" s="147"/>
      <c r="G769" s="147"/>
      <c r="H769" s="147"/>
      <c r="J769" s="147"/>
    </row>
    <row r="770" spans="3:10" ht="16" x14ac:dyDescent="0.2">
      <c r="C770" s="147"/>
      <c r="D770" s="147"/>
      <c r="E770" s="147"/>
      <c r="F770" s="147"/>
      <c r="G770" s="147"/>
      <c r="H770" s="147"/>
      <c r="J770" s="147"/>
    </row>
    <row r="771" spans="3:10" ht="16" x14ac:dyDescent="0.2">
      <c r="C771" s="147"/>
      <c r="D771" s="147"/>
      <c r="E771" s="147"/>
      <c r="F771" s="147"/>
      <c r="G771" s="147"/>
      <c r="H771" s="147"/>
      <c r="J771" s="147"/>
    </row>
    <row r="772" spans="3:10" ht="16" x14ac:dyDescent="0.2">
      <c r="C772" s="147"/>
      <c r="D772" s="147"/>
      <c r="E772" s="147"/>
      <c r="F772" s="147"/>
      <c r="G772" s="147"/>
      <c r="H772" s="147"/>
      <c r="J772" s="147"/>
    </row>
    <row r="773" spans="3:10" ht="16" x14ac:dyDescent="0.2">
      <c r="C773" s="147"/>
      <c r="D773" s="147"/>
      <c r="E773" s="147"/>
      <c r="F773" s="147"/>
      <c r="G773" s="147"/>
      <c r="H773" s="147"/>
      <c r="J773" s="147"/>
    </row>
    <row r="774" spans="3:10" ht="16" x14ac:dyDescent="0.2">
      <c r="C774" s="147"/>
      <c r="D774" s="147"/>
      <c r="E774" s="147"/>
      <c r="F774" s="147"/>
      <c r="G774" s="147"/>
      <c r="H774" s="147"/>
      <c r="J774" s="147"/>
    </row>
    <row r="775" spans="3:10" ht="16" x14ac:dyDescent="0.2">
      <c r="C775" s="147"/>
      <c r="D775" s="147"/>
      <c r="E775" s="147"/>
      <c r="F775" s="147"/>
      <c r="G775" s="147"/>
      <c r="H775" s="147"/>
      <c r="J775" s="147"/>
    </row>
    <row r="776" spans="3:10" ht="16" x14ac:dyDescent="0.2">
      <c r="C776" s="147"/>
      <c r="D776" s="147"/>
      <c r="E776" s="147"/>
      <c r="F776" s="147"/>
      <c r="G776" s="147"/>
      <c r="H776" s="147"/>
      <c r="J776" s="147"/>
    </row>
    <row r="777" spans="3:10" ht="16" x14ac:dyDescent="0.2">
      <c r="C777" s="147"/>
      <c r="D777" s="147"/>
      <c r="E777" s="147"/>
      <c r="F777" s="147"/>
      <c r="G777" s="147"/>
      <c r="H777" s="147"/>
      <c r="J777" s="147"/>
    </row>
    <row r="778" spans="3:10" ht="16" x14ac:dyDescent="0.2">
      <c r="C778" s="147"/>
      <c r="D778" s="147"/>
      <c r="E778" s="147"/>
      <c r="F778" s="147"/>
      <c r="G778" s="147"/>
      <c r="H778" s="147"/>
      <c r="J778" s="147"/>
    </row>
    <row r="779" spans="3:10" ht="16" x14ac:dyDescent="0.2">
      <c r="C779" s="147"/>
      <c r="D779" s="147"/>
      <c r="E779" s="147"/>
      <c r="F779" s="147"/>
      <c r="G779" s="147"/>
      <c r="H779" s="147"/>
      <c r="J779" s="147"/>
    </row>
    <row r="780" spans="3:10" ht="16" x14ac:dyDescent="0.2">
      <c r="C780" s="147"/>
      <c r="D780" s="147"/>
      <c r="E780" s="147"/>
      <c r="F780" s="147"/>
      <c r="G780" s="147"/>
      <c r="H780" s="147"/>
      <c r="J780" s="147"/>
    </row>
    <row r="781" spans="3:10" ht="16" x14ac:dyDescent="0.2">
      <c r="C781" s="147"/>
      <c r="D781" s="147"/>
      <c r="E781" s="147"/>
      <c r="F781" s="147"/>
      <c r="G781" s="147"/>
      <c r="H781" s="147"/>
      <c r="J781" s="147"/>
    </row>
    <row r="782" spans="3:10" ht="16" x14ac:dyDescent="0.2">
      <c r="C782" s="147"/>
      <c r="D782" s="147"/>
      <c r="E782" s="147"/>
      <c r="F782" s="147"/>
      <c r="G782" s="147"/>
      <c r="H782" s="147"/>
      <c r="J782" s="147"/>
    </row>
    <row r="783" spans="3:10" ht="16" x14ac:dyDescent="0.2">
      <c r="C783" s="147"/>
      <c r="D783" s="147"/>
      <c r="E783" s="147"/>
      <c r="F783" s="147"/>
      <c r="G783" s="147"/>
      <c r="H783" s="147"/>
      <c r="J783" s="147"/>
    </row>
    <row r="784" spans="3:10" ht="16" x14ac:dyDescent="0.2">
      <c r="C784" s="147"/>
      <c r="D784" s="147"/>
      <c r="E784" s="147"/>
      <c r="F784" s="147"/>
      <c r="G784" s="147"/>
      <c r="H784" s="147"/>
      <c r="J784" s="147"/>
    </row>
    <row r="785" spans="3:10" ht="16" x14ac:dyDescent="0.2">
      <c r="C785" s="147"/>
      <c r="D785" s="147"/>
      <c r="E785" s="147"/>
      <c r="F785" s="147"/>
      <c r="G785" s="147"/>
      <c r="H785" s="147"/>
      <c r="J785" s="147"/>
    </row>
    <row r="786" spans="3:10" ht="16" x14ac:dyDescent="0.2">
      <c r="C786" s="147"/>
      <c r="D786" s="147"/>
      <c r="E786" s="147"/>
      <c r="F786" s="147"/>
      <c r="G786" s="147"/>
      <c r="H786" s="147"/>
      <c r="J786" s="147"/>
    </row>
    <row r="787" spans="3:10" ht="16" x14ac:dyDescent="0.2">
      <c r="C787" s="147"/>
      <c r="D787" s="147"/>
      <c r="E787" s="147"/>
      <c r="F787" s="147"/>
      <c r="G787" s="147"/>
      <c r="H787" s="147"/>
      <c r="J787" s="147"/>
    </row>
    <row r="788" spans="3:10" ht="16" x14ac:dyDescent="0.2">
      <c r="C788" s="147"/>
      <c r="D788" s="147"/>
      <c r="E788" s="147"/>
      <c r="F788" s="147"/>
      <c r="G788" s="147"/>
      <c r="H788" s="147"/>
      <c r="J788" s="147"/>
    </row>
    <row r="789" spans="3:10" ht="16" x14ac:dyDescent="0.2">
      <c r="C789" s="147"/>
      <c r="D789" s="147"/>
      <c r="E789" s="147"/>
      <c r="F789" s="147"/>
      <c r="G789" s="147"/>
      <c r="H789" s="147"/>
      <c r="J789" s="147"/>
    </row>
    <row r="790" spans="3:10" ht="16" x14ac:dyDescent="0.2">
      <c r="C790" s="147"/>
      <c r="D790" s="147"/>
      <c r="E790" s="147"/>
      <c r="F790" s="147"/>
      <c r="G790" s="147"/>
      <c r="H790" s="147"/>
      <c r="J790" s="147"/>
    </row>
    <row r="791" spans="3:10" ht="16" x14ac:dyDescent="0.2">
      <c r="C791" s="147"/>
      <c r="D791" s="147"/>
      <c r="E791" s="147"/>
      <c r="F791" s="147"/>
      <c r="G791" s="147"/>
      <c r="H791" s="147"/>
      <c r="J791" s="147"/>
    </row>
    <row r="792" spans="3:10" ht="16" x14ac:dyDescent="0.2">
      <c r="C792" s="147"/>
      <c r="D792" s="147"/>
      <c r="E792" s="147"/>
      <c r="F792" s="147"/>
      <c r="G792" s="147"/>
      <c r="H792" s="147"/>
      <c r="J792" s="147"/>
    </row>
    <row r="793" spans="3:10" ht="16" x14ac:dyDescent="0.2">
      <c r="C793" s="147"/>
      <c r="D793" s="147"/>
      <c r="E793" s="147"/>
      <c r="F793" s="147"/>
      <c r="G793" s="147"/>
      <c r="H793" s="147"/>
      <c r="J793" s="147"/>
    </row>
    <row r="794" spans="3:10" ht="16" x14ac:dyDescent="0.2">
      <c r="C794" s="147"/>
      <c r="D794" s="147"/>
      <c r="E794" s="147"/>
      <c r="F794" s="147"/>
      <c r="G794" s="147"/>
      <c r="H794" s="147"/>
      <c r="J794" s="147"/>
    </row>
    <row r="795" spans="3:10" ht="16" x14ac:dyDescent="0.2">
      <c r="C795" s="147"/>
      <c r="D795" s="147"/>
      <c r="E795" s="147"/>
      <c r="F795" s="147"/>
      <c r="G795" s="147"/>
      <c r="H795" s="147"/>
      <c r="J795" s="147"/>
    </row>
    <row r="796" spans="3:10" ht="16" x14ac:dyDescent="0.2">
      <c r="C796" s="147"/>
      <c r="D796" s="147"/>
      <c r="E796" s="147"/>
      <c r="F796" s="147"/>
      <c r="G796" s="147"/>
      <c r="H796" s="147"/>
      <c r="J796" s="147"/>
    </row>
    <row r="797" spans="3:10" ht="16" x14ac:dyDescent="0.2">
      <c r="C797" s="147"/>
      <c r="D797" s="147"/>
      <c r="E797" s="147"/>
      <c r="F797" s="147"/>
      <c r="G797" s="147"/>
      <c r="H797" s="147"/>
      <c r="J797" s="147"/>
    </row>
    <row r="798" spans="3:10" ht="16" x14ac:dyDescent="0.2">
      <c r="C798" s="147"/>
      <c r="D798" s="147"/>
      <c r="E798" s="147"/>
      <c r="F798" s="147"/>
      <c r="G798" s="147"/>
      <c r="H798" s="147"/>
      <c r="J798" s="147"/>
    </row>
    <row r="799" spans="3:10" ht="16" x14ac:dyDescent="0.2">
      <c r="C799" s="147"/>
      <c r="D799" s="147"/>
      <c r="E799" s="147"/>
      <c r="F799" s="147"/>
      <c r="G799" s="147"/>
      <c r="H799" s="147"/>
      <c r="J799" s="147"/>
    </row>
    <row r="800" spans="3:10" ht="16" x14ac:dyDescent="0.2">
      <c r="C800" s="147"/>
      <c r="D800" s="147"/>
      <c r="E800" s="147"/>
      <c r="F800" s="147"/>
      <c r="G800" s="147"/>
      <c r="H800" s="147"/>
      <c r="J800" s="147"/>
    </row>
    <row r="801" spans="3:10" ht="16" x14ac:dyDescent="0.2">
      <c r="C801" s="147"/>
      <c r="D801" s="147"/>
      <c r="E801" s="147"/>
      <c r="F801" s="147"/>
      <c r="G801" s="147"/>
      <c r="H801" s="147"/>
      <c r="J801" s="147"/>
    </row>
    <row r="802" spans="3:10" ht="16" x14ac:dyDescent="0.2">
      <c r="C802" s="147"/>
      <c r="D802" s="147"/>
      <c r="E802" s="147"/>
      <c r="F802" s="147"/>
      <c r="G802" s="147"/>
      <c r="H802" s="147"/>
      <c r="J802" s="147"/>
    </row>
    <row r="803" spans="3:10" ht="16" x14ac:dyDescent="0.2">
      <c r="C803" s="147"/>
      <c r="D803" s="147"/>
      <c r="E803" s="147"/>
      <c r="F803" s="147"/>
      <c r="G803" s="147"/>
      <c r="H803" s="147"/>
      <c r="J803" s="147"/>
    </row>
    <row r="804" spans="3:10" ht="16" x14ac:dyDescent="0.2">
      <c r="C804" s="147"/>
      <c r="D804" s="147"/>
      <c r="E804" s="147"/>
      <c r="F804" s="147"/>
      <c r="G804" s="147"/>
      <c r="H804" s="147"/>
      <c r="J804" s="147"/>
    </row>
    <row r="805" spans="3:10" ht="16" x14ac:dyDescent="0.2">
      <c r="C805" s="147"/>
      <c r="D805" s="147"/>
      <c r="E805" s="147"/>
      <c r="F805" s="147"/>
      <c r="G805" s="147"/>
      <c r="H805" s="147"/>
      <c r="J805" s="147"/>
    </row>
    <row r="806" spans="3:10" ht="16" x14ac:dyDescent="0.2">
      <c r="C806" s="147"/>
      <c r="D806" s="147"/>
      <c r="E806" s="147"/>
      <c r="F806" s="147"/>
      <c r="G806" s="147"/>
      <c r="H806" s="147"/>
      <c r="J806" s="147"/>
    </row>
    <row r="807" spans="3:10" ht="16" x14ac:dyDescent="0.2">
      <c r="C807" s="147"/>
      <c r="D807" s="147"/>
      <c r="E807" s="147"/>
      <c r="F807" s="147"/>
      <c r="G807" s="147"/>
      <c r="H807" s="147"/>
      <c r="J807" s="147"/>
    </row>
    <row r="808" spans="3:10" ht="16" x14ac:dyDescent="0.2">
      <c r="C808" s="147"/>
      <c r="D808" s="147"/>
      <c r="E808" s="147"/>
      <c r="F808" s="147"/>
      <c r="G808" s="147"/>
      <c r="H808" s="147"/>
      <c r="J808" s="147"/>
    </row>
    <row r="809" spans="3:10" ht="16" x14ac:dyDescent="0.2">
      <c r="C809" s="147"/>
      <c r="D809" s="147"/>
      <c r="E809" s="147"/>
      <c r="F809" s="147"/>
      <c r="G809" s="147"/>
      <c r="H809" s="147"/>
      <c r="J809" s="147"/>
    </row>
    <row r="810" spans="3:10" ht="16" x14ac:dyDescent="0.2">
      <c r="C810" s="147"/>
      <c r="D810" s="147"/>
      <c r="E810" s="147"/>
      <c r="F810" s="147"/>
      <c r="G810" s="147"/>
      <c r="H810" s="147"/>
      <c r="J810" s="147"/>
    </row>
    <row r="811" spans="3:10" ht="16" x14ac:dyDescent="0.2">
      <c r="C811" s="147"/>
      <c r="D811" s="147"/>
      <c r="E811" s="147"/>
      <c r="F811" s="147"/>
      <c r="G811" s="147"/>
      <c r="H811" s="147"/>
      <c r="J811" s="147"/>
    </row>
    <row r="812" spans="3:10" ht="16" x14ac:dyDescent="0.2">
      <c r="C812" s="147"/>
      <c r="D812" s="147"/>
      <c r="E812" s="147"/>
      <c r="F812" s="147"/>
      <c r="G812" s="147"/>
      <c r="H812" s="147"/>
      <c r="J812" s="147"/>
    </row>
    <row r="813" spans="3:10" ht="16" x14ac:dyDescent="0.2">
      <c r="C813" s="147"/>
      <c r="D813" s="147"/>
      <c r="E813" s="147"/>
      <c r="F813" s="147"/>
      <c r="G813" s="147"/>
      <c r="H813" s="147"/>
      <c r="J813" s="147"/>
    </row>
    <row r="814" spans="3:10" ht="16" x14ac:dyDescent="0.2">
      <c r="C814" s="147"/>
      <c r="D814" s="147"/>
      <c r="E814" s="147"/>
      <c r="F814" s="147"/>
      <c r="G814" s="147"/>
      <c r="H814" s="147"/>
      <c r="J814" s="147"/>
    </row>
    <row r="815" spans="3:10" ht="16" x14ac:dyDescent="0.2">
      <c r="C815" s="147"/>
      <c r="D815" s="147"/>
      <c r="E815" s="147"/>
      <c r="F815" s="147"/>
      <c r="G815" s="147"/>
      <c r="H815" s="147"/>
      <c r="J815" s="147"/>
    </row>
    <row r="816" spans="3:10" ht="16" x14ac:dyDescent="0.2">
      <c r="C816" s="147"/>
      <c r="D816" s="147"/>
      <c r="E816" s="147"/>
      <c r="F816" s="147"/>
      <c r="G816" s="147"/>
      <c r="H816" s="147"/>
      <c r="J816" s="147"/>
    </row>
    <row r="817" spans="3:10" ht="16" x14ac:dyDescent="0.2">
      <c r="C817" s="147"/>
      <c r="D817" s="147"/>
      <c r="E817" s="147"/>
      <c r="F817" s="147"/>
      <c r="G817" s="147"/>
      <c r="H817" s="147"/>
      <c r="J817" s="147"/>
    </row>
    <row r="818" spans="3:10" ht="16" x14ac:dyDescent="0.2">
      <c r="C818" s="147"/>
      <c r="D818" s="147"/>
      <c r="E818" s="147"/>
      <c r="F818" s="147"/>
      <c r="G818" s="147"/>
      <c r="H818" s="147"/>
      <c r="J818" s="147"/>
    </row>
    <row r="819" spans="3:10" ht="16" x14ac:dyDescent="0.2">
      <c r="C819" s="147"/>
      <c r="D819" s="147"/>
      <c r="E819" s="147"/>
      <c r="F819" s="147"/>
      <c r="G819" s="147"/>
      <c r="H819" s="147"/>
      <c r="J819" s="147"/>
    </row>
    <row r="820" spans="3:10" ht="16" x14ac:dyDescent="0.2">
      <c r="C820" s="147"/>
      <c r="D820" s="147"/>
      <c r="E820" s="147"/>
      <c r="F820" s="147"/>
      <c r="G820" s="147"/>
      <c r="H820" s="147"/>
      <c r="J820" s="147"/>
    </row>
    <row r="821" spans="3:10" ht="16" x14ac:dyDescent="0.2">
      <c r="C821" s="147"/>
      <c r="D821" s="147"/>
      <c r="E821" s="147"/>
      <c r="F821" s="147"/>
      <c r="G821" s="147"/>
      <c r="H821" s="147"/>
      <c r="J821" s="147"/>
    </row>
    <row r="822" spans="3:10" ht="16" x14ac:dyDescent="0.2">
      <c r="C822" s="147"/>
      <c r="D822" s="147"/>
      <c r="E822" s="147"/>
      <c r="F822" s="147"/>
      <c r="G822" s="147"/>
      <c r="H822" s="147"/>
      <c r="J822" s="147"/>
    </row>
    <row r="823" spans="3:10" ht="16" x14ac:dyDescent="0.2">
      <c r="C823" s="147"/>
      <c r="D823" s="147"/>
      <c r="E823" s="147"/>
      <c r="F823" s="147"/>
      <c r="G823" s="147"/>
      <c r="H823" s="147"/>
      <c r="J823" s="147"/>
    </row>
    <row r="824" spans="3:10" ht="16" x14ac:dyDescent="0.2">
      <c r="C824" s="147"/>
      <c r="D824" s="147"/>
      <c r="E824" s="147"/>
      <c r="F824" s="147"/>
      <c r="G824" s="147"/>
      <c r="H824" s="147"/>
      <c r="J824" s="147"/>
    </row>
    <row r="825" spans="3:10" ht="16" x14ac:dyDescent="0.2">
      <c r="C825" s="147"/>
      <c r="D825" s="147"/>
      <c r="E825" s="147"/>
      <c r="F825" s="147"/>
      <c r="G825" s="147"/>
      <c r="H825" s="147"/>
      <c r="J825" s="147"/>
    </row>
    <row r="826" spans="3:10" ht="16" x14ac:dyDescent="0.2">
      <c r="C826" s="147"/>
      <c r="D826" s="147"/>
      <c r="E826" s="147"/>
      <c r="F826" s="147"/>
      <c r="G826" s="147"/>
      <c r="H826" s="147"/>
      <c r="J826" s="147"/>
    </row>
    <row r="827" spans="3:10" ht="16" x14ac:dyDescent="0.2">
      <c r="C827" s="147"/>
      <c r="D827" s="147"/>
      <c r="E827" s="147"/>
      <c r="F827" s="147"/>
      <c r="G827" s="147"/>
      <c r="H827" s="147"/>
      <c r="J827" s="147"/>
    </row>
    <row r="828" spans="3:10" ht="16" x14ac:dyDescent="0.2">
      <c r="C828" s="147"/>
      <c r="D828" s="147"/>
      <c r="E828" s="147"/>
      <c r="F828" s="147"/>
      <c r="G828" s="147"/>
      <c r="H828" s="147"/>
      <c r="J828" s="147"/>
    </row>
    <row r="829" spans="3:10" ht="16" x14ac:dyDescent="0.2">
      <c r="C829" s="147"/>
      <c r="D829" s="147"/>
      <c r="E829" s="147"/>
      <c r="F829" s="147"/>
      <c r="G829" s="147"/>
      <c r="H829" s="147"/>
      <c r="J829" s="147"/>
    </row>
    <row r="830" spans="3:10" ht="16" x14ac:dyDescent="0.2">
      <c r="C830" s="147"/>
      <c r="D830" s="147"/>
      <c r="E830" s="147"/>
      <c r="F830" s="147"/>
      <c r="G830" s="147"/>
      <c r="H830" s="147"/>
      <c r="J830" s="147"/>
    </row>
    <row r="831" spans="3:10" ht="16" x14ac:dyDescent="0.2">
      <c r="C831" s="147"/>
      <c r="D831" s="147"/>
      <c r="E831" s="147"/>
      <c r="F831" s="147"/>
      <c r="G831" s="147"/>
      <c r="H831" s="147"/>
      <c r="J831" s="147"/>
    </row>
    <row r="832" spans="3:10" ht="16" x14ac:dyDescent="0.2">
      <c r="C832" s="147"/>
      <c r="D832" s="147"/>
      <c r="E832" s="147"/>
      <c r="F832" s="147"/>
      <c r="G832" s="147"/>
      <c r="H832" s="147"/>
      <c r="J832" s="147"/>
    </row>
    <row r="833" spans="3:10" ht="16" x14ac:dyDescent="0.2">
      <c r="C833" s="147"/>
      <c r="D833" s="147"/>
      <c r="E833" s="147"/>
      <c r="F833" s="147"/>
      <c r="G833" s="147"/>
      <c r="H833" s="147"/>
      <c r="J833" s="147"/>
    </row>
    <row r="834" spans="3:10" ht="16" x14ac:dyDescent="0.2">
      <c r="C834" s="147"/>
      <c r="D834" s="147"/>
      <c r="E834" s="147"/>
      <c r="F834" s="147"/>
      <c r="G834" s="147"/>
      <c r="H834" s="147"/>
      <c r="J834" s="147"/>
    </row>
    <row r="835" spans="3:10" ht="16" x14ac:dyDescent="0.2">
      <c r="C835" s="147"/>
      <c r="D835" s="147"/>
      <c r="E835" s="147"/>
      <c r="F835" s="147"/>
      <c r="G835" s="147"/>
      <c r="H835" s="147"/>
      <c r="J835" s="147"/>
    </row>
    <row r="836" spans="3:10" ht="16" x14ac:dyDescent="0.2">
      <c r="C836" s="147"/>
      <c r="D836" s="147"/>
      <c r="E836" s="147"/>
      <c r="F836" s="147"/>
      <c r="G836" s="147"/>
      <c r="H836" s="147"/>
      <c r="J836" s="147"/>
    </row>
    <row r="837" spans="3:10" ht="16" x14ac:dyDescent="0.2">
      <c r="C837" s="147"/>
      <c r="D837" s="147"/>
      <c r="E837" s="147"/>
      <c r="F837" s="147"/>
      <c r="G837" s="147"/>
      <c r="H837" s="147"/>
      <c r="J837" s="147"/>
    </row>
    <row r="838" spans="3:10" ht="16" x14ac:dyDescent="0.2">
      <c r="C838" s="147"/>
      <c r="D838" s="147"/>
      <c r="E838" s="147"/>
      <c r="F838" s="147"/>
      <c r="G838" s="147"/>
      <c r="H838" s="147"/>
      <c r="J838" s="147"/>
    </row>
    <row r="839" spans="3:10" ht="16" x14ac:dyDescent="0.2">
      <c r="C839" s="147"/>
      <c r="D839" s="147"/>
      <c r="E839" s="147"/>
      <c r="F839" s="147"/>
      <c r="G839" s="147"/>
      <c r="H839" s="147"/>
      <c r="J839" s="147"/>
    </row>
    <row r="840" spans="3:10" ht="16" x14ac:dyDescent="0.2">
      <c r="C840" s="147"/>
      <c r="D840" s="147"/>
      <c r="E840" s="147"/>
      <c r="F840" s="147"/>
      <c r="G840" s="147"/>
      <c r="H840" s="147"/>
      <c r="J840" s="147"/>
    </row>
    <row r="841" spans="3:10" ht="16" x14ac:dyDescent="0.2">
      <c r="C841" s="147"/>
      <c r="D841" s="147"/>
      <c r="E841" s="147"/>
      <c r="F841" s="147"/>
      <c r="G841" s="147"/>
      <c r="H841" s="147"/>
      <c r="J841" s="147"/>
    </row>
    <row r="842" spans="3:10" ht="16" x14ac:dyDescent="0.2">
      <c r="C842" s="147"/>
      <c r="D842" s="147"/>
      <c r="E842" s="147"/>
      <c r="F842" s="147"/>
      <c r="G842" s="147"/>
      <c r="H842" s="147"/>
      <c r="J842" s="147"/>
    </row>
    <row r="843" spans="3:10" ht="16" x14ac:dyDescent="0.2">
      <c r="C843" s="147"/>
      <c r="D843" s="147"/>
      <c r="E843" s="147"/>
      <c r="F843" s="147"/>
      <c r="G843" s="147"/>
      <c r="H843" s="147"/>
      <c r="J843" s="147"/>
    </row>
    <row r="844" spans="3:10" ht="16" x14ac:dyDescent="0.2">
      <c r="C844" s="147"/>
      <c r="D844" s="147"/>
      <c r="E844" s="147"/>
      <c r="F844" s="147"/>
      <c r="G844" s="147"/>
      <c r="H844" s="147"/>
      <c r="J844" s="147"/>
    </row>
    <row r="845" spans="3:10" ht="16" x14ac:dyDescent="0.2">
      <c r="C845" s="147"/>
      <c r="D845" s="147"/>
      <c r="E845" s="147"/>
      <c r="F845" s="147"/>
      <c r="G845" s="147"/>
      <c r="H845" s="147"/>
      <c r="J845" s="147"/>
    </row>
    <row r="846" spans="3:10" ht="16" x14ac:dyDescent="0.2">
      <c r="C846" s="147"/>
      <c r="D846" s="147"/>
      <c r="E846" s="147"/>
      <c r="F846" s="147"/>
      <c r="G846" s="147"/>
      <c r="H846" s="147"/>
      <c r="J846" s="147"/>
    </row>
    <row r="847" spans="3:10" ht="16" x14ac:dyDescent="0.2">
      <c r="C847" s="147"/>
      <c r="D847" s="147"/>
      <c r="E847" s="147"/>
      <c r="F847" s="147"/>
      <c r="G847" s="147"/>
      <c r="H847" s="147"/>
      <c r="J847" s="147"/>
    </row>
    <row r="848" spans="3:10" ht="16" x14ac:dyDescent="0.2">
      <c r="C848" s="147"/>
      <c r="D848" s="147"/>
      <c r="E848" s="147"/>
      <c r="F848" s="147"/>
      <c r="G848" s="147"/>
      <c r="H848" s="147"/>
      <c r="J848" s="147"/>
    </row>
    <row r="849" spans="3:10" ht="16" x14ac:dyDescent="0.2">
      <c r="C849" s="147"/>
      <c r="D849" s="147"/>
      <c r="E849" s="147"/>
      <c r="F849" s="147"/>
      <c r="G849" s="147"/>
      <c r="H849" s="147"/>
      <c r="J849" s="147"/>
    </row>
    <row r="850" spans="3:10" ht="16" x14ac:dyDescent="0.2">
      <c r="C850" s="147"/>
      <c r="D850" s="147"/>
      <c r="E850" s="147"/>
      <c r="F850" s="147"/>
      <c r="G850" s="147"/>
      <c r="H850" s="147"/>
      <c r="J850" s="147"/>
    </row>
    <row r="851" spans="3:10" ht="16" x14ac:dyDescent="0.2">
      <c r="C851" s="147"/>
      <c r="D851" s="147"/>
      <c r="E851" s="147"/>
      <c r="F851" s="147"/>
      <c r="G851" s="147"/>
      <c r="H851" s="147"/>
      <c r="J851" s="147"/>
    </row>
    <row r="852" spans="3:10" ht="16" x14ac:dyDescent="0.2">
      <c r="C852" s="147"/>
      <c r="D852" s="147"/>
      <c r="E852" s="147"/>
      <c r="F852" s="147"/>
      <c r="G852" s="147"/>
      <c r="H852" s="147"/>
      <c r="J852" s="147"/>
    </row>
    <row r="853" spans="3:10" ht="16" x14ac:dyDescent="0.2">
      <c r="C853" s="147"/>
      <c r="D853" s="147"/>
      <c r="E853" s="147"/>
      <c r="F853" s="147"/>
      <c r="G853" s="147"/>
      <c r="H853" s="147"/>
      <c r="J853" s="147"/>
    </row>
    <row r="854" spans="3:10" ht="16" x14ac:dyDescent="0.2">
      <c r="C854" s="147"/>
      <c r="D854" s="147"/>
      <c r="E854" s="147"/>
      <c r="F854" s="147"/>
      <c r="G854" s="147"/>
      <c r="H854" s="147"/>
      <c r="J854" s="147"/>
    </row>
    <row r="855" spans="3:10" ht="16" x14ac:dyDescent="0.2">
      <c r="C855" s="147"/>
      <c r="D855" s="147"/>
      <c r="E855" s="147"/>
      <c r="F855" s="147"/>
      <c r="G855" s="147"/>
      <c r="H855" s="147"/>
      <c r="J855" s="147"/>
    </row>
    <row r="856" spans="3:10" ht="16" x14ac:dyDescent="0.2">
      <c r="C856" s="147"/>
      <c r="D856" s="147"/>
      <c r="E856" s="147"/>
      <c r="F856" s="147"/>
      <c r="G856" s="147"/>
      <c r="H856" s="147"/>
      <c r="J856" s="147"/>
    </row>
    <row r="857" spans="3:10" ht="16" x14ac:dyDescent="0.2">
      <c r="C857" s="147"/>
      <c r="D857" s="147"/>
      <c r="E857" s="147"/>
      <c r="F857" s="147"/>
      <c r="G857" s="147"/>
      <c r="H857" s="147"/>
      <c r="J857" s="147"/>
    </row>
    <row r="858" spans="3:10" ht="16" x14ac:dyDescent="0.2">
      <c r="C858" s="147"/>
      <c r="D858" s="147"/>
      <c r="E858" s="147"/>
      <c r="F858" s="147"/>
      <c r="G858" s="147"/>
      <c r="H858" s="147"/>
      <c r="J858" s="147"/>
    </row>
    <row r="859" spans="3:10" ht="16" x14ac:dyDescent="0.2">
      <c r="C859" s="147"/>
      <c r="D859" s="147"/>
      <c r="E859" s="147"/>
      <c r="F859" s="147"/>
      <c r="G859" s="147"/>
      <c r="H859" s="147"/>
      <c r="J859" s="147"/>
    </row>
    <row r="860" spans="3:10" ht="16" x14ac:dyDescent="0.2">
      <c r="C860" s="147"/>
      <c r="D860" s="147"/>
      <c r="E860" s="147"/>
      <c r="F860" s="147"/>
      <c r="G860" s="147"/>
      <c r="H860" s="147"/>
      <c r="J860" s="147"/>
    </row>
    <row r="861" spans="3:10" ht="16" x14ac:dyDescent="0.2">
      <c r="C861" s="147"/>
      <c r="D861" s="147"/>
      <c r="E861" s="147"/>
      <c r="F861" s="147"/>
      <c r="G861" s="147"/>
      <c r="H861" s="147"/>
      <c r="J861" s="147"/>
    </row>
    <row r="862" spans="3:10" ht="16" x14ac:dyDescent="0.2">
      <c r="C862" s="147"/>
      <c r="D862" s="147"/>
      <c r="E862" s="147"/>
      <c r="F862" s="147"/>
      <c r="G862" s="147"/>
      <c r="H862" s="147"/>
      <c r="J862" s="147"/>
    </row>
    <row r="863" spans="3:10" ht="16" x14ac:dyDescent="0.2">
      <c r="C863" s="147"/>
      <c r="D863" s="147"/>
      <c r="E863" s="147"/>
      <c r="F863" s="147"/>
      <c r="G863" s="147"/>
      <c r="H863" s="147"/>
      <c r="J863" s="147"/>
    </row>
    <row r="864" spans="3:10" ht="16" x14ac:dyDescent="0.2">
      <c r="C864" s="147"/>
      <c r="D864" s="147"/>
      <c r="E864" s="147"/>
      <c r="F864" s="147"/>
      <c r="G864" s="147"/>
      <c r="H864" s="147"/>
      <c r="J864" s="147"/>
    </row>
    <row r="865" spans="3:10" ht="16" x14ac:dyDescent="0.2">
      <c r="C865" s="147"/>
      <c r="D865" s="147"/>
      <c r="E865" s="147"/>
      <c r="F865" s="147"/>
      <c r="G865" s="147"/>
      <c r="H865" s="147"/>
      <c r="J865" s="147"/>
    </row>
    <row r="866" spans="3:10" ht="16" x14ac:dyDescent="0.2">
      <c r="C866" s="147"/>
      <c r="D866" s="147"/>
      <c r="E866" s="147"/>
      <c r="F866" s="147"/>
      <c r="G866" s="147"/>
      <c r="H866" s="147"/>
      <c r="J866" s="147"/>
    </row>
    <row r="867" spans="3:10" ht="16" x14ac:dyDescent="0.2">
      <c r="C867" s="147"/>
      <c r="D867" s="147"/>
      <c r="E867" s="147"/>
      <c r="F867" s="147"/>
      <c r="G867" s="147"/>
      <c r="H867" s="147"/>
      <c r="J867" s="147"/>
    </row>
    <row r="868" spans="3:10" ht="16" x14ac:dyDescent="0.2">
      <c r="C868" s="147"/>
      <c r="D868" s="147"/>
      <c r="E868" s="147"/>
      <c r="F868" s="147"/>
      <c r="G868" s="147"/>
      <c r="H868" s="147"/>
      <c r="J868" s="147"/>
    </row>
    <row r="869" spans="3:10" ht="16" x14ac:dyDescent="0.2">
      <c r="C869" s="147"/>
      <c r="D869" s="147"/>
      <c r="E869" s="147"/>
      <c r="F869" s="147"/>
      <c r="G869" s="147"/>
      <c r="H869" s="147"/>
      <c r="J869" s="147"/>
    </row>
    <row r="870" spans="3:10" ht="16" x14ac:dyDescent="0.2">
      <c r="C870" s="147"/>
      <c r="D870" s="147"/>
      <c r="E870" s="147"/>
      <c r="F870" s="147"/>
      <c r="G870" s="147"/>
      <c r="H870" s="147"/>
      <c r="J870" s="147"/>
    </row>
    <row r="871" spans="3:10" ht="16" x14ac:dyDescent="0.2">
      <c r="C871" s="147"/>
      <c r="D871" s="147"/>
      <c r="E871" s="147"/>
      <c r="F871" s="147"/>
      <c r="G871" s="147"/>
      <c r="H871" s="147"/>
      <c r="J871" s="147"/>
    </row>
    <row r="872" spans="3:10" ht="16" x14ac:dyDescent="0.2">
      <c r="C872" s="147"/>
      <c r="D872" s="147"/>
      <c r="E872" s="147"/>
      <c r="F872" s="147"/>
      <c r="G872" s="147"/>
      <c r="H872" s="147"/>
      <c r="J872" s="147"/>
    </row>
    <row r="873" spans="3:10" ht="16" x14ac:dyDescent="0.2">
      <c r="C873" s="147"/>
      <c r="D873" s="147"/>
      <c r="E873" s="147"/>
      <c r="F873" s="147"/>
      <c r="G873" s="147"/>
      <c r="H873" s="147"/>
      <c r="J873" s="147"/>
    </row>
    <row r="874" spans="3:10" ht="16" x14ac:dyDescent="0.2">
      <c r="C874" s="147"/>
      <c r="D874" s="147"/>
      <c r="E874" s="147"/>
      <c r="F874" s="147"/>
      <c r="G874" s="147"/>
      <c r="H874" s="147"/>
      <c r="J874" s="147"/>
    </row>
    <row r="875" spans="3:10" ht="16" x14ac:dyDescent="0.2">
      <c r="C875" s="147"/>
      <c r="D875" s="147"/>
      <c r="E875" s="147"/>
      <c r="F875" s="147"/>
      <c r="G875" s="147"/>
      <c r="H875" s="147"/>
      <c r="J875" s="147"/>
    </row>
    <row r="876" spans="3:10" ht="16" x14ac:dyDescent="0.2">
      <c r="C876" s="147"/>
      <c r="D876" s="147"/>
      <c r="E876" s="147"/>
      <c r="F876" s="147"/>
      <c r="G876" s="147"/>
      <c r="H876" s="147"/>
      <c r="J876" s="147"/>
    </row>
    <row r="877" spans="3:10" ht="16" x14ac:dyDescent="0.2">
      <c r="C877" s="147"/>
      <c r="D877" s="147"/>
      <c r="E877" s="147"/>
      <c r="F877" s="147"/>
      <c r="G877" s="147"/>
      <c r="H877" s="147"/>
      <c r="J877" s="147"/>
    </row>
    <row r="878" spans="3:10" ht="16" x14ac:dyDescent="0.2">
      <c r="C878" s="147"/>
      <c r="D878" s="147"/>
      <c r="E878" s="147"/>
      <c r="F878" s="147"/>
      <c r="G878" s="147"/>
      <c r="H878" s="147"/>
      <c r="J878" s="147"/>
    </row>
    <row r="879" spans="3:10" ht="16" x14ac:dyDescent="0.2">
      <c r="C879" s="147"/>
      <c r="D879" s="147"/>
      <c r="E879" s="147"/>
      <c r="F879" s="147"/>
      <c r="G879" s="147"/>
      <c r="H879" s="147"/>
      <c r="J879" s="147"/>
    </row>
    <row r="880" spans="3:10" ht="16" x14ac:dyDescent="0.2">
      <c r="C880" s="147"/>
      <c r="D880" s="147"/>
      <c r="E880" s="147"/>
      <c r="F880" s="147"/>
      <c r="G880" s="147"/>
      <c r="H880" s="147"/>
      <c r="J880" s="147"/>
    </row>
    <row r="881" spans="3:10" ht="16" x14ac:dyDescent="0.2">
      <c r="C881" s="147"/>
      <c r="D881" s="147"/>
      <c r="E881" s="147"/>
      <c r="F881" s="147"/>
      <c r="G881" s="147"/>
      <c r="H881" s="147"/>
      <c r="J881" s="147"/>
    </row>
    <row r="882" spans="3:10" ht="16" x14ac:dyDescent="0.2">
      <c r="C882" s="147"/>
      <c r="D882" s="147"/>
      <c r="E882" s="147"/>
      <c r="F882" s="147"/>
      <c r="G882" s="147"/>
      <c r="H882" s="147"/>
      <c r="J882" s="147"/>
    </row>
    <row r="883" spans="3:10" ht="16" x14ac:dyDescent="0.2">
      <c r="C883" s="147"/>
      <c r="D883" s="147"/>
      <c r="E883" s="147"/>
      <c r="F883" s="147"/>
      <c r="G883" s="147"/>
      <c r="H883" s="147"/>
      <c r="J883" s="147"/>
    </row>
    <row r="884" spans="3:10" ht="16" x14ac:dyDescent="0.2">
      <c r="C884" s="147"/>
      <c r="D884" s="147"/>
      <c r="E884" s="147"/>
      <c r="F884" s="147"/>
      <c r="G884" s="147"/>
      <c r="H884" s="147"/>
      <c r="J884" s="147"/>
    </row>
    <row r="885" spans="3:10" ht="16" x14ac:dyDescent="0.2">
      <c r="C885" s="147"/>
      <c r="D885" s="147"/>
      <c r="E885" s="147"/>
      <c r="F885" s="147"/>
      <c r="G885" s="147"/>
      <c r="H885" s="147"/>
      <c r="J885" s="147"/>
    </row>
    <row r="886" spans="3:10" ht="16" x14ac:dyDescent="0.2">
      <c r="C886" s="147"/>
      <c r="D886" s="147"/>
      <c r="E886" s="147"/>
      <c r="F886" s="147"/>
      <c r="G886" s="147"/>
      <c r="H886" s="147"/>
      <c r="J886" s="147"/>
    </row>
    <row r="887" spans="3:10" ht="16" x14ac:dyDescent="0.2">
      <c r="C887" s="147"/>
      <c r="D887" s="147"/>
      <c r="E887" s="147"/>
      <c r="F887" s="147"/>
      <c r="G887" s="147"/>
      <c r="H887" s="147"/>
      <c r="J887" s="147"/>
    </row>
    <row r="888" spans="3:10" ht="16" x14ac:dyDescent="0.2">
      <c r="C888" s="147"/>
      <c r="D888" s="147"/>
      <c r="E888" s="147"/>
      <c r="F888" s="147"/>
      <c r="G888" s="147"/>
      <c r="H888" s="147"/>
      <c r="J888" s="147"/>
    </row>
    <row r="889" spans="3:10" ht="16" x14ac:dyDescent="0.2">
      <c r="C889" s="147"/>
      <c r="D889" s="147"/>
      <c r="E889" s="147"/>
      <c r="F889" s="147"/>
      <c r="G889" s="147"/>
      <c r="H889" s="147"/>
      <c r="J889" s="147"/>
    </row>
    <row r="890" spans="3:10" ht="16" x14ac:dyDescent="0.2">
      <c r="C890" s="147"/>
      <c r="D890" s="147"/>
      <c r="E890" s="147"/>
      <c r="F890" s="147"/>
      <c r="G890" s="147"/>
      <c r="H890" s="147"/>
      <c r="J890" s="147"/>
    </row>
    <row r="891" spans="3:10" ht="16" x14ac:dyDescent="0.2">
      <c r="C891" s="147"/>
      <c r="D891" s="147"/>
      <c r="E891" s="147"/>
      <c r="F891" s="147"/>
      <c r="G891" s="147"/>
      <c r="H891" s="147"/>
      <c r="J891" s="147"/>
    </row>
    <row r="892" spans="3:10" ht="16" x14ac:dyDescent="0.2">
      <c r="C892" s="147"/>
      <c r="D892" s="147"/>
      <c r="E892" s="147"/>
      <c r="F892" s="147"/>
      <c r="G892" s="147"/>
      <c r="H892" s="147"/>
      <c r="J892" s="147"/>
    </row>
    <row r="893" spans="3:10" ht="16" x14ac:dyDescent="0.2">
      <c r="C893" s="147"/>
      <c r="D893" s="147"/>
      <c r="E893" s="147"/>
      <c r="F893" s="147"/>
      <c r="G893" s="147"/>
      <c r="H893" s="147"/>
      <c r="J893" s="147"/>
    </row>
    <row r="894" spans="3:10" ht="16" x14ac:dyDescent="0.2">
      <c r="C894" s="147"/>
      <c r="D894" s="147"/>
      <c r="E894" s="147"/>
      <c r="F894" s="147"/>
      <c r="G894" s="147"/>
      <c r="H894" s="147"/>
      <c r="J894" s="147"/>
    </row>
    <row r="895" spans="3:10" ht="16" x14ac:dyDescent="0.2">
      <c r="C895" s="147"/>
      <c r="D895" s="147"/>
      <c r="E895" s="147"/>
      <c r="F895" s="147"/>
      <c r="G895" s="147"/>
      <c r="H895" s="147"/>
      <c r="J895" s="147"/>
    </row>
    <row r="896" spans="3:10" ht="16" x14ac:dyDescent="0.2">
      <c r="C896" s="147"/>
      <c r="D896" s="147"/>
      <c r="E896" s="147"/>
      <c r="F896" s="147"/>
      <c r="G896" s="147"/>
      <c r="H896" s="147"/>
      <c r="J896" s="147"/>
    </row>
    <row r="897" spans="3:10" ht="16" x14ac:dyDescent="0.2">
      <c r="C897" s="147"/>
      <c r="D897" s="147"/>
      <c r="E897" s="147"/>
      <c r="F897" s="147"/>
      <c r="G897" s="147"/>
      <c r="H897" s="147"/>
      <c r="J897" s="147"/>
    </row>
    <row r="898" spans="3:10" ht="16" x14ac:dyDescent="0.2">
      <c r="C898" s="147"/>
      <c r="D898" s="147"/>
      <c r="E898" s="147"/>
      <c r="F898" s="147"/>
      <c r="G898" s="147"/>
      <c r="H898" s="147"/>
      <c r="J898" s="147"/>
    </row>
    <row r="899" spans="3:10" ht="16" x14ac:dyDescent="0.2">
      <c r="C899" s="147"/>
      <c r="D899" s="147"/>
      <c r="E899" s="147"/>
      <c r="F899" s="147"/>
      <c r="G899" s="147"/>
      <c r="H899" s="147"/>
      <c r="J899" s="147"/>
    </row>
    <row r="900" spans="3:10" ht="16" x14ac:dyDescent="0.2">
      <c r="C900" s="147"/>
      <c r="D900" s="147"/>
      <c r="E900" s="147"/>
      <c r="F900" s="147"/>
      <c r="G900" s="147"/>
      <c r="H900" s="147"/>
      <c r="J900" s="147"/>
    </row>
    <row r="901" spans="3:10" ht="16" x14ac:dyDescent="0.2">
      <c r="C901" s="147"/>
      <c r="D901" s="147"/>
      <c r="E901" s="147"/>
      <c r="F901" s="147"/>
      <c r="G901" s="147"/>
      <c r="H901" s="147"/>
      <c r="J901" s="147"/>
    </row>
    <row r="902" spans="3:10" ht="16" x14ac:dyDescent="0.2">
      <c r="C902" s="147"/>
      <c r="D902" s="147"/>
      <c r="E902" s="147"/>
      <c r="F902" s="147"/>
      <c r="G902" s="147"/>
      <c r="H902" s="147"/>
      <c r="J902" s="147"/>
    </row>
    <row r="903" spans="3:10" ht="16" x14ac:dyDescent="0.2">
      <c r="C903" s="147"/>
      <c r="D903" s="147"/>
      <c r="E903" s="147"/>
      <c r="F903" s="147"/>
      <c r="G903" s="147"/>
      <c r="H903" s="147"/>
      <c r="J903" s="147"/>
    </row>
    <row r="904" spans="3:10" ht="16" x14ac:dyDescent="0.2">
      <c r="C904" s="147"/>
      <c r="D904" s="147"/>
      <c r="E904" s="147"/>
      <c r="F904" s="147"/>
      <c r="G904" s="147"/>
      <c r="H904" s="147"/>
      <c r="J904" s="147"/>
    </row>
    <row r="905" spans="3:10" ht="16" x14ac:dyDescent="0.2">
      <c r="C905" s="147"/>
      <c r="D905" s="147"/>
      <c r="E905" s="147"/>
      <c r="F905" s="147"/>
      <c r="G905" s="147"/>
      <c r="H905" s="147"/>
      <c r="J905" s="147"/>
    </row>
    <row r="906" spans="3:10" ht="16" x14ac:dyDescent="0.2">
      <c r="C906" s="147"/>
      <c r="D906" s="147"/>
      <c r="E906" s="147"/>
      <c r="F906" s="147"/>
      <c r="G906" s="147"/>
      <c r="H906" s="147"/>
      <c r="J906" s="147"/>
    </row>
    <row r="907" spans="3:10" ht="16" x14ac:dyDescent="0.2">
      <c r="C907" s="147"/>
      <c r="D907" s="147"/>
      <c r="E907" s="147"/>
      <c r="F907" s="147"/>
      <c r="G907" s="147"/>
      <c r="H907" s="147"/>
      <c r="J907" s="147"/>
    </row>
    <row r="908" spans="3:10" ht="16" x14ac:dyDescent="0.2">
      <c r="C908" s="147"/>
      <c r="D908" s="147"/>
      <c r="E908" s="147"/>
      <c r="F908" s="147"/>
      <c r="G908" s="147"/>
      <c r="H908" s="147"/>
      <c r="J908" s="147"/>
    </row>
    <row r="909" spans="3:10" ht="16" x14ac:dyDescent="0.2">
      <c r="C909" s="147"/>
      <c r="D909" s="147"/>
      <c r="E909" s="147"/>
      <c r="F909" s="147"/>
      <c r="G909" s="147"/>
      <c r="H909" s="147"/>
      <c r="J909" s="147"/>
    </row>
    <row r="910" spans="3:10" ht="16" x14ac:dyDescent="0.2">
      <c r="C910" s="147"/>
      <c r="D910" s="147"/>
      <c r="E910" s="147"/>
      <c r="F910" s="147"/>
      <c r="G910" s="147"/>
      <c r="H910" s="147"/>
      <c r="J910" s="147"/>
    </row>
    <row r="911" spans="3:10" ht="16" x14ac:dyDescent="0.2">
      <c r="C911" s="147"/>
      <c r="D911" s="147"/>
      <c r="E911" s="147"/>
      <c r="F911" s="147"/>
      <c r="G911" s="147"/>
      <c r="H911" s="147"/>
      <c r="J911" s="147"/>
    </row>
    <row r="912" spans="3:10" ht="16" x14ac:dyDescent="0.2">
      <c r="C912" s="147"/>
      <c r="D912" s="147"/>
      <c r="E912" s="147"/>
      <c r="F912" s="147"/>
      <c r="G912" s="147"/>
      <c r="H912" s="147"/>
      <c r="J912" s="147"/>
    </row>
    <row r="913" spans="3:10" ht="16" x14ac:dyDescent="0.2">
      <c r="C913" s="147"/>
      <c r="D913" s="147"/>
      <c r="E913" s="147"/>
      <c r="F913" s="147"/>
      <c r="G913" s="147"/>
      <c r="H913" s="147"/>
      <c r="J913" s="147"/>
    </row>
    <row r="914" spans="3:10" ht="16" x14ac:dyDescent="0.2">
      <c r="C914" s="147"/>
      <c r="D914" s="147"/>
      <c r="E914" s="147"/>
      <c r="F914" s="147"/>
      <c r="G914" s="147"/>
      <c r="H914" s="147"/>
      <c r="J914" s="147"/>
    </row>
    <row r="915" spans="3:10" ht="16" x14ac:dyDescent="0.2">
      <c r="C915" s="147"/>
      <c r="D915" s="147"/>
      <c r="E915" s="147"/>
      <c r="F915" s="147"/>
      <c r="G915" s="147"/>
      <c r="H915" s="147"/>
      <c r="J915" s="147"/>
    </row>
    <row r="916" spans="3:10" ht="16" x14ac:dyDescent="0.2">
      <c r="C916" s="147"/>
      <c r="D916" s="147"/>
      <c r="E916" s="147"/>
      <c r="F916" s="147"/>
      <c r="G916" s="147"/>
      <c r="H916" s="147"/>
      <c r="J916" s="147"/>
    </row>
    <row r="917" spans="3:10" ht="16" x14ac:dyDescent="0.2">
      <c r="C917" s="147"/>
      <c r="D917" s="147"/>
      <c r="E917" s="147"/>
      <c r="F917" s="147"/>
      <c r="G917" s="147"/>
      <c r="H917" s="147"/>
      <c r="J917" s="147"/>
    </row>
    <row r="918" spans="3:10" ht="16" x14ac:dyDescent="0.2">
      <c r="C918" s="147"/>
      <c r="D918" s="147"/>
      <c r="E918" s="147"/>
      <c r="F918" s="147"/>
      <c r="G918" s="147"/>
      <c r="H918" s="147"/>
      <c r="J918" s="147"/>
    </row>
    <row r="919" spans="3:10" ht="16" x14ac:dyDescent="0.2">
      <c r="C919" s="147"/>
      <c r="D919" s="147"/>
      <c r="E919" s="147"/>
      <c r="F919" s="147"/>
      <c r="G919" s="147"/>
      <c r="H919" s="147"/>
      <c r="J919" s="147"/>
    </row>
    <row r="920" spans="3:10" ht="16" x14ac:dyDescent="0.2">
      <c r="C920" s="147"/>
      <c r="D920" s="147"/>
      <c r="E920" s="147"/>
      <c r="F920" s="147"/>
      <c r="G920" s="147"/>
      <c r="H920" s="147"/>
      <c r="J920" s="147"/>
    </row>
    <row r="921" spans="3:10" ht="16" x14ac:dyDescent="0.2">
      <c r="C921" s="147"/>
      <c r="D921" s="147"/>
      <c r="E921" s="147"/>
      <c r="F921" s="147"/>
      <c r="G921" s="147"/>
      <c r="H921" s="147"/>
      <c r="J921" s="147"/>
    </row>
    <row r="922" spans="3:10" ht="16" x14ac:dyDescent="0.2">
      <c r="C922" s="147"/>
      <c r="D922" s="147"/>
      <c r="E922" s="147"/>
      <c r="F922" s="147"/>
      <c r="G922" s="147"/>
      <c r="H922" s="147"/>
      <c r="J922" s="147"/>
    </row>
    <row r="923" spans="3:10" ht="16" x14ac:dyDescent="0.2">
      <c r="C923" s="147"/>
      <c r="D923" s="147"/>
      <c r="E923" s="147"/>
      <c r="F923" s="147"/>
      <c r="G923" s="147"/>
      <c r="H923" s="147"/>
      <c r="J923" s="147"/>
    </row>
    <row r="924" spans="3:10" ht="16" x14ac:dyDescent="0.2">
      <c r="C924" s="147"/>
      <c r="D924" s="147"/>
      <c r="E924" s="147"/>
      <c r="F924" s="147"/>
      <c r="G924" s="147"/>
      <c r="H924" s="147"/>
      <c r="J924" s="147"/>
    </row>
    <row r="925" spans="3:10" ht="16" x14ac:dyDescent="0.2">
      <c r="C925" s="147"/>
      <c r="D925" s="147"/>
      <c r="E925" s="147"/>
      <c r="F925" s="147"/>
      <c r="G925" s="147"/>
      <c r="H925" s="147"/>
      <c r="J925" s="147"/>
    </row>
    <row r="926" spans="3:10" ht="16" x14ac:dyDescent="0.2">
      <c r="C926" s="147"/>
      <c r="D926" s="147"/>
      <c r="E926" s="147"/>
      <c r="F926" s="147"/>
      <c r="G926" s="147"/>
      <c r="H926" s="147"/>
      <c r="J926" s="147"/>
    </row>
    <row r="927" spans="3:10" ht="16" x14ac:dyDescent="0.2">
      <c r="C927" s="147"/>
      <c r="D927" s="147"/>
      <c r="E927" s="147"/>
      <c r="F927" s="147"/>
      <c r="G927" s="147"/>
      <c r="H927" s="147"/>
      <c r="J927" s="147"/>
    </row>
    <row r="928" spans="3:10" ht="16" x14ac:dyDescent="0.2">
      <c r="C928" s="147"/>
      <c r="D928" s="147"/>
      <c r="E928" s="147"/>
      <c r="F928" s="147"/>
      <c r="G928" s="147"/>
      <c r="H928" s="147"/>
      <c r="J928" s="147"/>
    </row>
    <row r="929" spans="3:10" ht="16" x14ac:dyDescent="0.2">
      <c r="C929" s="147"/>
      <c r="D929" s="147"/>
      <c r="E929" s="147"/>
      <c r="F929" s="147"/>
      <c r="G929" s="147"/>
      <c r="H929" s="147"/>
      <c r="J929" s="147"/>
    </row>
    <row r="930" spans="3:10" ht="16" x14ac:dyDescent="0.2">
      <c r="C930" s="147"/>
      <c r="D930" s="147"/>
      <c r="E930" s="147"/>
      <c r="F930" s="147"/>
      <c r="G930" s="147"/>
      <c r="H930" s="147"/>
      <c r="J930" s="147"/>
    </row>
    <row r="931" spans="3:10" ht="16" x14ac:dyDescent="0.2">
      <c r="C931" s="147"/>
      <c r="D931" s="147"/>
      <c r="E931" s="147"/>
      <c r="F931" s="147"/>
      <c r="G931" s="147"/>
      <c r="H931" s="147"/>
      <c r="J931" s="147"/>
    </row>
    <row r="932" spans="3:10" ht="16" x14ac:dyDescent="0.2">
      <c r="C932" s="147"/>
      <c r="D932" s="147"/>
      <c r="E932" s="147"/>
      <c r="F932" s="147"/>
      <c r="G932" s="147"/>
      <c r="H932" s="147"/>
      <c r="J932" s="147"/>
    </row>
    <row r="933" spans="3:10" ht="16" x14ac:dyDescent="0.2">
      <c r="C933" s="147"/>
      <c r="D933" s="147"/>
      <c r="E933" s="147"/>
      <c r="F933" s="147"/>
      <c r="G933" s="147"/>
      <c r="H933" s="147"/>
      <c r="J933" s="147"/>
    </row>
    <row r="934" spans="3:10" ht="16" x14ac:dyDescent="0.2">
      <c r="C934" s="147"/>
      <c r="D934" s="147"/>
      <c r="E934" s="147"/>
      <c r="F934" s="147"/>
      <c r="G934" s="147"/>
      <c r="H934" s="147"/>
      <c r="J934" s="147"/>
    </row>
    <row r="935" spans="3:10" ht="16" x14ac:dyDescent="0.2">
      <c r="C935" s="147"/>
      <c r="D935" s="147"/>
      <c r="E935" s="147"/>
      <c r="F935" s="147"/>
      <c r="G935" s="147"/>
      <c r="H935" s="147"/>
      <c r="J935" s="147"/>
    </row>
    <row r="936" spans="3:10" ht="16" x14ac:dyDescent="0.2">
      <c r="C936" s="147"/>
      <c r="D936" s="147"/>
      <c r="E936" s="147"/>
      <c r="F936" s="147"/>
      <c r="G936" s="147"/>
      <c r="H936" s="147"/>
      <c r="J936" s="147"/>
    </row>
    <row r="937" spans="3:10" ht="16" x14ac:dyDescent="0.2">
      <c r="C937" s="147"/>
      <c r="D937" s="147"/>
      <c r="E937" s="147"/>
      <c r="F937" s="147"/>
      <c r="G937" s="147"/>
      <c r="H937" s="147"/>
      <c r="J937" s="147"/>
    </row>
    <row r="938" spans="3:10" ht="16" x14ac:dyDescent="0.2">
      <c r="C938" s="147"/>
      <c r="D938" s="147"/>
      <c r="E938" s="147"/>
      <c r="F938" s="147"/>
      <c r="G938" s="147"/>
      <c r="H938" s="147"/>
      <c r="J938" s="147"/>
    </row>
    <row r="939" spans="3:10" ht="16" x14ac:dyDescent="0.2">
      <c r="C939" s="147"/>
      <c r="D939" s="147"/>
      <c r="E939" s="147"/>
      <c r="F939" s="147"/>
      <c r="G939" s="147"/>
      <c r="H939" s="147"/>
      <c r="J939" s="147"/>
    </row>
    <row r="940" spans="3:10" ht="16" x14ac:dyDescent="0.2">
      <c r="C940" s="147"/>
      <c r="D940" s="147"/>
      <c r="E940" s="147"/>
      <c r="F940" s="147"/>
      <c r="G940" s="147"/>
      <c r="H940" s="147"/>
      <c r="J940" s="147"/>
    </row>
    <row r="941" spans="3:10" ht="16" x14ac:dyDescent="0.2">
      <c r="C941" s="147"/>
      <c r="D941" s="147"/>
      <c r="E941" s="147"/>
      <c r="F941" s="147"/>
      <c r="G941" s="147"/>
      <c r="H941" s="147"/>
      <c r="J941" s="147"/>
    </row>
    <row r="942" spans="3:10" ht="16" x14ac:dyDescent="0.2">
      <c r="C942" s="147"/>
      <c r="D942" s="147"/>
      <c r="E942" s="147"/>
      <c r="F942" s="147"/>
      <c r="G942" s="147"/>
      <c r="H942" s="147"/>
      <c r="J942" s="147"/>
    </row>
    <row r="943" spans="3:10" ht="16" x14ac:dyDescent="0.2">
      <c r="C943" s="147"/>
      <c r="D943" s="147"/>
      <c r="E943" s="147"/>
      <c r="F943" s="147"/>
      <c r="G943" s="147"/>
      <c r="H943" s="147"/>
      <c r="J943" s="147"/>
    </row>
    <row r="944" spans="3:10" ht="16" x14ac:dyDescent="0.2">
      <c r="C944" s="147"/>
      <c r="D944" s="147"/>
      <c r="E944" s="147"/>
      <c r="F944" s="147"/>
      <c r="G944" s="147"/>
      <c r="H944" s="147"/>
      <c r="J944" s="147"/>
    </row>
    <row r="945" spans="3:10" ht="16" x14ac:dyDescent="0.2">
      <c r="C945" s="147"/>
      <c r="D945" s="147"/>
      <c r="E945" s="147"/>
      <c r="F945" s="147"/>
      <c r="G945" s="147"/>
      <c r="H945" s="147"/>
      <c r="J945" s="147"/>
    </row>
    <row r="946" spans="3:10" ht="16" x14ac:dyDescent="0.2">
      <c r="C946" s="147"/>
      <c r="D946" s="147"/>
      <c r="E946" s="147"/>
      <c r="F946" s="147"/>
      <c r="G946" s="147"/>
      <c r="H946" s="147"/>
      <c r="J946" s="147"/>
    </row>
    <row r="947" spans="3:10" ht="16" x14ac:dyDescent="0.2">
      <c r="C947" s="147"/>
      <c r="D947" s="147"/>
      <c r="E947" s="147"/>
      <c r="F947" s="147"/>
      <c r="G947" s="147"/>
      <c r="H947" s="147"/>
      <c r="J947" s="147"/>
    </row>
    <row r="948" spans="3:10" ht="16" x14ac:dyDescent="0.2">
      <c r="C948" s="147"/>
      <c r="D948" s="147"/>
      <c r="E948" s="147"/>
      <c r="F948" s="147"/>
      <c r="G948" s="147"/>
      <c r="H948" s="147"/>
      <c r="J948" s="147"/>
    </row>
    <row r="949" spans="3:10" ht="16" x14ac:dyDescent="0.2">
      <c r="C949" s="147"/>
      <c r="D949" s="147"/>
      <c r="E949" s="147"/>
      <c r="F949" s="147"/>
      <c r="G949" s="147"/>
      <c r="H949" s="147"/>
      <c r="J949" s="147"/>
    </row>
    <row r="950" spans="3:10" ht="16" x14ac:dyDescent="0.2">
      <c r="C950" s="147"/>
      <c r="D950" s="147"/>
      <c r="E950" s="147"/>
      <c r="F950" s="147"/>
      <c r="G950" s="147"/>
      <c r="H950" s="147"/>
      <c r="J950" s="147"/>
    </row>
    <row r="951" spans="3:10" ht="16" x14ac:dyDescent="0.2">
      <c r="C951" s="147"/>
      <c r="D951" s="147"/>
      <c r="E951" s="147"/>
      <c r="F951" s="147"/>
      <c r="G951" s="147"/>
      <c r="H951" s="147"/>
      <c r="J951" s="147"/>
    </row>
    <row r="952" spans="3:10" ht="16" x14ac:dyDescent="0.2">
      <c r="C952" s="147"/>
      <c r="D952" s="147"/>
      <c r="E952" s="147"/>
      <c r="F952" s="147"/>
      <c r="G952" s="147"/>
      <c r="H952" s="147"/>
      <c r="J952" s="147"/>
    </row>
    <row r="953" spans="3:10" ht="16" x14ac:dyDescent="0.2">
      <c r="C953" s="147"/>
      <c r="D953" s="147"/>
      <c r="E953" s="147"/>
      <c r="F953" s="147"/>
      <c r="G953" s="147"/>
      <c r="H953" s="147"/>
      <c r="J953" s="147"/>
    </row>
    <row r="954" spans="3:10" ht="16" x14ac:dyDescent="0.2">
      <c r="C954" s="147"/>
      <c r="D954" s="147"/>
      <c r="E954" s="147"/>
      <c r="F954" s="147"/>
      <c r="G954" s="147"/>
      <c r="H954" s="147"/>
      <c r="J954" s="147"/>
    </row>
    <row r="955" spans="3:10" ht="16" x14ac:dyDescent="0.2">
      <c r="C955" s="147"/>
      <c r="D955" s="147"/>
      <c r="E955" s="147"/>
      <c r="F955" s="147"/>
      <c r="G955" s="147"/>
      <c r="H955" s="147"/>
      <c r="J955" s="147"/>
    </row>
    <row r="956" spans="3:10" ht="16" x14ac:dyDescent="0.2">
      <c r="C956" s="147"/>
      <c r="D956" s="147"/>
      <c r="E956" s="147"/>
      <c r="F956" s="147"/>
      <c r="G956" s="147"/>
      <c r="H956" s="147"/>
      <c r="J956" s="147"/>
    </row>
    <row r="957" spans="3:10" ht="16" x14ac:dyDescent="0.2">
      <c r="C957" s="147"/>
      <c r="D957" s="147"/>
      <c r="E957" s="147"/>
      <c r="F957" s="147"/>
      <c r="G957" s="147"/>
      <c r="H957" s="147"/>
      <c r="J957" s="147"/>
    </row>
    <row r="958" spans="3:10" ht="16" x14ac:dyDescent="0.2">
      <c r="C958" s="147"/>
      <c r="D958" s="147"/>
      <c r="E958" s="147"/>
      <c r="F958" s="147"/>
      <c r="G958" s="147"/>
      <c r="H958" s="147"/>
      <c r="J958" s="147"/>
    </row>
    <row r="959" spans="3:10" ht="16" x14ac:dyDescent="0.2">
      <c r="C959" s="147"/>
      <c r="D959" s="147"/>
      <c r="E959" s="147"/>
      <c r="F959" s="147"/>
      <c r="G959" s="147"/>
      <c r="H959" s="147"/>
      <c r="J959" s="147"/>
    </row>
    <row r="960" spans="3:10" ht="16" x14ac:dyDescent="0.2">
      <c r="C960" s="147"/>
      <c r="D960" s="147"/>
      <c r="E960" s="147"/>
      <c r="F960" s="147"/>
      <c r="G960" s="147"/>
      <c r="H960" s="147"/>
      <c r="J960" s="147"/>
    </row>
    <row r="961" spans="3:10" ht="16" x14ac:dyDescent="0.2">
      <c r="C961" s="147"/>
      <c r="D961" s="147"/>
      <c r="E961" s="147"/>
      <c r="F961" s="147"/>
      <c r="G961" s="147"/>
      <c r="H961" s="147"/>
      <c r="J961" s="147"/>
    </row>
    <row r="962" spans="3:10" ht="16" x14ac:dyDescent="0.2">
      <c r="C962" s="147"/>
      <c r="D962" s="147"/>
      <c r="E962" s="147"/>
      <c r="F962" s="147"/>
      <c r="G962" s="147"/>
      <c r="H962" s="147"/>
      <c r="J962" s="147"/>
    </row>
    <row r="963" spans="3:10" ht="16" x14ac:dyDescent="0.2">
      <c r="C963" s="147"/>
      <c r="D963" s="147"/>
      <c r="E963" s="147"/>
      <c r="F963" s="147"/>
      <c r="G963" s="147"/>
      <c r="H963" s="147"/>
      <c r="J963" s="147"/>
    </row>
    <row r="964" spans="3:10" ht="16" x14ac:dyDescent="0.2">
      <c r="C964" s="147"/>
      <c r="D964" s="147"/>
      <c r="E964" s="147"/>
      <c r="F964" s="147"/>
      <c r="G964" s="147"/>
      <c r="H964" s="147"/>
      <c r="J964" s="147"/>
    </row>
    <row r="965" spans="3:10" ht="16" x14ac:dyDescent="0.2">
      <c r="C965" s="147"/>
      <c r="D965" s="147"/>
      <c r="E965" s="147"/>
      <c r="F965" s="147"/>
      <c r="G965" s="147"/>
      <c r="H965" s="147"/>
      <c r="J965" s="147"/>
    </row>
    <row r="966" spans="3:10" ht="16" x14ac:dyDescent="0.2">
      <c r="C966" s="147"/>
      <c r="D966" s="147"/>
      <c r="E966" s="147"/>
      <c r="F966" s="147"/>
      <c r="G966" s="147"/>
      <c r="H966" s="147"/>
      <c r="J966" s="147"/>
    </row>
    <row r="967" spans="3:10" ht="16" x14ac:dyDescent="0.2">
      <c r="C967" s="147"/>
      <c r="D967" s="147"/>
      <c r="E967" s="147"/>
      <c r="F967" s="147"/>
      <c r="G967" s="147"/>
      <c r="H967" s="147"/>
      <c r="J967" s="147"/>
    </row>
    <row r="968" spans="3:10" ht="16" x14ac:dyDescent="0.2">
      <c r="C968" s="147"/>
      <c r="D968" s="147"/>
      <c r="E968" s="147"/>
      <c r="F968" s="147"/>
      <c r="G968" s="147"/>
      <c r="H968" s="147"/>
      <c r="J968" s="147"/>
    </row>
    <row r="969" spans="3:10" ht="16" x14ac:dyDescent="0.2">
      <c r="C969" s="147"/>
      <c r="D969" s="147"/>
      <c r="E969" s="147"/>
      <c r="F969" s="147"/>
      <c r="G969" s="147"/>
      <c r="H969" s="147"/>
      <c r="J969" s="147"/>
    </row>
    <row r="970" spans="3:10" ht="16" x14ac:dyDescent="0.2">
      <c r="C970" s="147"/>
      <c r="D970" s="147"/>
      <c r="E970" s="147"/>
      <c r="F970" s="147"/>
      <c r="G970" s="147"/>
      <c r="H970" s="147"/>
      <c r="J970" s="147"/>
    </row>
    <row r="971" spans="3:10" ht="16" x14ac:dyDescent="0.2">
      <c r="C971" s="147"/>
      <c r="D971" s="147"/>
      <c r="E971" s="147"/>
      <c r="F971" s="147"/>
      <c r="G971" s="147"/>
      <c r="H971" s="147"/>
      <c r="J971" s="147"/>
    </row>
    <row r="972" spans="3:10" ht="16" x14ac:dyDescent="0.2">
      <c r="C972" s="147"/>
      <c r="D972" s="147"/>
      <c r="E972" s="147"/>
      <c r="F972" s="147"/>
      <c r="G972" s="147"/>
      <c r="H972" s="147"/>
      <c r="J972" s="147"/>
    </row>
    <row r="973" spans="3:10" ht="16" x14ac:dyDescent="0.2">
      <c r="C973" s="147"/>
      <c r="D973" s="147"/>
      <c r="E973" s="147"/>
      <c r="F973" s="147"/>
      <c r="G973" s="147"/>
      <c r="H973" s="147"/>
      <c r="J973" s="147"/>
    </row>
    <row r="974" spans="3:10" ht="16" x14ac:dyDescent="0.2">
      <c r="C974" s="147"/>
      <c r="D974" s="147"/>
      <c r="E974" s="147"/>
      <c r="F974" s="147"/>
      <c r="G974" s="147"/>
      <c r="H974" s="147"/>
      <c r="J974" s="147"/>
    </row>
    <row r="975" spans="3:10" ht="16" x14ac:dyDescent="0.2">
      <c r="C975" s="147"/>
      <c r="D975" s="147"/>
      <c r="E975" s="147"/>
      <c r="F975" s="147"/>
      <c r="G975" s="147"/>
      <c r="H975" s="147"/>
      <c r="J975" s="147"/>
    </row>
    <row r="976" spans="3:10" ht="16" x14ac:dyDescent="0.2">
      <c r="C976" s="147"/>
      <c r="D976" s="147"/>
      <c r="E976" s="147"/>
      <c r="F976" s="147"/>
      <c r="G976" s="147"/>
      <c r="H976" s="147"/>
      <c r="J976" s="147"/>
    </row>
    <row r="977" spans="3:10" ht="16" x14ac:dyDescent="0.2">
      <c r="C977" s="147"/>
      <c r="D977" s="147"/>
      <c r="E977" s="147"/>
      <c r="F977" s="147"/>
      <c r="G977" s="147"/>
      <c r="H977" s="147"/>
      <c r="J977" s="147"/>
    </row>
    <row r="978" spans="3:10" ht="16" x14ac:dyDescent="0.2">
      <c r="C978" s="147"/>
      <c r="D978" s="147"/>
      <c r="E978" s="147"/>
      <c r="F978" s="147"/>
      <c r="G978" s="147"/>
      <c r="H978" s="147"/>
      <c r="J978" s="147"/>
    </row>
    <row r="979" spans="3:10" ht="16" x14ac:dyDescent="0.2">
      <c r="C979" s="147"/>
      <c r="D979" s="147"/>
      <c r="E979" s="147"/>
      <c r="F979" s="147"/>
      <c r="G979" s="147"/>
      <c r="H979" s="147"/>
      <c r="J979" s="147"/>
    </row>
    <row r="980" spans="3:10" ht="16" x14ac:dyDescent="0.2">
      <c r="C980" s="147"/>
      <c r="D980" s="147"/>
      <c r="E980" s="147"/>
      <c r="F980" s="147"/>
      <c r="G980" s="147"/>
      <c r="H980" s="147"/>
      <c r="J980" s="147"/>
    </row>
    <row r="981" spans="3:10" ht="16" x14ac:dyDescent="0.2">
      <c r="C981" s="147"/>
      <c r="D981" s="147"/>
      <c r="E981" s="147"/>
      <c r="F981" s="147"/>
      <c r="G981" s="147"/>
      <c r="H981" s="147"/>
      <c r="J981" s="147"/>
    </row>
    <row r="982" spans="3:10" ht="16" x14ac:dyDescent="0.2">
      <c r="C982" s="147"/>
      <c r="D982" s="147"/>
      <c r="E982" s="147"/>
      <c r="F982" s="147"/>
      <c r="G982" s="147"/>
      <c r="H982" s="147"/>
      <c r="J982" s="147"/>
    </row>
    <row r="983" spans="3:10" ht="16" x14ac:dyDescent="0.2">
      <c r="C983" s="147"/>
      <c r="D983" s="147"/>
      <c r="E983" s="147"/>
      <c r="F983" s="147"/>
      <c r="G983" s="147"/>
      <c r="H983" s="147"/>
      <c r="J983" s="147"/>
    </row>
    <row r="984" spans="3:10" ht="16" x14ac:dyDescent="0.2">
      <c r="C984" s="147"/>
      <c r="D984" s="147"/>
      <c r="E984" s="147"/>
      <c r="F984" s="147"/>
      <c r="G984" s="147"/>
      <c r="H984" s="147"/>
      <c r="J984" s="147"/>
    </row>
    <row r="985" spans="3:10" ht="16" x14ac:dyDescent="0.2">
      <c r="C985" s="147"/>
      <c r="D985" s="147"/>
      <c r="E985" s="147"/>
      <c r="F985" s="147"/>
      <c r="G985" s="147"/>
      <c r="H985" s="147"/>
      <c r="J985" s="147"/>
    </row>
    <row r="986" spans="3:10" ht="16" x14ac:dyDescent="0.2">
      <c r="C986" s="147"/>
      <c r="D986" s="147"/>
      <c r="E986" s="147"/>
      <c r="F986" s="147"/>
      <c r="G986" s="147"/>
      <c r="H986" s="147"/>
      <c r="J986" s="147"/>
    </row>
    <row r="987" spans="3:10" ht="16" x14ac:dyDescent="0.2">
      <c r="C987" s="147"/>
      <c r="D987" s="147"/>
      <c r="E987" s="147"/>
      <c r="F987" s="147"/>
      <c r="G987" s="147"/>
      <c r="H987" s="147"/>
      <c r="J987" s="147"/>
    </row>
    <row r="988" spans="3:10" ht="16" x14ac:dyDescent="0.2">
      <c r="C988" s="147"/>
      <c r="D988" s="147"/>
      <c r="E988" s="147"/>
      <c r="F988" s="147"/>
      <c r="G988" s="147"/>
      <c r="H988" s="147"/>
      <c r="J988" s="147"/>
    </row>
    <row r="989" spans="3:10" ht="16" x14ac:dyDescent="0.2">
      <c r="C989" s="147"/>
      <c r="D989" s="147"/>
      <c r="E989" s="147"/>
      <c r="F989" s="147"/>
      <c r="G989" s="147"/>
      <c r="H989" s="147"/>
      <c r="J989" s="147"/>
    </row>
    <row r="990" spans="3:10" ht="16" x14ac:dyDescent="0.2">
      <c r="C990" s="147"/>
      <c r="D990" s="147"/>
      <c r="E990" s="147"/>
      <c r="F990" s="147"/>
      <c r="G990" s="147"/>
      <c r="H990" s="147"/>
      <c r="J990" s="147"/>
    </row>
    <row r="991" spans="3:10" ht="16" x14ac:dyDescent="0.2">
      <c r="C991" s="147"/>
      <c r="D991" s="147"/>
      <c r="E991" s="147"/>
      <c r="F991" s="147"/>
      <c r="G991" s="147"/>
      <c r="H991" s="147"/>
      <c r="J991" s="147"/>
    </row>
    <row r="992" spans="3:10" ht="16" x14ac:dyDescent="0.2">
      <c r="C992" s="147"/>
      <c r="D992" s="147"/>
      <c r="E992" s="147"/>
      <c r="F992" s="147"/>
      <c r="G992" s="147"/>
      <c r="H992" s="147"/>
      <c r="J992" s="147"/>
    </row>
    <row r="993" spans="3:10" ht="16" x14ac:dyDescent="0.2">
      <c r="C993" s="147"/>
      <c r="D993" s="147"/>
      <c r="E993" s="147"/>
      <c r="F993" s="147"/>
      <c r="G993" s="147"/>
      <c r="H993" s="147"/>
      <c r="J993" s="147"/>
    </row>
    <row r="994" spans="3:10" ht="16" x14ac:dyDescent="0.2">
      <c r="C994" s="147"/>
      <c r="D994" s="147"/>
      <c r="E994" s="147"/>
      <c r="F994" s="147"/>
      <c r="G994" s="147"/>
      <c r="H994" s="147"/>
      <c r="J994" s="147"/>
    </row>
    <row r="995" spans="3:10" ht="16" x14ac:dyDescent="0.2">
      <c r="C995" s="147"/>
      <c r="D995" s="147"/>
      <c r="E995" s="147"/>
      <c r="F995" s="147"/>
      <c r="G995" s="147"/>
      <c r="H995" s="147"/>
      <c r="J995" s="147"/>
    </row>
    <row r="996" spans="3:10" ht="16" x14ac:dyDescent="0.2">
      <c r="C996" s="147"/>
      <c r="D996" s="147"/>
      <c r="E996" s="147"/>
      <c r="F996" s="147"/>
      <c r="G996" s="147"/>
      <c r="H996" s="147"/>
      <c r="J996" s="147"/>
    </row>
    <row r="997" spans="3:10" ht="16" x14ac:dyDescent="0.2">
      <c r="C997" s="147"/>
      <c r="D997" s="147"/>
      <c r="E997" s="147"/>
      <c r="F997" s="147"/>
      <c r="G997" s="147"/>
      <c r="H997" s="147"/>
      <c r="J997" s="147"/>
    </row>
  </sheetData>
  <mergeCells count="30">
    <mergeCell ref="A3:B3"/>
    <mergeCell ref="A4:B4"/>
    <mergeCell ref="B5:C5"/>
    <mergeCell ref="B6:C6"/>
    <mergeCell ref="A1:H1"/>
    <mergeCell ref="A2:H2"/>
    <mergeCell ref="B21:C21"/>
    <mergeCell ref="B7:C7"/>
    <mergeCell ref="A10:B10"/>
    <mergeCell ref="B11:C11"/>
    <mergeCell ref="B12:C12"/>
    <mergeCell ref="B13:C13"/>
    <mergeCell ref="B14:C14"/>
    <mergeCell ref="B15:C15"/>
    <mergeCell ref="B16:C16"/>
    <mergeCell ref="B17:C17"/>
    <mergeCell ref="B18:C18"/>
    <mergeCell ref="B20:C20"/>
    <mergeCell ref="A43:B43"/>
    <mergeCell ref="A23:B23"/>
    <mergeCell ref="B24:C24"/>
    <mergeCell ref="B25:C25"/>
    <mergeCell ref="B26:C26"/>
    <mergeCell ref="A28:B28"/>
    <mergeCell ref="B29:C29"/>
    <mergeCell ref="B30:C30"/>
    <mergeCell ref="B31:C31"/>
    <mergeCell ref="B32:C32"/>
    <mergeCell ref="B33:C33"/>
    <mergeCell ref="B35:C35"/>
  </mergeCells>
  <conditionalFormatting sqref="N11:N21">
    <cfRule type="iconSet" priority="11">
      <iconSet iconSet="3Arrows">
        <cfvo type="percent" val="0"/>
        <cfvo type="num" val="0" gte="0"/>
        <cfvo type="num" val="0"/>
      </iconSet>
    </cfRule>
  </conditionalFormatting>
  <conditionalFormatting sqref="N24">
    <cfRule type="iconSet" priority="10">
      <iconSet iconSet="3Arrows">
        <cfvo type="percent" val="0"/>
        <cfvo type="num" val="0" gte="0"/>
        <cfvo type="num" val="0"/>
      </iconSet>
    </cfRule>
  </conditionalFormatting>
  <conditionalFormatting sqref="N25">
    <cfRule type="iconSet" priority="9">
      <iconSet iconSet="3Arrows">
        <cfvo type="percent" val="0"/>
        <cfvo type="num" val="0" gte="0"/>
        <cfvo type="num" val="0"/>
      </iconSet>
    </cfRule>
  </conditionalFormatting>
  <conditionalFormatting sqref="N26">
    <cfRule type="iconSet" priority="8">
      <iconSet iconSet="3Arrows">
        <cfvo type="percent" val="0"/>
        <cfvo type="num" val="0" gte="0"/>
        <cfvo type="num" val="0"/>
      </iconSet>
    </cfRule>
  </conditionalFormatting>
  <conditionalFormatting sqref="N29">
    <cfRule type="iconSet" priority="7">
      <iconSet iconSet="3Arrows">
        <cfvo type="percent" val="0"/>
        <cfvo type="num" val="0" gte="0"/>
        <cfvo type="num" val="0"/>
      </iconSet>
    </cfRule>
  </conditionalFormatting>
  <conditionalFormatting sqref="N30">
    <cfRule type="iconSet" priority="6">
      <iconSet iconSet="3Arrows">
        <cfvo type="percent" val="0"/>
        <cfvo type="num" val="0" gte="0"/>
        <cfvo type="num" val="0"/>
      </iconSet>
    </cfRule>
  </conditionalFormatting>
  <conditionalFormatting sqref="N31">
    <cfRule type="iconSet" priority="5">
      <iconSet iconSet="3Arrows">
        <cfvo type="percent" val="0"/>
        <cfvo type="num" val="0" gte="0"/>
        <cfvo type="num" val="0"/>
      </iconSet>
    </cfRule>
  </conditionalFormatting>
  <conditionalFormatting sqref="N32">
    <cfRule type="iconSet" priority="4">
      <iconSet iconSet="3Arrows">
        <cfvo type="percent" val="0"/>
        <cfvo type="num" val="0" gte="0"/>
        <cfvo type="num" val="0"/>
      </iconSet>
    </cfRule>
  </conditionalFormatting>
  <conditionalFormatting sqref="N33">
    <cfRule type="iconSet" priority="3">
      <iconSet iconSet="3Arrows">
        <cfvo type="percent" val="0"/>
        <cfvo type="num" val="0" gte="0"/>
        <cfvo type="num" val="0"/>
      </iconSet>
    </cfRule>
  </conditionalFormatting>
  <conditionalFormatting sqref="N34">
    <cfRule type="iconSet" priority="2">
      <iconSet iconSet="3Arrows">
        <cfvo type="percent" val="0"/>
        <cfvo type="num" val="0" gte="0"/>
        <cfvo type="num" val="0"/>
      </iconSet>
    </cfRule>
  </conditionalFormatting>
  <conditionalFormatting sqref="N35">
    <cfRule type="iconSet" priority="1">
      <iconSet iconSet="3Arrows">
        <cfvo type="percent" val="0"/>
        <cfvo type="num" val="0" gte="0"/>
        <cfvo type="num" val="0"/>
      </iconSet>
    </cfRule>
  </conditionalFormatting>
  <pageMargins left="0.7" right="0.7" top="0.25" bottom="0.2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EB261-8303-44E5-B830-534BFD81F371}">
  <sheetPr>
    <outlinePr summaryBelow="0" summaryRight="0"/>
    <pageSetUpPr fitToPage="1"/>
  </sheetPr>
  <dimension ref="A1:R993"/>
  <sheetViews>
    <sheetView showGridLines="0" tabSelected="1" zoomScaleNormal="100" workbookViewId="0">
      <pane ySplit="3" topLeftCell="A6" activePane="bottomLeft" state="frozen"/>
      <selection pane="bottomLeft" activeCell="J14" sqref="J14"/>
    </sheetView>
  </sheetViews>
  <sheetFormatPr baseColWidth="10" defaultColWidth="11" defaultRowHeight="15.75" customHeight="1" x14ac:dyDescent="0.2"/>
  <cols>
    <col min="1" max="1" width="2.6640625" style="146" customWidth="1"/>
    <col min="2" max="2" width="34.6640625" style="146" customWidth="1"/>
    <col min="3" max="3" width="11.1640625" style="146" customWidth="1"/>
    <col min="4" max="4" width="11.1640625" style="146" hidden="1" customWidth="1"/>
    <col min="5" max="5" width="11.1640625" style="146" customWidth="1"/>
    <col min="6" max="6" width="9" style="146" customWidth="1"/>
    <col min="7" max="7" width="11.1640625" style="146" customWidth="1"/>
    <col min="8" max="8" width="0.83203125" style="146" customWidth="1"/>
    <col min="9" max="9" width="11.1640625" style="146" bestFit="1" customWidth="1"/>
    <col min="10" max="10" width="9.6640625" style="146" bestFit="1" customWidth="1"/>
    <col min="11" max="11" width="0" style="146" hidden="1" customWidth="1"/>
    <col min="12" max="12" width="4.6640625" style="146" bestFit="1" customWidth="1"/>
    <col min="13" max="13" width="11.1640625" style="146" bestFit="1" customWidth="1"/>
    <col min="14" max="14" width="12.83203125" style="146" bestFit="1" customWidth="1"/>
    <col min="15" max="15" width="12.5" style="146" bestFit="1" customWidth="1"/>
    <col min="16" max="17" width="11.1640625" style="146" bestFit="1" customWidth="1"/>
    <col min="18" max="18" width="7.83203125" style="146" bestFit="1" customWidth="1"/>
    <col min="19" max="20" width="11" style="146"/>
    <col min="21" max="21" width="12.6640625" style="146" bestFit="1" customWidth="1"/>
    <col min="22" max="22" width="12.33203125" style="146" bestFit="1" customWidth="1"/>
    <col min="23" max="16384" width="11" style="146"/>
  </cols>
  <sheetData>
    <row r="1" spans="1:18" ht="16" x14ac:dyDescent="0.2">
      <c r="A1" s="251" t="s">
        <v>371</v>
      </c>
      <c r="B1" s="252"/>
      <c r="C1" s="252"/>
      <c r="D1" s="252"/>
      <c r="E1" s="252"/>
      <c r="F1" s="252"/>
      <c r="G1" s="252"/>
      <c r="H1" s="189"/>
      <c r="I1" s="179"/>
      <c r="K1" s="179"/>
    </row>
    <row r="2" spans="1:18" ht="16" x14ac:dyDescent="0.2">
      <c r="A2" s="251" t="s">
        <v>332</v>
      </c>
      <c r="B2" s="252"/>
      <c r="C2" s="252"/>
      <c r="D2" s="252"/>
      <c r="E2" s="252"/>
      <c r="F2" s="252"/>
      <c r="G2" s="252"/>
      <c r="H2" s="189"/>
      <c r="I2" s="179"/>
      <c r="K2" s="179"/>
    </row>
    <row r="3" spans="1:18" ht="30" x14ac:dyDescent="0.2">
      <c r="A3" s="248" t="s">
        <v>333</v>
      </c>
      <c r="B3" s="249"/>
      <c r="C3" s="148" t="s">
        <v>334</v>
      </c>
      <c r="D3" s="148" t="s">
        <v>335</v>
      </c>
      <c r="E3" s="148" t="s">
        <v>376</v>
      </c>
      <c r="F3" s="148" t="s">
        <v>383</v>
      </c>
      <c r="G3" s="180" t="s">
        <v>384</v>
      </c>
      <c r="H3" s="189"/>
      <c r="I3" s="184" t="s">
        <v>379</v>
      </c>
      <c r="K3" s="192" t="s">
        <v>379</v>
      </c>
      <c r="Q3" s="226">
        <v>21000</v>
      </c>
    </row>
    <row r="4" spans="1:18" ht="14" x14ac:dyDescent="0.2">
      <c r="A4" s="250" t="s">
        <v>336</v>
      </c>
      <c r="B4" s="243"/>
      <c r="C4" s="150"/>
      <c r="D4" s="147"/>
      <c r="E4" s="147"/>
      <c r="F4" s="147"/>
      <c r="G4" s="181"/>
      <c r="H4" s="189"/>
      <c r="I4" s="185"/>
      <c r="K4" s="193"/>
      <c r="L4" s="231" t="s">
        <v>142</v>
      </c>
      <c r="M4" s="231" t="s">
        <v>401</v>
      </c>
      <c r="N4" s="231" t="s">
        <v>403</v>
      </c>
      <c r="O4" s="231" t="s">
        <v>402</v>
      </c>
      <c r="P4" s="231" t="s">
        <v>47</v>
      </c>
      <c r="Q4" s="231" t="s">
        <v>404</v>
      </c>
      <c r="R4" s="232" t="s">
        <v>406</v>
      </c>
    </row>
    <row r="5" spans="1:18" ht="14" x14ac:dyDescent="0.2">
      <c r="A5" s="176"/>
      <c r="B5" s="152" t="s">
        <v>337</v>
      </c>
      <c r="C5" s="154">
        <v>80552</v>
      </c>
      <c r="D5" s="154">
        <f>C5/12</f>
        <v>6712.666666666667</v>
      </c>
      <c r="E5" s="154">
        <f>SUM('2024 Actual'!C5:N5)</f>
        <v>83275.199999999997</v>
      </c>
      <c r="F5" s="154">
        <v>0</v>
      </c>
      <c r="G5" s="182">
        <f>E5+F5</f>
        <v>83275.199999999997</v>
      </c>
      <c r="H5" s="189"/>
      <c r="I5" s="186">
        <v>83076.5</v>
      </c>
      <c r="K5" s="227">
        <v>83076.5</v>
      </c>
      <c r="L5" s="151">
        <v>2025</v>
      </c>
      <c r="M5" s="228">
        <v>484</v>
      </c>
      <c r="N5" s="229">
        <f>M5*186</f>
        <v>90024</v>
      </c>
      <c r="O5" s="228">
        <v>87985</v>
      </c>
      <c r="P5" s="229">
        <f>N5-O5</f>
        <v>2039</v>
      </c>
      <c r="Q5" s="229">
        <f>P5+Q3</f>
        <v>23039</v>
      </c>
      <c r="R5" s="230">
        <f>Q5/O5</f>
        <v>0.2618514519520373</v>
      </c>
    </row>
    <row r="6" spans="1:18" ht="14" x14ac:dyDescent="0.2">
      <c r="A6" s="177"/>
      <c r="B6" s="211" t="s">
        <v>167</v>
      </c>
      <c r="C6" s="154">
        <v>300</v>
      </c>
      <c r="D6" s="154">
        <f>C6/12</f>
        <v>25</v>
      </c>
      <c r="E6" s="154">
        <f>SUM('2024 Actual'!C6:N6)</f>
        <v>600</v>
      </c>
      <c r="F6" s="154">
        <v>0</v>
      </c>
      <c r="G6" s="182">
        <f>E6+F6</f>
        <v>600</v>
      </c>
      <c r="H6" s="189"/>
      <c r="I6" s="186">
        <v>0</v>
      </c>
      <c r="K6" s="227">
        <v>0</v>
      </c>
      <c r="L6" s="151">
        <v>2026</v>
      </c>
      <c r="M6" s="228">
        <f>(M5*10%)+M5</f>
        <v>532.4</v>
      </c>
      <c r="N6" s="229">
        <f>M6*186</f>
        <v>99026.4</v>
      </c>
      <c r="O6" s="228">
        <f>(O5*5%)+O5</f>
        <v>92384.25</v>
      </c>
      <c r="P6" s="229">
        <f>N6-O6</f>
        <v>6642.1499999999942</v>
      </c>
      <c r="Q6" s="229">
        <f>Q5+P6</f>
        <v>29681.149999999994</v>
      </c>
      <c r="R6" s="230">
        <f>Q6/O6</f>
        <v>0.32127933062183212</v>
      </c>
    </row>
    <row r="7" spans="1:18" ht="14" x14ac:dyDescent="0.2">
      <c r="A7" s="178"/>
      <c r="B7" s="211" t="s">
        <v>338</v>
      </c>
      <c r="C7" s="154">
        <v>0</v>
      </c>
      <c r="D7" s="154">
        <f>C7/12</f>
        <v>0</v>
      </c>
      <c r="E7" s="154">
        <f>SUM('2024 Actual'!C7:N7)</f>
        <v>122.47</v>
      </c>
      <c r="F7" s="154">
        <v>0</v>
      </c>
      <c r="G7" s="182">
        <f>E7+F7</f>
        <v>122.47</v>
      </c>
      <c r="H7" s="189"/>
      <c r="I7" s="186">
        <v>900</v>
      </c>
      <c r="K7" s="227">
        <v>900</v>
      </c>
      <c r="L7" s="151">
        <v>2027</v>
      </c>
      <c r="M7" s="228">
        <f>(M6*10%)+M6</f>
        <v>585.64</v>
      </c>
      <c r="N7" s="229">
        <f>M7*186</f>
        <v>108929.04</v>
      </c>
      <c r="O7" s="228">
        <f>(O6*5%)+O6</f>
        <v>97003.462499999994</v>
      </c>
      <c r="P7" s="229">
        <f>N7-O7</f>
        <v>11925.577499999999</v>
      </c>
      <c r="Q7" s="229">
        <f>Q6+P7</f>
        <v>41606.727499999994</v>
      </c>
      <c r="R7" s="230">
        <f>Q7/O7</f>
        <v>0.42892002437541854</v>
      </c>
    </row>
    <row r="8" spans="1:18" ht="15" thickBot="1" x14ac:dyDescent="0.25">
      <c r="A8" s="155"/>
      <c r="B8" s="156" t="s">
        <v>339</v>
      </c>
      <c r="C8" s="157">
        <f>SUM(C5:C7)</f>
        <v>80852</v>
      </c>
      <c r="D8" s="157">
        <f>SUM(D5:D7)</f>
        <v>6737.666666666667</v>
      </c>
      <c r="E8" s="157">
        <f>SUM(E5:E7)</f>
        <v>83997.67</v>
      </c>
      <c r="F8" s="157">
        <f>SUM(F5:F7)</f>
        <v>0</v>
      </c>
      <c r="G8" s="157">
        <f>SUM(G5:G7)</f>
        <v>83997.67</v>
      </c>
      <c r="H8" s="189"/>
      <c r="I8" s="157">
        <v>83976.5</v>
      </c>
      <c r="K8" s="157">
        <v>83976.5</v>
      </c>
      <c r="L8" s="151">
        <v>2028</v>
      </c>
      <c r="M8" s="228">
        <f>(M7*10%)+M7</f>
        <v>644.20399999999995</v>
      </c>
      <c r="N8" s="229">
        <f>M8*186</f>
        <v>119821.94399999999</v>
      </c>
      <c r="O8" s="228">
        <f>(O7*5%)+O7</f>
        <v>101853.635625</v>
      </c>
      <c r="P8" s="229">
        <f>N8-O8</f>
        <v>17968.308374999993</v>
      </c>
      <c r="Q8" s="229">
        <f>Q7+P8</f>
        <v>59575.035874999987</v>
      </c>
      <c r="R8" s="230">
        <f>Q8/O8</f>
        <v>0.58490829030728564</v>
      </c>
    </row>
    <row r="9" spans="1:18" ht="15" thickTop="1" x14ac:dyDescent="0.2">
      <c r="A9" s="149" t="s">
        <v>340</v>
      </c>
      <c r="C9" s="150"/>
      <c r="D9" s="150"/>
      <c r="E9" s="150"/>
      <c r="F9" s="150"/>
      <c r="G9" s="183"/>
      <c r="H9" s="189"/>
      <c r="I9" s="187"/>
      <c r="K9" s="196"/>
      <c r="L9" s="151">
        <v>2029</v>
      </c>
      <c r="M9" s="228">
        <f>(M8*10%)+M8</f>
        <v>708.62439999999992</v>
      </c>
      <c r="N9" s="229">
        <f>M9*186</f>
        <v>131804.1384</v>
      </c>
      <c r="O9" s="228">
        <f>(O8*5%)+O8</f>
        <v>106946.31740624999</v>
      </c>
      <c r="P9" s="229">
        <f>N9-O9</f>
        <v>24857.820993750007</v>
      </c>
      <c r="Q9" s="229">
        <f>Q8+P9</f>
        <v>84432.856868749994</v>
      </c>
      <c r="R9" s="230">
        <f>Q9/O9</f>
        <v>0.78948821162322413</v>
      </c>
    </row>
    <row r="10" spans="1:18" ht="14" x14ac:dyDescent="0.2">
      <c r="A10" s="244" t="s">
        <v>341</v>
      </c>
      <c r="B10" s="243"/>
      <c r="C10" s="150"/>
      <c r="D10" s="150"/>
      <c r="E10" s="150"/>
      <c r="F10" s="150"/>
      <c r="G10" s="183"/>
      <c r="H10" s="189"/>
      <c r="I10" s="187"/>
      <c r="K10" s="196"/>
    </row>
    <row r="11" spans="1:18" ht="14" x14ac:dyDescent="0.2">
      <c r="A11" s="176"/>
      <c r="B11" s="152" t="s">
        <v>342</v>
      </c>
      <c r="C11" s="154">
        <v>1451</v>
      </c>
      <c r="D11" s="154" t="e">
        <f>#REF!/12</f>
        <v>#REF!</v>
      </c>
      <c r="E11" s="154">
        <f>SUM('2024 Actual'!C11:N11)</f>
        <v>2487</v>
      </c>
      <c r="F11" s="154">
        <v>0</v>
      </c>
      <c r="G11" s="182">
        <f>E11+F11</f>
        <v>2487</v>
      </c>
      <c r="H11" s="189"/>
      <c r="I11" s="186">
        <v>2195</v>
      </c>
      <c r="J11" s="190">
        <f t="shared" ref="J11:J21" si="0">I11-G11</f>
        <v>-292</v>
      </c>
      <c r="K11" s="194">
        <v>2195</v>
      </c>
      <c r="M11" s="219"/>
      <c r="N11" s="221"/>
      <c r="O11" s="219"/>
      <c r="P11" s="221"/>
      <c r="Q11" s="221"/>
    </row>
    <row r="12" spans="1:18" ht="14" x14ac:dyDescent="0.2">
      <c r="A12" s="177"/>
      <c r="B12" s="152" t="s">
        <v>343</v>
      </c>
      <c r="C12" s="154">
        <v>1169</v>
      </c>
      <c r="D12" s="154">
        <f t="shared" ref="D12:D21" si="1">C12/12</f>
        <v>97.416666666666671</v>
      </c>
      <c r="E12" s="154">
        <f>SUM('2024 Actual'!C12:N12)</f>
        <v>1168.9000000000001</v>
      </c>
      <c r="F12" s="154">
        <v>0</v>
      </c>
      <c r="G12" s="182">
        <f t="shared" ref="G12:G21" si="2">E12+F12</f>
        <v>1168.9000000000001</v>
      </c>
      <c r="H12" s="189"/>
      <c r="I12" s="186">
        <v>976.5</v>
      </c>
      <c r="J12" s="190">
        <f t="shared" si="0"/>
        <v>-192.40000000000009</v>
      </c>
      <c r="K12" s="194">
        <v>976.5</v>
      </c>
      <c r="M12" s="219"/>
      <c r="N12" s="221"/>
      <c r="O12" s="219"/>
      <c r="P12" s="221"/>
      <c r="Q12" s="221"/>
    </row>
    <row r="13" spans="1:18" ht="14" x14ac:dyDescent="0.2">
      <c r="A13" s="177"/>
      <c r="B13" s="152" t="s">
        <v>301</v>
      </c>
      <c r="C13" s="154">
        <v>0</v>
      </c>
      <c r="D13" s="154">
        <f t="shared" si="1"/>
        <v>0</v>
      </c>
      <c r="E13" s="154">
        <f>SUM('2024 Actual'!C13:N13)</f>
        <v>100</v>
      </c>
      <c r="F13" s="154">
        <v>0</v>
      </c>
      <c r="G13" s="182">
        <f t="shared" si="2"/>
        <v>100</v>
      </c>
      <c r="H13" s="189"/>
      <c r="I13" s="186">
        <v>100</v>
      </c>
      <c r="J13" s="190">
        <f t="shared" si="0"/>
        <v>0</v>
      </c>
      <c r="K13" s="194">
        <v>100</v>
      </c>
      <c r="M13" s="219"/>
      <c r="N13" s="221"/>
      <c r="O13" s="219"/>
      <c r="P13" s="221"/>
      <c r="Q13" s="221"/>
    </row>
    <row r="14" spans="1:18" ht="14" x14ac:dyDescent="0.2">
      <c r="A14" s="177"/>
      <c r="B14" s="152" t="s">
        <v>14</v>
      </c>
      <c r="C14" s="154">
        <v>120</v>
      </c>
      <c r="D14" s="154">
        <f t="shared" si="1"/>
        <v>10</v>
      </c>
      <c r="E14" s="154">
        <f>SUM('2024 Actual'!C14:N14)</f>
        <v>60.33</v>
      </c>
      <c r="F14" s="154">
        <v>0</v>
      </c>
      <c r="G14" s="182">
        <f t="shared" si="2"/>
        <v>60.33</v>
      </c>
      <c r="H14" s="189"/>
      <c r="I14" s="186">
        <v>283.93</v>
      </c>
      <c r="J14" s="190">
        <f t="shared" si="0"/>
        <v>223.60000000000002</v>
      </c>
      <c r="K14" s="194">
        <v>283.93</v>
      </c>
      <c r="M14" s="219"/>
      <c r="N14" s="221"/>
      <c r="O14" s="219"/>
      <c r="P14" s="221"/>
      <c r="Q14" s="221"/>
    </row>
    <row r="15" spans="1:18" ht="12.75" customHeight="1" x14ac:dyDescent="0.2">
      <c r="A15" s="177"/>
      <c r="B15" s="211" t="s">
        <v>344</v>
      </c>
      <c r="C15" s="154">
        <v>0</v>
      </c>
      <c r="D15" s="154">
        <f t="shared" si="1"/>
        <v>0</v>
      </c>
      <c r="E15" s="154">
        <f>SUM('2024 Actual'!C15:N15)</f>
        <v>0</v>
      </c>
      <c r="F15" s="154">
        <v>0</v>
      </c>
      <c r="G15" s="182">
        <f t="shared" si="2"/>
        <v>0</v>
      </c>
      <c r="H15" s="189"/>
      <c r="I15" s="186">
        <v>0</v>
      </c>
      <c r="J15" s="190">
        <f t="shared" si="0"/>
        <v>0</v>
      </c>
      <c r="K15" s="194">
        <v>0</v>
      </c>
    </row>
    <row r="16" spans="1:18" ht="14" x14ac:dyDescent="0.2">
      <c r="A16" s="177"/>
      <c r="B16" s="211" t="s">
        <v>287</v>
      </c>
      <c r="C16" s="154">
        <v>210</v>
      </c>
      <c r="D16" s="154">
        <f t="shared" si="1"/>
        <v>17.5</v>
      </c>
      <c r="E16" s="154">
        <f>SUM('2024 Actual'!C16:N16)</f>
        <v>216</v>
      </c>
      <c r="F16" s="154">
        <v>0</v>
      </c>
      <c r="G16" s="182">
        <f t="shared" si="2"/>
        <v>216</v>
      </c>
      <c r="H16" s="189"/>
      <c r="I16" s="186">
        <v>235.2</v>
      </c>
      <c r="J16" s="190">
        <f t="shared" si="0"/>
        <v>19.199999999999989</v>
      </c>
      <c r="K16" s="194">
        <v>235.2</v>
      </c>
    </row>
    <row r="17" spans="1:17" ht="14" x14ac:dyDescent="0.2">
      <c r="A17" s="177"/>
      <c r="B17" s="211" t="s">
        <v>400</v>
      </c>
      <c r="C17" s="154">
        <v>1100</v>
      </c>
      <c r="D17" s="154">
        <f t="shared" si="1"/>
        <v>91.666666666666671</v>
      </c>
      <c r="E17" s="154">
        <f>SUM('2024 Actual'!C17:N17)</f>
        <v>1766.3000000000002</v>
      </c>
      <c r="F17" s="154">
        <v>0</v>
      </c>
      <c r="G17" s="182">
        <f t="shared" si="2"/>
        <v>1766.3000000000002</v>
      </c>
      <c r="H17" s="189"/>
      <c r="I17" s="186">
        <v>214</v>
      </c>
      <c r="J17" s="190">
        <f t="shared" si="0"/>
        <v>-1552.3000000000002</v>
      </c>
      <c r="K17" s="194">
        <v>214</v>
      </c>
    </row>
    <row r="18" spans="1:17" ht="14" x14ac:dyDescent="0.2">
      <c r="A18" s="177"/>
      <c r="B18" s="152" t="s">
        <v>346</v>
      </c>
      <c r="C18" s="154">
        <v>0</v>
      </c>
      <c r="D18" s="154">
        <f t="shared" si="1"/>
        <v>0</v>
      </c>
      <c r="E18" s="154">
        <f>SUM('2024 Actual'!C18:N18)</f>
        <v>0</v>
      </c>
      <c r="F18" s="154">
        <v>0</v>
      </c>
      <c r="G18" s="182">
        <f t="shared" si="2"/>
        <v>0</v>
      </c>
      <c r="H18" s="189"/>
      <c r="I18" s="186">
        <v>0</v>
      </c>
      <c r="J18" s="190">
        <f t="shared" si="0"/>
        <v>0</v>
      </c>
      <c r="K18" s="194">
        <v>0</v>
      </c>
    </row>
    <row r="19" spans="1:17" ht="14" x14ac:dyDescent="0.2">
      <c r="A19" s="177"/>
      <c r="B19" s="152" t="s">
        <v>347</v>
      </c>
      <c r="C19" s="154">
        <v>0</v>
      </c>
      <c r="D19" s="154">
        <f t="shared" si="1"/>
        <v>0</v>
      </c>
      <c r="E19" s="154">
        <f>SUM('2024 Actual'!C19:N19)</f>
        <v>0</v>
      </c>
      <c r="F19" s="154">
        <v>0</v>
      </c>
      <c r="G19" s="182">
        <f t="shared" si="2"/>
        <v>0</v>
      </c>
      <c r="H19" s="189"/>
      <c r="I19" s="186">
        <v>452</v>
      </c>
      <c r="J19" s="190">
        <f t="shared" si="0"/>
        <v>452</v>
      </c>
      <c r="K19" s="194">
        <v>452</v>
      </c>
    </row>
    <row r="20" spans="1:17" ht="14" x14ac:dyDescent="0.2">
      <c r="A20" s="177"/>
      <c r="B20" s="152" t="s">
        <v>348</v>
      </c>
      <c r="C20" s="154">
        <v>360</v>
      </c>
      <c r="D20" s="154">
        <f t="shared" si="1"/>
        <v>30</v>
      </c>
      <c r="E20" s="154">
        <f>SUM('2024 Actual'!C20:N20)</f>
        <v>360</v>
      </c>
      <c r="F20" s="154">
        <v>0</v>
      </c>
      <c r="G20" s="182">
        <f t="shared" si="2"/>
        <v>360</v>
      </c>
      <c r="H20" s="189"/>
      <c r="I20" s="186">
        <v>360</v>
      </c>
      <c r="J20" s="190">
        <f t="shared" si="0"/>
        <v>0</v>
      </c>
      <c r="K20" s="194">
        <v>360</v>
      </c>
    </row>
    <row r="21" spans="1:17" ht="14" x14ac:dyDescent="0.2">
      <c r="A21" s="178"/>
      <c r="B21" s="152" t="s">
        <v>349</v>
      </c>
      <c r="C21" s="154">
        <v>2018</v>
      </c>
      <c r="D21" s="154">
        <f t="shared" si="1"/>
        <v>168.16666666666666</v>
      </c>
      <c r="E21" s="154">
        <f>SUM('2024 Actual'!C21:N21)</f>
        <v>2367.5</v>
      </c>
      <c r="F21" s="154">
        <v>0</v>
      </c>
      <c r="G21" s="182">
        <f t="shared" si="2"/>
        <v>2367.5</v>
      </c>
      <c r="H21" s="189"/>
      <c r="I21" s="186">
        <v>938</v>
      </c>
      <c r="J21" s="190">
        <f t="shared" si="0"/>
        <v>-1429.5</v>
      </c>
      <c r="K21" s="194">
        <v>938</v>
      </c>
    </row>
    <row r="22" spans="1:17" ht="14" x14ac:dyDescent="0.2">
      <c r="A22" s="159"/>
      <c r="B22" s="160" t="s">
        <v>350</v>
      </c>
      <c r="C22" s="161">
        <f>SUM(C11:C21)</f>
        <v>6428</v>
      </c>
      <c r="D22" s="161" t="e">
        <f>SUM(D11:D21)</f>
        <v>#REF!</v>
      </c>
      <c r="E22" s="161">
        <f>SUM(E11:E21)</f>
        <v>8526.0300000000007</v>
      </c>
      <c r="F22" s="161">
        <f>SUM(F11:F21)</f>
        <v>0</v>
      </c>
      <c r="G22" s="161">
        <f>SUM(G11:G21)</f>
        <v>8526.0300000000007</v>
      </c>
      <c r="H22" s="189"/>
      <c r="I22" s="161">
        <f>SUM(I11:I21)</f>
        <v>5754.6299999999992</v>
      </c>
      <c r="K22" s="161">
        <f>SUM(K11:K21)</f>
        <v>5754.6299999999992</v>
      </c>
    </row>
    <row r="23" spans="1:17" ht="14" x14ac:dyDescent="0.2">
      <c r="A23" s="244" t="s">
        <v>351</v>
      </c>
      <c r="B23" s="243"/>
      <c r="C23" s="150"/>
      <c r="D23" s="150"/>
      <c r="E23" s="150"/>
      <c r="F23" s="150"/>
      <c r="G23" s="183"/>
      <c r="H23" s="189"/>
      <c r="I23" s="187"/>
      <c r="K23" s="196"/>
    </row>
    <row r="24" spans="1:17" ht="14" x14ac:dyDescent="0.2">
      <c r="A24" s="151"/>
      <c r="B24" s="152" t="s">
        <v>15</v>
      </c>
      <c r="C24" s="154">
        <v>13366</v>
      </c>
      <c r="D24" s="154">
        <f t="shared" ref="D24:D26" si="3">C24/12</f>
        <v>1113.8333333333333</v>
      </c>
      <c r="E24" s="154">
        <f>SUM('2024 Actual'!C22:N22)</f>
        <v>14411.339999999998</v>
      </c>
      <c r="F24" s="154">
        <v>0</v>
      </c>
      <c r="G24" s="182">
        <f>E24+F24</f>
        <v>14411.339999999998</v>
      </c>
      <c r="H24" s="189"/>
      <c r="I24" s="186">
        <v>12798.720000000001</v>
      </c>
      <c r="J24" s="190">
        <f>I24-G24</f>
        <v>-1612.6199999999972</v>
      </c>
      <c r="K24" s="194">
        <v>12798.720000000001</v>
      </c>
    </row>
    <row r="25" spans="1:17" ht="14" x14ac:dyDescent="0.2">
      <c r="A25" s="151"/>
      <c r="B25" s="211" t="s">
        <v>352</v>
      </c>
      <c r="C25" s="154">
        <v>1288</v>
      </c>
      <c r="D25" s="154">
        <f t="shared" si="3"/>
        <v>107.33333333333333</v>
      </c>
      <c r="E25" s="154">
        <f>SUM('2024 Actual'!C23:N23)</f>
        <v>1366.1200000000003</v>
      </c>
      <c r="F25" s="154">
        <f>SUM('2024 Actual'!N23)</f>
        <v>0</v>
      </c>
      <c r="G25" s="182">
        <f t="shared" ref="G25:G26" si="4">E25+F25</f>
        <v>1366.1200000000003</v>
      </c>
      <c r="H25" s="189"/>
      <c r="I25" s="186">
        <v>1248.83</v>
      </c>
      <c r="J25" s="190">
        <f>I25-G25</f>
        <v>-117.29000000000042</v>
      </c>
      <c r="K25" s="194">
        <v>1248.83</v>
      </c>
    </row>
    <row r="26" spans="1:17" ht="14" x14ac:dyDescent="0.2">
      <c r="A26" s="151"/>
      <c r="B26" s="152" t="s">
        <v>353</v>
      </c>
      <c r="C26" s="154">
        <v>1028</v>
      </c>
      <c r="D26" s="154">
        <f t="shared" si="3"/>
        <v>85.666666666666671</v>
      </c>
      <c r="E26" s="154">
        <f>SUM('2024 Actual'!C24:N24)</f>
        <v>1032.4099999999999</v>
      </c>
      <c r="F26" s="154">
        <v>0</v>
      </c>
      <c r="G26" s="182">
        <f t="shared" si="4"/>
        <v>1032.4099999999999</v>
      </c>
      <c r="H26" s="189"/>
      <c r="I26" s="186">
        <v>1100.7200000000003</v>
      </c>
      <c r="J26" s="190">
        <f>I26-G26</f>
        <v>68.3100000000004</v>
      </c>
      <c r="K26" s="194">
        <v>1100.7200000000003</v>
      </c>
    </row>
    <row r="27" spans="1:17" ht="14" x14ac:dyDescent="0.2">
      <c r="A27" s="159"/>
      <c r="B27" s="160" t="s">
        <v>354</v>
      </c>
      <c r="C27" s="161">
        <f>SUM(C24:C26)</f>
        <v>15682</v>
      </c>
      <c r="D27" s="161">
        <f>SUM(D24:D26)</f>
        <v>1306.8333333333333</v>
      </c>
      <c r="E27" s="161">
        <f>SUM(E24:E26)</f>
        <v>16809.87</v>
      </c>
      <c r="F27" s="161">
        <f>SUM(F24:F26)</f>
        <v>0</v>
      </c>
      <c r="G27" s="161">
        <f>SUM(G24:G26)</f>
        <v>16809.87</v>
      </c>
      <c r="H27" s="189"/>
      <c r="I27" s="161">
        <f>SUM(I24:I26)</f>
        <v>15148.27</v>
      </c>
      <c r="K27" s="161">
        <f>SUM(K24:K26)</f>
        <v>15148.27</v>
      </c>
    </row>
    <row r="28" spans="1:17" ht="14" x14ac:dyDescent="0.2">
      <c r="A28" s="244" t="s">
        <v>355</v>
      </c>
      <c r="B28" s="243"/>
      <c r="C28" s="150"/>
      <c r="D28" s="150"/>
      <c r="E28" s="150"/>
      <c r="F28" s="150"/>
      <c r="G28" s="183"/>
      <c r="H28" s="189"/>
      <c r="I28" s="187"/>
      <c r="K28" s="196"/>
    </row>
    <row r="29" spans="1:17" ht="14" x14ac:dyDescent="0.2">
      <c r="A29" s="176"/>
      <c r="B29" s="152" t="s">
        <v>356</v>
      </c>
      <c r="C29" s="154">
        <v>38500</v>
      </c>
      <c r="D29" s="154">
        <f>C29/12</f>
        <v>3208.3333333333335</v>
      </c>
      <c r="E29" s="154">
        <f>SUM('2024 Actual'!C25:N25)</f>
        <v>41136.799999999996</v>
      </c>
      <c r="F29" s="154">
        <v>0</v>
      </c>
      <c r="G29" s="182">
        <f t="shared" ref="G29:G35" si="5">E29+F29</f>
        <v>41136.799999999996</v>
      </c>
      <c r="H29" s="189"/>
      <c r="I29" s="186">
        <v>38335.369999999995</v>
      </c>
      <c r="J29" s="190">
        <f t="shared" ref="J29:J35" si="6">I29-G29</f>
        <v>-2801.4300000000003</v>
      </c>
      <c r="K29" s="194">
        <v>38335.369999999995</v>
      </c>
      <c r="L29" s="220" t="s">
        <v>142</v>
      </c>
      <c r="M29" s="220" t="s">
        <v>405</v>
      </c>
      <c r="N29" s="220" t="s">
        <v>403</v>
      </c>
      <c r="O29" s="220" t="s">
        <v>402</v>
      </c>
      <c r="P29" s="220" t="s">
        <v>47</v>
      </c>
      <c r="Q29" s="220" t="s">
        <v>404</v>
      </c>
    </row>
    <row r="30" spans="1:17" ht="14" x14ac:dyDescent="0.2">
      <c r="A30" s="177"/>
      <c r="B30" s="152" t="s">
        <v>357</v>
      </c>
      <c r="C30" s="154">
        <v>3000</v>
      </c>
      <c r="D30" s="154">
        <f t="shared" ref="D30:D35" si="7">C30/12</f>
        <v>250</v>
      </c>
      <c r="E30" s="154">
        <f>SUM('2024 Actual'!C26:N26)</f>
        <v>781.13</v>
      </c>
      <c r="F30" s="154">
        <v>0</v>
      </c>
      <c r="G30" s="182">
        <f t="shared" si="5"/>
        <v>781.13</v>
      </c>
      <c r="H30" s="189"/>
      <c r="I30" s="186">
        <v>3441.0699999999997</v>
      </c>
      <c r="J30" s="190">
        <f t="shared" si="6"/>
        <v>2659.9399999999996</v>
      </c>
      <c r="K30" s="194">
        <v>3441.0699999999997</v>
      </c>
      <c r="L30" s="146">
        <v>2025</v>
      </c>
      <c r="M30" s="224">
        <v>440</v>
      </c>
      <c r="N30" s="224">
        <f t="shared" ref="N30:N35" si="8">M30*186</f>
        <v>81840</v>
      </c>
      <c r="O30" s="224">
        <v>87985</v>
      </c>
      <c r="P30" s="225">
        <f t="shared" ref="P30:P35" si="9">N30-O30</f>
        <v>-6145</v>
      </c>
      <c r="Q30" s="225">
        <f>P30</f>
        <v>-6145</v>
      </c>
    </row>
    <row r="31" spans="1:17" ht="14" x14ac:dyDescent="0.2">
      <c r="A31" s="177"/>
      <c r="B31" s="152" t="s">
        <v>358</v>
      </c>
      <c r="C31" s="154">
        <v>17200</v>
      </c>
      <c r="D31" s="154">
        <f t="shared" si="7"/>
        <v>1433.3333333333333</v>
      </c>
      <c r="E31" s="154">
        <f>SUM('2024 Actual'!C27:N27)</f>
        <v>17200</v>
      </c>
      <c r="F31" s="154">
        <v>0</v>
      </c>
      <c r="G31" s="182">
        <f t="shared" si="5"/>
        <v>17200</v>
      </c>
      <c r="H31" s="189"/>
      <c r="I31" s="186">
        <v>17200</v>
      </c>
      <c r="J31" s="190">
        <f t="shared" si="6"/>
        <v>0</v>
      </c>
      <c r="K31" s="194">
        <v>17200</v>
      </c>
      <c r="L31" s="146">
        <v>2026</v>
      </c>
      <c r="M31" s="224">
        <v>440</v>
      </c>
      <c r="N31" s="224">
        <f t="shared" si="8"/>
        <v>81840</v>
      </c>
      <c r="O31" s="224">
        <f>(O30*3%)+O30</f>
        <v>90624.55</v>
      </c>
      <c r="P31" s="225">
        <f t="shared" si="9"/>
        <v>-8784.5500000000029</v>
      </c>
      <c r="Q31" s="225">
        <f>Q30+P31</f>
        <v>-14929.550000000003</v>
      </c>
    </row>
    <row r="32" spans="1:17" ht="14" x14ac:dyDescent="0.2">
      <c r="A32" s="177"/>
      <c r="B32" s="152" t="s">
        <v>359</v>
      </c>
      <c r="C32" s="154">
        <v>64</v>
      </c>
      <c r="D32" s="154">
        <f t="shared" si="7"/>
        <v>5.333333333333333</v>
      </c>
      <c r="E32" s="154">
        <f>SUM('2024 Actual'!C28:N28)</f>
        <v>0</v>
      </c>
      <c r="F32" s="154">
        <v>0</v>
      </c>
      <c r="G32" s="182">
        <f t="shared" si="5"/>
        <v>0</v>
      </c>
      <c r="H32" s="189"/>
      <c r="I32" s="186">
        <v>64.2</v>
      </c>
      <c r="J32" s="190">
        <f t="shared" si="6"/>
        <v>64.2</v>
      </c>
      <c r="K32" s="194">
        <v>64.2</v>
      </c>
      <c r="L32" s="146">
        <v>2027</v>
      </c>
      <c r="M32" s="224">
        <v>440</v>
      </c>
      <c r="N32" s="224">
        <f t="shared" si="8"/>
        <v>81840</v>
      </c>
      <c r="O32" s="224">
        <f>(O31*3%)+O31</f>
        <v>93343.286500000002</v>
      </c>
      <c r="P32" s="225">
        <f t="shared" si="9"/>
        <v>-11503.286500000002</v>
      </c>
      <c r="Q32" s="225">
        <f>Q31+P32</f>
        <v>-26432.836500000005</v>
      </c>
    </row>
    <row r="33" spans="1:17" ht="14" x14ac:dyDescent="0.2">
      <c r="A33" s="177"/>
      <c r="B33" s="152" t="s">
        <v>372</v>
      </c>
      <c r="C33" s="154">
        <f>700+165</f>
        <v>865</v>
      </c>
      <c r="D33" s="154">
        <f t="shared" si="7"/>
        <v>72.083333333333329</v>
      </c>
      <c r="E33" s="154">
        <f>SUM('2024 Actual'!C29:N29)</f>
        <v>988.95999999999992</v>
      </c>
      <c r="F33" s="154">
        <v>0</v>
      </c>
      <c r="G33" s="182">
        <f t="shared" si="5"/>
        <v>988.95999999999992</v>
      </c>
      <c r="H33" s="189"/>
      <c r="I33" s="186">
        <v>805.5</v>
      </c>
      <c r="J33" s="190">
        <f t="shared" si="6"/>
        <v>-183.45999999999992</v>
      </c>
      <c r="K33" s="194">
        <v>805.5</v>
      </c>
      <c r="L33" s="146">
        <v>2028</v>
      </c>
      <c r="M33" s="224">
        <v>440</v>
      </c>
      <c r="N33" s="224">
        <f t="shared" si="8"/>
        <v>81840</v>
      </c>
      <c r="O33" s="224">
        <f>(O32*3%)+O32</f>
        <v>96143.585095000002</v>
      </c>
      <c r="P33" s="225">
        <f t="shared" si="9"/>
        <v>-14303.585095000002</v>
      </c>
      <c r="Q33" s="225">
        <f>Q32+P33</f>
        <v>-40736.421595000007</v>
      </c>
    </row>
    <row r="34" spans="1:17" ht="14" x14ac:dyDescent="0.2">
      <c r="A34" s="177"/>
      <c r="B34" s="211" t="s">
        <v>399</v>
      </c>
      <c r="C34" s="154">
        <v>1500</v>
      </c>
      <c r="D34" s="154">
        <f t="shared" si="7"/>
        <v>125</v>
      </c>
      <c r="E34" s="154">
        <f>SUM('2024 Actual'!C30:N30)</f>
        <v>1750</v>
      </c>
      <c r="F34" s="154">
        <v>0</v>
      </c>
      <c r="G34" s="182">
        <f t="shared" si="5"/>
        <v>1750</v>
      </c>
      <c r="H34" s="189"/>
      <c r="I34" s="186">
        <v>5325.28</v>
      </c>
      <c r="J34" s="190">
        <f t="shared" si="6"/>
        <v>3575.2799999999997</v>
      </c>
      <c r="K34" s="194">
        <v>5325.28</v>
      </c>
      <c r="L34" s="146">
        <v>2029</v>
      </c>
      <c r="M34" s="224">
        <v>440</v>
      </c>
      <c r="N34" s="224">
        <f t="shared" si="8"/>
        <v>81840</v>
      </c>
      <c r="O34" s="224">
        <f>(O33*3%)+O33</f>
        <v>99027.892647850007</v>
      </c>
      <c r="P34" s="225">
        <f t="shared" si="9"/>
        <v>-17187.892647850007</v>
      </c>
      <c r="Q34" s="225">
        <f>Q33+P34</f>
        <v>-57924.314242850014</v>
      </c>
    </row>
    <row r="35" spans="1:17" ht="14" x14ac:dyDescent="0.2">
      <c r="A35" s="178"/>
      <c r="B35" s="211" t="s">
        <v>361</v>
      </c>
      <c r="C35" s="154">
        <v>0</v>
      </c>
      <c r="D35" s="154">
        <f t="shared" si="7"/>
        <v>0</v>
      </c>
      <c r="E35" s="154">
        <f>SUM('2024 Actual'!C31:N31)</f>
        <v>792.14</v>
      </c>
      <c r="F35" s="154">
        <v>0</v>
      </c>
      <c r="G35" s="182">
        <f t="shared" si="5"/>
        <v>792.14</v>
      </c>
      <c r="H35" s="189"/>
      <c r="I35" s="186">
        <v>674.01</v>
      </c>
      <c r="J35" s="190">
        <f t="shared" si="6"/>
        <v>-118.13</v>
      </c>
      <c r="K35" s="194">
        <v>674.01</v>
      </c>
      <c r="L35" s="146">
        <v>2030</v>
      </c>
      <c r="M35" s="224">
        <v>440</v>
      </c>
      <c r="N35" s="224">
        <f t="shared" si="8"/>
        <v>81840</v>
      </c>
      <c r="O35" s="224">
        <f>(O34*3%)+O34</f>
        <v>101998.72942728551</v>
      </c>
      <c r="P35" s="225">
        <f t="shared" si="9"/>
        <v>-20158.729427285507</v>
      </c>
      <c r="Q35" s="225">
        <f>Q34+P35</f>
        <v>-78083.043670135521</v>
      </c>
    </row>
    <row r="36" spans="1:17" ht="14" x14ac:dyDescent="0.2">
      <c r="A36" s="159"/>
      <c r="B36" s="160" t="s">
        <v>362</v>
      </c>
      <c r="C36" s="161">
        <f>SUM(C29:C35)</f>
        <v>61129</v>
      </c>
      <c r="D36" s="161">
        <f>SUM(D29:D35)</f>
        <v>5094.083333333333</v>
      </c>
      <c r="E36" s="161">
        <f>SUM(E29:E35)</f>
        <v>62649.029999999992</v>
      </c>
      <c r="F36" s="161">
        <f>SUM(F29:F35)</f>
        <v>0</v>
      </c>
      <c r="G36" s="161">
        <f>SUM(G29:G35)</f>
        <v>62649.029999999992</v>
      </c>
      <c r="H36" s="189"/>
      <c r="I36" s="161">
        <f>SUM(I29:I35)</f>
        <v>65845.429999999993</v>
      </c>
      <c r="K36" s="161">
        <f>SUM(K29:K35)</f>
        <v>65845.429999999993</v>
      </c>
    </row>
    <row r="37" spans="1:17" ht="14" x14ac:dyDescent="0.2">
      <c r="B37" s="158" t="s">
        <v>363</v>
      </c>
      <c r="C37" s="150">
        <v>-2177</v>
      </c>
      <c r="D37" s="150">
        <v>-60.5</v>
      </c>
      <c r="E37" s="150"/>
      <c r="F37" s="150"/>
      <c r="G37" s="183"/>
      <c r="H37" s="189"/>
      <c r="I37" s="187"/>
      <c r="K37" s="196"/>
    </row>
    <row r="38" spans="1:17" ht="5" customHeight="1" x14ac:dyDescent="0.2">
      <c r="C38" s="150"/>
      <c r="D38" s="150"/>
      <c r="E38" s="150"/>
      <c r="F38" s="150"/>
      <c r="G38" s="183"/>
      <c r="H38" s="189"/>
      <c r="I38" s="187"/>
      <c r="K38" s="196"/>
    </row>
    <row r="39" spans="1:17" ht="15" thickBot="1" x14ac:dyDescent="0.25">
      <c r="A39" s="162"/>
      <c r="B39" s="156" t="s">
        <v>364</v>
      </c>
      <c r="C39" s="157">
        <f>SUM(C22,C27,C36,C37)</f>
        <v>81062</v>
      </c>
      <c r="D39" s="157" t="e">
        <f>SUM(D22,D27,D36,D37)</f>
        <v>#REF!</v>
      </c>
      <c r="E39" s="157">
        <f>SUM(E22,E27,E36,E37)</f>
        <v>87984.93</v>
      </c>
      <c r="F39" s="157">
        <f>SUM(F22,F27,F36,F37)</f>
        <v>0</v>
      </c>
      <c r="G39" s="157">
        <f>SUM(G22,G27,G36,G37)</f>
        <v>87984.93</v>
      </c>
      <c r="H39" s="189"/>
      <c r="I39" s="157">
        <f>I22+I27+I36</f>
        <v>86748.329999999987</v>
      </c>
      <c r="J39" s="222"/>
      <c r="K39" s="157">
        <f>K22+K27+K36</f>
        <v>86748.329999999987</v>
      </c>
    </row>
    <row r="40" spans="1:17" ht="5" customHeight="1" thickTop="1" x14ac:dyDescent="0.2">
      <c r="C40" s="147"/>
      <c r="D40" s="147"/>
      <c r="E40" s="147"/>
      <c r="F40" s="147"/>
      <c r="G40" s="181"/>
      <c r="H40" s="189"/>
      <c r="I40" s="188"/>
      <c r="K40" s="218"/>
    </row>
    <row r="41" spans="1:17" ht="15" thickBot="1" x14ac:dyDescent="0.25">
      <c r="A41" s="163"/>
      <c r="B41" s="164" t="s">
        <v>365</v>
      </c>
      <c r="C41" s="165">
        <f>C8-C39</f>
        <v>-210</v>
      </c>
      <c r="D41" s="165" t="e">
        <f>D8-D39</f>
        <v>#REF!</v>
      </c>
      <c r="E41" s="165">
        <f>E8-E39</f>
        <v>-3987.2599999999948</v>
      </c>
      <c r="F41" s="165">
        <f>F8-F39</f>
        <v>0</v>
      </c>
      <c r="G41" s="165">
        <f>G8-G39</f>
        <v>-3987.2599999999948</v>
      </c>
      <c r="H41" s="189"/>
      <c r="I41" s="165">
        <f>I8-I39</f>
        <v>-2771.8299999999872</v>
      </c>
      <c r="K41" s="165">
        <f>K8-K39</f>
        <v>-2771.8299999999872</v>
      </c>
    </row>
    <row r="42" spans="1:17" ht="5" customHeight="1" thickTop="1" x14ac:dyDescent="0.2">
      <c r="C42" s="147"/>
      <c r="D42" s="147"/>
      <c r="E42" s="147"/>
      <c r="F42" s="147"/>
      <c r="G42" s="147"/>
    </row>
    <row r="43" spans="1:17" ht="14" x14ac:dyDescent="0.2">
      <c r="A43" s="242"/>
      <c r="B43" s="243"/>
      <c r="C43" s="147"/>
      <c r="D43" s="147"/>
      <c r="E43" s="147"/>
      <c r="F43" s="147"/>
      <c r="G43" s="223"/>
      <c r="I43" s="223"/>
    </row>
    <row r="44" spans="1:17" ht="14" x14ac:dyDescent="0.2">
      <c r="C44" s="171"/>
      <c r="D44" s="172"/>
      <c r="E44" s="172"/>
      <c r="F44" s="172"/>
      <c r="G44" s="172"/>
    </row>
    <row r="45" spans="1:17" ht="14" x14ac:dyDescent="0.2">
      <c r="C45" s="147"/>
      <c r="D45" s="172"/>
      <c r="E45" s="172"/>
      <c r="F45" s="172"/>
      <c r="G45" s="172"/>
    </row>
    <row r="46" spans="1:17" ht="14" x14ac:dyDescent="0.2">
      <c r="C46" s="147"/>
      <c r="D46" s="147"/>
      <c r="E46" s="147"/>
      <c r="F46" s="147"/>
      <c r="G46" s="147"/>
    </row>
    <row r="47" spans="1:17" ht="14" x14ac:dyDescent="0.2">
      <c r="C47" s="147"/>
      <c r="D47" s="147"/>
      <c r="E47" s="147"/>
      <c r="F47" s="147"/>
      <c r="G47" s="147"/>
    </row>
    <row r="48" spans="1:17" ht="14" x14ac:dyDescent="0.2">
      <c r="C48" s="147"/>
      <c r="D48" s="147"/>
      <c r="E48" s="147"/>
      <c r="F48" s="147"/>
      <c r="G48" s="147"/>
    </row>
    <row r="49" spans="3:7" ht="14" x14ac:dyDescent="0.2">
      <c r="C49" s="171"/>
      <c r="D49" s="172"/>
      <c r="E49" s="172"/>
      <c r="F49" s="172"/>
      <c r="G49" s="172"/>
    </row>
    <row r="50" spans="3:7" ht="14" x14ac:dyDescent="0.2">
      <c r="C50" s="147"/>
      <c r="D50" s="172"/>
      <c r="E50" s="172"/>
      <c r="F50" s="172"/>
      <c r="G50" s="172"/>
    </row>
    <row r="51" spans="3:7" ht="14" x14ac:dyDescent="0.2">
      <c r="C51" s="147"/>
      <c r="D51" s="147"/>
      <c r="E51" s="147"/>
      <c r="F51" s="147"/>
      <c r="G51" s="147"/>
    </row>
    <row r="52" spans="3:7" ht="14" x14ac:dyDescent="0.2">
      <c r="C52" s="147"/>
      <c r="D52" s="147"/>
      <c r="E52" s="147"/>
      <c r="F52" s="147"/>
      <c r="G52" s="147"/>
    </row>
    <row r="53" spans="3:7" ht="14" x14ac:dyDescent="0.2">
      <c r="C53" s="147"/>
      <c r="D53" s="147"/>
      <c r="E53" s="147"/>
      <c r="F53" s="147"/>
      <c r="G53" s="147"/>
    </row>
    <row r="54" spans="3:7" ht="14" x14ac:dyDescent="0.2">
      <c r="C54" s="147"/>
      <c r="D54" s="147"/>
      <c r="E54" s="147"/>
      <c r="F54" s="147"/>
      <c r="G54" s="147"/>
    </row>
    <row r="55" spans="3:7" ht="14" x14ac:dyDescent="0.2">
      <c r="C55" s="147"/>
      <c r="D55" s="147"/>
      <c r="E55" s="147"/>
      <c r="F55" s="147"/>
      <c r="G55" s="147"/>
    </row>
    <row r="56" spans="3:7" ht="14" x14ac:dyDescent="0.2">
      <c r="C56" s="147"/>
      <c r="D56" s="147"/>
      <c r="E56" s="147"/>
      <c r="F56" s="147"/>
      <c r="G56" s="147"/>
    </row>
    <row r="57" spans="3:7" ht="14" x14ac:dyDescent="0.2">
      <c r="C57" s="147"/>
      <c r="D57" s="147"/>
      <c r="E57" s="147"/>
      <c r="F57" s="147"/>
      <c r="G57" s="147"/>
    </row>
    <row r="58" spans="3:7" ht="14" x14ac:dyDescent="0.2">
      <c r="C58" s="147"/>
      <c r="D58" s="147"/>
      <c r="E58" s="147"/>
      <c r="F58" s="147"/>
      <c r="G58" s="147"/>
    </row>
    <row r="59" spans="3:7" ht="14" x14ac:dyDescent="0.2">
      <c r="C59" s="147"/>
      <c r="D59" s="147"/>
      <c r="E59" s="147"/>
      <c r="F59" s="147"/>
      <c r="G59" s="147"/>
    </row>
    <row r="60" spans="3:7" ht="14" x14ac:dyDescent="0.2">
      <c r="C60" s="147"/>
      <c r="D60" s="147"/>
      <c r="E60" s="147"/>
      <c r="F60" s="147"/>
      <c r="G60" s="147"/>
    </row>
    <row r="61" spans="3:7" ht="14" x14ac:dyDescent="0.2">
      <c r="C61" s="147"/>
      <c r="D61" s="147"/>
      <c r="E61" s="147"/>
      <c r="F61" s="147"/>
      <c r="G61" s="147"/>
    </row>
    <row r="62" spans="3:7" ht="14" x14ac:dyDescent="0.2">
      <c r="C62" s="147"/>
      <c r="D62" s="147"/>
      <c r="E62" s="147"/>
      <c r="F62" s="147"/>
      <c r="G62" s="147"/>
    </row>
    <row r="63" spans="3:7" ht="14" x14ac:dyDescent="0.2">
      <c r="C63" s="147"/>
      <c r="D63" s="147"/>
      <c r="E63" s="147"/>
      <c r="F63" s="147"/>
      <c r="G63" s="147"/>
    </row>
    <row r="64" spans="3:7" ht="14" x14ac:dyDescent="0.2">
      <c r="C64" s="147"/>
      <c r="D64" s="147"/>
      <c r="E64" s="147"/>
      <c r="F64" s="147"/>
      <c r="G64" s="147"/>
    </row>
    <row r="65" spans="3:7" ht="14" x14ac:dyDescent="0.2">
      <c r="C65" s="147"/>
      <c r="D65" s="147"/>
      <c r="E65" s="147"/>
      <c r="F65" s="147"/>
      <c r="G65" s="147"/>
    </row>
    <row r="66" spans="3:7" ht="14" x14ac:dyDescent="0.2">
      <c r="C66" s="147"/>
      <c r="D66" s="147"/>
      <c r="E66" s="147"/>
      <c r="F66" s="147"/>
      <c r="G66" s="147"/>
    </row>
    <row r="67" spans="3:7" ht="14" x14ac:dyDescent="0.2">
      <c r="C67" s="147"/>
      <c r="D67" s="147"/>
      <c r="E67" s="147"/>
      <c r="F67" s="147"/>
      <c r="G67" s="147"/>
    </row>
    <row r="68" spans="3:7" ht="14" x14ac:dyDescent="0.2">
      <c r="C68" s="147"/>
      <c r="D68" s="147"/>
      <c r="E68" s="147"/>
      <c r="F68" s="147"/>
      <c r="G68" s="147"/>
    </row>
    <row r="69" spans="3:7" ht="14" x14ac:dyDescent="0.2">
      <c r="C69" s="147"/>
      <c r="D69" s="147"/>
      <c r="E69" s="147"/>
      <c r="F69" s="147"/>
      <c r="G69" s="147"/>
    </row>
    <row r="70" spans="3:7" ht="14" x14ac:dyDescent="0.2">
      <c r="C70" s="147"/>
      <c r="D70" s="147"/>
      <c r="E70" s="147"/>
      <c r="F70" s="147"/>
      <c r="G70" s="147"/>
    </row>
    <row r="71" spans="3:7" ht="14" x14ac:dyDescent="0.2">
      <c r="C71" s="147"/>
      <c r="D71" s="147"/>
      <c r="E71" s="147"/>
      <c r="F71" s="147"/>
      <c r="G71" s="147"/>
    </row>
    <row r="72" spans="3:7" ht="14" x14ac:dyDescent="0.2">
      <c r="C72" s="147"/>
      <c r="D72" s="147"/>
      <c r="E72" s="147"/>
      <c r="F72" s="147"/>
      <c r="G72" s="147"/>
    </row>
    <row r="73" spans="3:7" ht="14" x14ac:dyDescent="0.2">
      <c r="C73" s="147"/>
      <c r="D73" s="147"/>
      <c r="E73" s="147"/>
      <c r="F73" s="147"/>
      <c r="G73" s="147"/>
    </row>
    <row r="74" spans="3:7" ht="14" x14ac:dyDescent="0.2">
      <c r="C74" s="147"/>
      <c r="D74" s="147"/>
      <c r="E74" s="147"/>
      <c r="F74" s="147"/>
      <c r="G74" s="147"/>
    </row>
    <row r="75" spans="3:7" ht="14" x14ac:dyDescent="0.2">
      <c r="C75" s="147"/>
      <c r="D75" s="147"/>
      <c r="E75" s="147"/>
      <c r="F75" s="147"/>
      <c r="G75" s="147"/>
    </row>
    <row r="76" spans="3:7" ht="14" x14ac:dyDescent="0.2">
      <c r="C76" s="147"/>
      <c r="D76" s="147"/>
      <c r="E76" s="147"/>
      <c r="F76" s="147"/>
      <c r="G76" s="147"/>
    </row>
    <row r="77" spans="3:7" ht="14" x14ac:dyDescent="0.2">
      <c r="C77" s="147"/>
      <c r="D77" s="147"/>
      <c r="E77" s="147"/>
      <c r="F77" s="147"/>
      <c r="G77" s="147"/>
    </row>
    <row r="78" spans="3:7" ht="14" x14ac:dyDescent="0.2">
      <c r="C78" s="147"/>
      <c r="D78" s="147"/>
      <c r="E78" s="147"/>
      <c r="F78" s="147"/>
      <c r="G78" s="147"/>
    </row>
    <row r="79" spans="3:7" ht="14" x14ac:dyDescent="0.2">
      <c r="C79" s="147"/>
      <c r="D79" s="147"/>
      <c r="E79" s="147"/>
      <c r="F79" s="147"/>
      <c r="G79" s="147"/>
    </row>
    <row r="80" spans="3:7" ht="14" x14ac:dyDescent="0.2">
      <c r="C80" s="147"/>
      <c r="D80" s="147"/>
      <c r="E80" s="147"/>
      <c r="F80" s="147"/>
      <c r="G80" s="147"/>
    </row>
    <row r="81" spans="3:7" ht="14" x14ac:dyDescent="0.2">
      <c r="C81" s="147"/>
      <c r="D81" s="147"/>
      <c r="E81" s="147"/>
      <c r="F81" s="147"/>
      <c r="G81" s="147"/>
    </row>
    <row r="82" spans="3:7" ht="14" x14ac:dyDescent="0.2">
      <c r="C82" s="147"/>
      <c r="D82" s="147"/>
      <c r="E82" s="147"/>
      <c r="F82" s="147"/>
      <c r="G82" s="147"/>
    </row>
    <row r="83" spans="3:7" ht="14" x14ac:dyDescent="0.2">
      <c r="C83" s="147"/>
      <c r="D83" s="147"/>
      <c r="E83" s="147"/>
      <c r="F83" s="147"/>
      <c r="G83" s="147"/>
    </row>
    <row r="84" spans="3:7" ht="14" x14ac:dyDescent="0.2">
      <c r="C84" s="147"/>
      <c r="D84" s="147"/>
      <c r="E84" s="147"/>
      <c r="F84" s="147"/>
      <c r="G84" s="147"/>
    </row>
    <row r="85" spans="3:7" ht="14" x14ac:dyDescent="0.2">
      <c r="C85" s="147"/>
      <c r="D85" s="147"/>
      <c r="E85" s="147"/>
      <c r="F85" s="147"/>
      <c r="G85" s="147"/>
    </row>
    <row r="86" spans="3:7" ht="14" x14ac:dyDescent="0.2">
      <c r="C86" s="147"/>
      <c r="D86" s="147"/>
      <c r="E86" s="147"/>
      <c r="F86" s="147"/>
      <c r="G86" s="147"/>
    </row>
    <row r="87" spans="3:7" ht="14" x14ac:dyDescent="0.2">
      <c r="C87" s="147"/>
      <c r="D87" s="147"/>
      <c r="E87" s="147"/>
      <c r="F87" s="147"/>
      <c r="G87" s="147"/>
    </row>
    <row r="88" spans="3:7" ht="14" x14ac:dyDescent="0.2">
      <c r="C88" s="147"/>
      <c r="D88" s="147"/>
      <c r="E88" s="147"/>
      <c r="F88" s="147"/>
      <c r="G88" s="147"/>
    </row>
    <row r="89" spans="3:7" ht="14" x14ac:dyDescent="0.2">
      <c r="C89" s="147"/>
      <c r="D89" s="147"/>
      <c r="E89" s="147"/>
      <c r="F89" s="147"/>
      <c r="G89" s="147"/>
    </row>
    <row r="90" spans="3:7" ht="14" x14ac:dyDescent="0.2">
      <c r="C90" s="147"/>
      <c r="D90" s="147"/>
      <c r="E90" s="147"/>
      <c r="F90" s="147"/>
      <c r="G90" s="147"/>
    </row>
    <row r="91" spans="3:7" ht="14" x14ac:dyDescent="0.2">
      <c r="C91" s="147"/>
      <c r="D91" s="147"/>
      <c r="E91" s="147"/>
      <c r="F91" s="147"/>
      <c r="G91" s="147"/>
    </row>
    <row r="92" spans="3:7" ht="14" x14ac:dyDescent="0.2">
      <c r="C92" s="147"/>
      <c r="D92" s="147"/>
      <c r="E92" s="147"/>
      <c r="F92" s="147"/>
      <c r="G92" s="147"/>
    </row>
    <row r="93" spans="3:7" ht="14" x14ac:dyDescent="0.2">
      <c r="C93" s="147"/>
      <c r="D93" s="147"/>
      <c r="E93" s="147"/>
      <c r="F93" s="147"/>
      <c r="G93" s="147"/>
    </row>
    <row r="94" spans="3:7" ht="14" x14ac:dyDescent="0.2">
      <c r="C94" s="147"/>
      <c r="D94" s="147"/>
      <c r="E94" s="147"/>
      <c r="F94" s="147"/>
      <c r="G94" s="147"/>
    </row>
    <row r="95" spans="3:7" ht="14" x14ac:dyDescent="0.2">
      <c r="C95" s="147"/>
      <c r="D95" s="147"/>
      <c r="E95" s="147"/>
      <c r="F95" s="147"/>
      <c r="G95" s="147"/>
    </row>
    <row r="96" spans="3:7" ht="14" x14ac:dyDescent="0.2">
      <c r="C96" s="147"/>
      <c r="D96" s="147"/>
      <c r="E96" s="147"/>
      <c r="F96" s="147"/>
      <c r="G96" s="147"/>
    </row>
    <row r="97" spans="3:7" ht="14" x14ac:dyDescent="0.2">
      <c r="C97" s="147"/>
      <c r="D97" s="147"/>
      <c r="E97" s="147"/>
      <c r="F97" s="147"/>
      <c r="G97" s="147"/>
    </row>
    <row r="98" spans="3:7" ht="14" x14ac:dyDescent="0.2">
      <c r="C98" s="147"/>
      <c r="D98" s="147"/>
      <c r="E98" s="147"/>
      <c r="F98" s="147"/>
      <c r="G98" s="147"/>
    </row>
    <row r="99" spans="3:7" ht="14" x14ac:dyDescent="0.2">
      <c r="C99" s="147"/>
      <c r="D99" s="147"/>
      <c r="E99" s="147"/>
      <c r="F99" s="147"/>
      <c r="G99" s="147"/>
    </row>
    <row r="100" spans="3:7" ht="14" x14ac:dyDescent="0.2">
      <c r="C100" s="147"/>
      <c r="D100" s="147"/>
      <c r="E100" s="147"/>
      <c r="F100" s="147"/>
      <c r="G100" s="147"/>
    </row>
    <row r="101" spans="3:7" ht="14" x14ac:dyDescent="0.2">
      <c r="C101" s="147"/>
      <c r="D101" s="147"/>
      <c r="E101" s="147"/>
      <c r="F101" s="147"/>
      <c r="G101" s="147"/>
    </row>
    <row r="102" spans="3:7" ht="14" x14ac:dyDescent="0.2">
      <c r="C102" s="147"/>
      <c r="D102" s="147"/>
      <c r="E102" s="147"/>
      <c r="F102" s="147"/>
      <c r="G102" s="147"/>
    </row>
    <row r="103" spans="3:7" ht="14" x14ac:dyDescent="0.2">
      <c r="C103" s="147"/>
      <c r="D103" s="147"/>
      <c r="E103" s="147"/>
      <c r="F103" s="147"/>
      <c r="G103" s="147"/>
    </row>
    <row r="104" spans="3:7" ht="14" x14ac:dyDescent="0.2">
      <c r="C104" s="147"/>
      <c r="D104" s="147"/>
      <c r="E104" s="147"/>
      <c r="F104" s="147"/>
      <c r="G104" s="147"/>
    </row>
    <row r="105" spans="3:7" ht="14" x14ac:dyDescent="0.2">
      <c r="C105" s="147"/>
      <c r="D105" s="147"/>
      <c r="E105" s="147"/>
      <c r="F105" s="147"/>
      <c r="G105" s="147"/>
    </row>
    <row r="106" spans="3:7" ht="14" x14ac:dyDescent="0.2">
      <c r="C106" s="147"/>
      <c r="D106" s="147"/>
      <c r="E106" s="147"/>
      <c r="F106" s="147"/>
      <c r="G106" s="147"/>
    </row>
    <row r="107" spans="3:7" ht="14" x14ac:dyDescent="0.2">
      <c r="C107" s="147"/>
      <c r="D107" s="147"/>
      <c r="E107" s="147"/>
      <c r="F107" s="147"/>
      <c r="G107" s="147"/>
    </row>
    <row r="108" spans="3:7" ht="14" x14ac:dyDescent="0.2">
      <c r="C108" s="147"/>
      <c r="D108" s="147"/>
      <c r="E108" s="147"/>
      <c r="F108" s="147"/>
      <c r="G108" s="147"/>
    </row>
    <row r="109" spans="3:7" ht="14" x14ac:dyDescent="0.2">
      <c r="C109" s="147"/>
      <c r="D109" s="147"/>
      <c r="E109" s="147"/>
      <c r="F109" s="147"/>
      <c r="G109" s="147"/>
    </row>
    <row r="110" spans="3:7" ht="14" x14ac:dyDescent="0.2">
      <c r="C110" s="147"/>
      <c r="D110" s="147"/>
      <c r="E110" s="147"/>
      <c r="F110" s="147"/>
      <c r="G110" s="147"/>
    </row>
    <row r="111" spans="3:7" ht="14" x14ac:dyDescent="0.2">
      <c r="C111" s="147"/>
      <c r="D111" s="147"/>
      <c r="E111" s="147"/>
      <c r="F111" s="147"/>
      <c r="G111" s="147"/>
    </row>
    <row r="112" spans="3:7" ht="14" x14ac:dyDescent="0.2">
      <c r="C112" s="147"/>
      <c r="D112" s="147"/>
      <c r="E112" s="147"/>
      <c r="F112" s="147"/>
      <c r="G112" s="147"/>
    </row>
    <row r="113" spans="3:7" ht="14" x14ac:dyDescent="0.2">
      <c r="C113" s="147"/>
      <c r="D113" s="147"/>
      <c r="E113" s="147"/>
      <c r="F113" s="147"/>
      <c r="G113" s="147"/>
    </row>
    <row r="114" spans="3:7" ht="14" x14ac:dyDescent="0.2">
      <c r="C114" s="147"/>
      <c r="D114" s="147"/>
      <c r="E114" s="147"/>
      <c r="F114" s="147"/>
      <c r="G114" s="147"/>
    </row>
    <row r="115" spans="3:7" ht="14" x14ac:dyDescent="0.2">
      <c r="C115" s="147"/>
      <c r="D115" s="147"/>
      <c r="E115" s="147"/>
      <c r="F115" s="147"/>
      <c r="G115" s="147"/>
    </row>
    <row r="116" spans="3:7" ht="14" x14ac:dyDescent="0.2">
      <c r="C116" s="147"/>
      <c r="D116" s="147"/>
      <c r="E116" s="147"/>
      <c r="F116" s="147"/>
      <c r="G116" s="147"/>
    </row>
    <row r="117" spans="3:7" ht="14" x14ac:dyDescent="0.2">
      <c r="C117" s="147"/>
      <c r="D117" s="147"/>
      <c r="E117" s="147"/>
      <c r="F117" s="147"/>
      <c r="G117" s="147"/>
    </row>
    <row r="118" spans="3:7" ht="14" x14ac:dyDescent="0.2">
      <c r="C118" s="147"/>
      <c r="D118" s="147"/>
      <c r="E118" s="147"/>
      <c r="F118" s="147"/>
      <c r="G118" s="147"/>
    </row>
    <row r="119" spans="3:7" ht="14" x14ac:dyDescent="0.2">
      <c r="C119" s="147"/>
      <c r="D119" s="147"/>
      <c r="E119" s="147"/>
      <c r="F119" s="147"/>
      <c r="G119" s="147"/>
    </row>
    <row r="120" spans="3:7" ht="14" x14ac:dyDescent="0.2">
      <c r="C120" s="147"/>
      <c r="D120" s="147"/>
      <c r="E120" s="147"/>
      <c r="F120" s="147"/>
      <c r="G120" s="147"/>
    </row>
    <row r="121" spans="3:7" ht="14" x14ac:dyDescent="0.2">
      <c r="C121" s="147"/>
      <c r="D121" s="147"/>
      <c r="E121" s="147"/>
      <c r="F121" s="147"/>
      <c r="G121" s="147"/>
    </row>
    <row r="122" spans="3:7" ht="14" x14ac:dyDescent="0.2">
      <c r="C122" s="147"/>
      <c r="D122" s="147"/>
      <c r="E122" s="147"/>
      <c r="F122" s="147"/>
      <c r="G122" s="147"/>
    </row>
    <row r="123" spans="3:7" ht="14" x14ac:dyDescent="0.2">
      <c r="C123" s="147"/>
      <c r="D123" s="147"/>
      <c r="E123" s="147"/>
      <c r="F123" s="147"/>
      <c r="G123" s="147"/>
    </row>
    <row r="124" spans="3:7" ht="14" x14ac:dyDescent="0.2">
      <c r="C124" s="147"/>
      <c r="D124" s="147"/>
      <c r="E124" s="147"/>
      <c r="F124" s="147"/>
      <c r="G124" s="147"/>
    </row>
    <row r="125" spans="3:7" ht="14" x14ac:dyDescent="0.2">
      <c r="C125" s="147"/>
      <c r="D125" s="147"/>
      <c r="E125" s="147"/>
      <c r="F125" s="147"/>
      <c r="G125" s="147"/>
    </row>
    <row r="126" spans="3:7" ht="14" x14ac:dyDescent="0.2">
      <c r="C126" s="147"/>
      <c r="D126" s="147"/>
      <c r="E126" s="147"/>
      <c r="F126" s="147"/>
      <c r="G126" s="147"/>
    </row>
    <row r="127" spans="3:7" ht="14" x14ac:dyDescent="0.2">
      <c r="C127" s="147"/>
      <c r="D127" s="147"/>
      <c r="E127" s="147"/>
      <c r="F127" s="147"/>
      <c r="G127" s="147"/>
    </row>
    <row r="128" spans="3:7" ht="14" x14ac:dyDescent="0.2">
      <c r="C128" s="147"/>
      <c r="D128" s="147"/>
      <c r="E128" s="147"/>
      <c r="F128" s="147"/>
      <c r="G128" s="147"/>
    </row>
    <row r="129" spans="3:7" ht="14" x14ac:dyDescent="0.2">
      <c r="C129" s="147"/>
      <c r="D129" s="147"/>
      <c r="E129" s="147"/>
      <c r="F129" s="147"/>
      <c r="G129" s="147"/>
    </row>
    <row r="130" spans="3:7" ht="14" x14ac:dyDescent="0.2">
      <c r="C130" s="147"/>
      <c r="D130" s="147"/>
      <c r="E130" s="147"/>
      <c r="F130" s="147"/>
      <c r="G130" s="147"/>
    </row>
    <row r="131" spans="3:7" ht="14" x14ac:dyDescent="0.2">
      <c r="C131" s="147"/>
      <c r="D131" s="147"/>
      <c r="E131" s="147"/>
      <c r="F131" s="147"/>
      <c r="G131" s="147"/>
    </row>
    <row r="132" spans="3:7" ht="14" x14ac:dyDescent="0.2">
      <c r="C132" s="147"/>
      <c r="D132" s="147"/>
      <c r="E132" s="147"/>
      <c r="F132" s="147"/>
      <c r="G132" s="147"/>
    </row>
    <row r="133" spans="3:7" ht="14" x14ac:dyDescent="0.2">
      <c r="C133" s="147"/>
      <c r="D133" s="147"/>
      <c r="E133" s="147"/>
      <c r="F133" s="147"/>
      <c r="G133" s="147"/>
    </row>
    <row r="134" spans="3:7" ht="14" x14ac:dyDescent="0.2">
      <c r="C134" s="147"/>
      <c r="D134" s="147"/>
      <c r="E134" s="147"/>
      <c r="F134" s="147"/>
      <c r="G134" s="147"/>
    </row>
    <row r="135" spans="3:7" ht="14" x14ac:dyDescent="0.2">
      <c r="C135" s="147"/>
      <c r="D135" s="147"/>
      <c r="E135" s="147"/>
      <c r="F135" s="147"/>
      <c r="G135" s="147"/>
    </row>
    <row r="136" spans="3:7" ht="14" x14ac:dyDescent="0.2">
      <c r="C136" s="147"/>
      <c r="D136" s="147"/>
      <c r="E136" s="147"/>
      <c r="F136" s="147"/>
      <c r="G136" s="147"/>
    </row>
    <row r="137" spans="3:7" ht="14" x14ac:dyDescent="0.2">
      <c r="C137" s="147"/>
      <c r="D137" s="147"/>
      <c r="E137" s="147"/>
      <c r="F137" s="147"/>
      <c r="G137" s="147"/>
    </row>
    <row r="138" spans="3:7" ht="14" x14ac:dyDescent="0.2">
      <c r="C138" s="147"/>
      <c r="D138" s="147"/>
      <c r="E138" s="147"/>
      <c r="F138" s="147"/>
      <c r="G138" s="147"/>
    </row>
    <row r="139" spans="3:7" ht="14" x14ac:dyDescent="0.2">
      <c r="C139" s="147"/>
      <c r="D139" s="147"/>
      <c r="E139" s="147"/>
      <c r="F139" s="147"/>
      <c r="G139" s="147"/>
    </row>
    <row r="140" spans="3:7" ht="14" x14ac:dyDescent="0.2">
      <c r="C140" s="147"/>
      <c r="D140" s="147"/>
      <c r="E140" s="147"/>
      <c r="F140" s="147"/>
      <c r="G140" s="147"/>
    </row>
    <row r="141" spans="3:7" ht="14" x14ac:dyDescent="0.2">
      <c r="C141" s="147"/>
      <c r="D141" s="147"/>
      <c r="E141" s="147"/>
      <c r="F141" s="147"/>
      <c r="G141" s="147"/>
    </row>
    <row r="142" spans="3:7" ht="14" x14ac:dyDescent="0.2">
      <c r="C142" s="147"/>
      <c r="D142" s="147"/>
      <c r="E142" s="147"/>
      <c r="F142" s="147"/>
      <c r="G142" s="147"/>
    </row>
    <row r="143" spans="3:7" ht="14" x14ac:dyDescent="0.2">
      <c r="C143" s="147"/>
      <c r="D143" s="147"/>
      <c r="E143" s="147"/>
      <c r="F143" s="147"/>
      <c r="G143" s="147"/>
    </row>
    <row r="144" spans="3:7" ht="14" x14ac:dyDescent="0.2">
      <c r="C144" s="147"/>
      <c r="D144" s="147"/>
      <c r="E144" s="147"/>
      <c r="F144" s="147"/>
      <c r="G144" s="147"/>
    </row>
    <row r="145" spans="3:7" ht="14" x14ac:dyDescent="0.2">
      <c r="C145" s="147"/>
      <c r="D145" s="147"/>
      <c r="E145" s="147"/>
      <c r="F145" s="147"/>
      <c r="G145" s="147"/>
    </row>
    <row r="146" spans="3:7" ht="14" x14ac:dyDescent="0.2">
      <c r="C146" s="147"/>
      <c r="D146" s="147"/>
      <c r="E146" s="147"/>
      <c r="F146" s="147"/>
      <c r="G146" s="147"/>
    </row>
    <row r="147" spans="3:7" ht="14" x14ac:dyDescent="0.2">
      <c r="C147" s="147"/>
      <c r="D147" s="147"/>
      <c r="E147" s="147"/>
      <c r="F147" s="147"/>
      <c r="G147" s="147"/>
    </row>
    <row r="148" spans="3:7" ht="14" x14ac:dyDescent="0.2">
      <c r="C148" s="147"/>
      <c r="D148" s="147"/>
      <c r="E148" s="147"/>
      <c r="F148" s="147"/>
      <c r="G148" s="147"/>
    </row>
    <row r="149" spans="3:7" ht="14" x14ac:dyDescent="0.2">
      <c r="C149" s="147"/>
      <c r="D149" s="147"/>
      <c r="E149" s="147"/>
      <c r="F149" s="147"/>
      <c r="G149" s="147"/>
    </row>
    <row r="150" spans="3:7" ht="14" x14ac:dyDescent="0.2">
      <c r="C150" s="147"/>
      <c r="D150" s="147"/>
      <c r="E150" s="147"/>
      <c r="F150" s="147"/>
      <c r="G150" s="147"/>
    </row>
    <row r="151" spans="3:7" ht="14" x14ac:dyDescent="0.2">
      <c r="C151" s="147"/>
      <c r="D151" s="147"/>
      <c r="E151" s="147"/>
      <c r="F151" s="147"/>
      <c r="G151" s="147"/>
    </row>
    <row r="152" spans="3:7" ht="14" x14ac:dyDescent="0.2">
      <c r="C152" s="147"/>
      <c r="D152" s="147"/>
      <c r="E152" s="147"/>
      <c r="F152" s="147"/>
      <c r="G152" s="147"/>
    </row>
    <row r="153" spans="3:7" ht="14" x14ac:dyDescent="0.2">
      <c r="C153" s="147"/>
      <c r="D153" s="147"/>
      <c r="E153" s="147"/>
      <c r="F153" s="147"/>
      <c r="G153" s="147"/>
    </row>
    <row r="154" spans="3:7" ht="14" x14ac:dyDescent="0.2">
      <c r="C154" s="147"/>
      <c r="D154" s="147"/>
      <c r="E154" s="147"/>
      <c r="F154" s="147"/>
      <c r="G154" s="147"/>
    </row>
    <row r="155" spans="3:7" ht="14" x14ac:dyDescent="0.2">
      <c r="C155" s="147"/>
      <c r="D155" s="147"/>
      <c r="E155" s="147"/>
      <c r="F155" s="147"/>
      <c r="G155" s="147"/>
    </row>
    <row r="156" spans="3:7" ht="14" x14ac:dyDescent="0.2">
      <c r="C156" s="147"/>
      <c r="D156" s="147"/>
      <c r="E156" s="147"/>
      <c r="F156" s="147"/>
      <c r="G156" s="147"/>
    </row>
    <row r="157" spans="3:7" ht="14" x14ac:dyDescent="0.2">
      <c r="C157" s="147"/>
      <c r="D157" s="147"/>
      <c r="E157" s="147"/>
      <c r="F157" s="147"/>
      <c r="G157" s="147"/>
    </row>
    <row r="158" spans="3:7" ht="14" x14ac:dyDescent="0.2">
      <c r="C158" s="147"/>
      <c r="D158" s="147"/>
      <c r="E158" s="147"/>
      <c r="F158" s="147"/>
      <c r="G158" s="147"/>
    </row>
    <row r="159" spans="3:7" ht="14" x14ac:dyDescent="0.2">
      <c r="C159" s="147"/>
      <c r="D159" s="147"/>
      <c r="E159" s="147"/>
      <c r="F159" s="147"/>
      <c r="G159" s="147"/>
    </row>
    <row r="160" spans="3:7" ht="14" x14ac:dyDescent="0.2">
      <c r="C160" s="147"/>
      <c r="D160" s="147"/>
      <c r="E160" s="147"/>
      <c r="F160" s="147"/>
      <c r="G160" s="147"/>
    </row>
    <row r="161" spans="3:7" ht="14" x14ac:dyDescent="0.2">
      <c r="C161" s="147"/>
      <c r="D161" s="147"/>
      <c r="E161" s="147"/>
      <c r="F161" s="147"/>
      <c r="G161" s="147"/>
    </row>
    <row r="162" spans="3:7" ht="14" x14ac:dyDescent="0.2">
      <c r="C162" s="147"/>
      <c r="D162" s="147"/>
      <c r="E162" s="147"/>
      <c r="F162" s="147"/>
      <c r="G162" s="147"/>
    </row>
    <row r="163" spans="3:7" ht="14" x14ac:dyDescent="0.2">
      <c r="C163" s="147"/>
      <c r="D163" s="147"/>
      <c r="E163" s="147"/>
      <c r="F163" s="147"/>
      <c r="G163" s="147"/>
    </row>
    <row r="164" spans="3:7" ht="14" x14ac:dyDescent="0.2">
      <c r="C164" s="147"/>
      <c r="D164" s="147"/>
      <c r="E164" s="147"/>
      <c r="F164" s="147"/>
      <c r="G164" s="147"/>
    </row>
    <row r="165" spans="3:7" ht="14" x14ac:dyDescent="0.2">
      <c r="C165" s="147"/>
      <c r="D165" s="147"/>
      <c r="E165" s="147"/>
      <c r="F165" s="147"/>
      <c r="G165" s="147"/>
    </row>
    <row r="166" spans="3:7" ht="14" x14ac:dyDescent="0.2">
      <c r="C166" s="147"/>
      <c r="D166" s="147"/>
      <c r="E166" s="147"/>
      <c r="F166" s="147"/>
      <c r="G166" s="147"/>
    </row>
    <row r="167" spans="3:7" ht="14" x14ac:dyDescent="0.2">
      <c r="C167" s="147"/>
      <c r="D167" s="147"/>
      <c r="E167" s="147"/>
      <c r="F167" s="147"/>
      <c r="G167" s="147"/>
    </row>
    <row r="168" spans="3:7" ht="14" x14ac:dyDescent="0.2">
      <c r="C168" s="147"/>
      <c r="D168" s="147"/>
      <c r="E168" s="147"/>
      <c r="F168" s="147"/>
      <c r="G168" s="147"/>
    </row>
    <row r="169" spans="3:7" ht="14" x14ac:dyDescent="0.2">
      <c r="C169" s="147"/>
      <c r="D169" s="147"/>
      <c r="E169" s="147"/>
      <c r="F169" s="147"/>
      <c r="G169" s="147"/>
    </row>
    <row r="170" spans="3:7" ht="14" x14ac:dyDescent="0.2">
      <c r="C170" s="147"/>
      <c r="D170" s="147"/>
      <c r="E170" s="147"/>
      <c r="F170" s="147"/>
      <c r="G170" s="147"/>
    </row>
    <row r="171" spans="3:7" ht="14" x14ac:dyDescent="0.2">
      <c r="C171" s="147"/>
      <c r="D171" s="147"/>
      <c r="E171" s="147"/>
      <c r="F171" s="147"/>
      <c r="G171" s="147"/>
    </row>
    <row r="172" spans="3:7" ht="14" x14ac:dyDescent="0.2">
      <c r="C172" s="147"/>
      <c r="D172" s="147"/>
      <c r="E172" s="147"/>
      <c r="F172" s="147"/>
      <c r="G172" s="147"/>
    </row>
    <row r="173" spans="3:7" ht="14" x14ac:dyDescent="0.2">
      <c r="C173" s="147"/>
      <c r="D173" s="147"/>
      <c r="E173" s="147"/>
      <c r="F173" s="147"/>
      <c r="G173" s="147"/>
    </row>
    <row r="174" spans="3:7" ht="14" x14ac:dyDescent="0.2">
      <c r="C174" s="147"/>
      <c r="D174" s="147"/>
      <c r="E174" s="147"/>
      <c r="F174" s="147"/>
      <c r="G174" s="147"/>
    </row>
    <row r="175" spans="3:7" ht="14" x14ac:dyDescent="0.2">
      <c r="C175" s="147"/>
      <c r="D175" s="147"/>
      <c r="E175" s="147"/>
      <c r="F175" s="147"/>
      <c r="G175" s="147"/>
    </row>
    <row r="176" spans="3:7" ht="14" x14ac:dyDescent="0.2">
      <c r="C176" s="147"/>
      <c r="D176" s="147"/>
      <c r="E176" s="147"/>
      <c r="F176" s="147"/>
      <c r="G176" s="147"/>
    </row>
    <row r="177" spans="3:7" ht="14" x14ac:dyDescent="0.2">
      <c r="C177" s="147"/>
      <c r="D177" s="147"/>
      <c r="E177" s="147"/>
      <c r="F177" s="147"/>
      <c r="G177" s="147"/>
    </row>
    <row r="178" spans="3:7" ht="14" x14ac:dyDescent="0.2">
      <c r="C178" s="147"/>
      <c r="D178" s="147"/>
      <c r="E178" s="147"/>
      <c r="F178" s="147"/>
      <c r="G178" s="147"/>
    </row>
    <row r="179" spans="3:7" ht="14" x14ac:dyDescent="0.2">
      <c r="C179" s="147"/>
      <c r="D179" s="147"/>
      <c r="E179" s="147"/>
      <c r="F179" s="147"/>
      <c r="G179" s="147"/>
    </row>
    <row r="180" spans="3:7" ht="14" x14ac:dyDescent="0.2">
      <c r="C180" s="147"/>
      <c r="D180" s="147"/>
      <c r="E180" s="147"/>
      <c r="F180" s="147"/>
      <c r="G180" s="147"/>
    </row>
    <row r="181" spans="3:7" ht="14" x14ac:dyDescent="0.2">
      <c r="C181" s="147"/>
      <c r="D181" s="147"/>
      <c r="E181" s="147"/>
      <c r="F181" s="147"/>
      <c r="G181" s="147"/>
    </row>
    <row r="182" spans="3:7" ht="14" x14ac:dyDescent="0.2">
      <c r="C182" s="147"/>
      <c r="D182" s="147"/>
      <c r="E182" s="147"/>
      <c r="F182" s="147"/>
      <c r="G182" s="147"/>
    </row>
    <row r="183" spans="3:7" ht="14" x14ac:dyDescent="0.2">
      <c r="C183" s="147"/>
      <c r="D183" s="147"/>
      <c r="E183" s="147"/>
      <c r="F183" s="147"/>
      <c r="G183" s="147"/>
    </row>
    <row r="184" spans="3:7" ht="14" x14ac:dyDescent="0.2">
      <c r="C184" s="147"/>
      <c r="D184" s="147"/>
      <c r="E184" s="147"/>
      <c r="F184" s="147"/>
      <c r="G184" s="147"/>
    </row>
    <row r="185" spans="3:7" ht="14" x14ac:dyDescent="0.2">
      <c r="C185" s="147"/>
      <c r="D185" s="147"/>
      <c r="E185" s="147"/>
      <c r="F185" s="147"/>
      <c r="G185" s="147"/>
    </row>
    <row r="186" spans="3:7" ht="14" x14ac:dyDescent="0.2">
      <c r="C186" s="147"/>
      <c r="D186" s="147"/>
      <c r="E186" s="147"/>
      <c r="F186" s="147"/>
      <c r="G186" s="147"/>
    </row>
    <row r="187" spans="3:7" ht="14" x14ac:dyDescent="0.2">
      <c r="C187" s="147"/>
      <c r="D187" s="147"/>
      <c r="E187" s="147"/>
      <c r="F187" s="147"/>
      <c r="G187" s="147"/>
    </row>
    <row r="188" spans="3:7" ht="14" x14ac:dyDescent="0.2">
      <c r="C188" s="147"/>
      <c r="D188" s="147"/>
      <c r="E188" s="147"/>
      <c r="F188" s="147"/>
      <c r="G188" s="147"/>
    </row>
    <row r="189" spans="3:7" ht="14" x14ac:dyDescent="0.2">
      <c r="C189" s="147"/>
      <c r="D189" s="147"/>
      <c r="E189" s="147"/>
      <c r="F189" s="147"/>
      <c r="G189" s="147"/>
    </row>
    <row r="190" spans="3:7" ht="14" x14ac:dyDescent="0.2">
      <c r="C190" s="147"/>
      <c r="D190" s="147"/>
      <c r="E190" s="147"/>
      <c r="F190" s="147"/>
      <c r="G190" s="147"/>
    </row>
    <row r="191" spans="3:7" ht="14" x14ac:dyDescent="0.2">
      <c r="C191" s="147"/>
      <c r="D191" s="147"/>
      <c r="E191" s="147"/>
      <c r="F191" s="147"/>
      <c r="G191" s="147"/>
    </row>
    <row r="192" spans="3:7" ht="14" x14ac:dyDescent="0.2">
      <c r="C192" s="147"/>
      <c r="D192" s="147"/>
      <c r="E192" s="147"/>
      <c r="F192" s="147"/>
      <c r="G192" s="147"/>
    </row>
    <row r="193" spans="3:7" ht="14" x14ac:dyDescent="0.2">
      <c r="C193" s="147"/>
      <c r="D193" s="147"/>
      <c r="E193" s="147"/>
      <c r="F193" s="147"/>
      <c r="G193" s="147"/>
    </row>
    <row r="194" spans="3:7" ht="14" x14ac:dyDescent="0.2">
      <c r="C194" s="147"/>
      <c r="D194" s="147"/>
      <c r="E194" s="147"/>
      <c r="F194" s="147"/>
      <c r="G194" s="147"/>
    </row>
    <row r="195" spans="3:7" ht="14" x14ac:dyDescent="0.2">
      <c r="C195" s="147"/>
      <c r="D195" s="147"/>
      <c r="E195" s="147"/>
      <c r="F195" s="147"/>
      <c r="G195" s="147"/>
    </row>
    <row r="196" spans="3:7" ht="14" x14ac:dyDescent="0.2">
      <c r="C196" s="147"/>
      <c r="D196" s="147"/>
      <c r="E196" s="147"/>
      <c r="F196" s="147"/>
      <c r="G196" s="147"/>
    </row>
    <row r="197" spans="3:7" ht="14" x14ac:dyDescent="0.2">
      <c r="C197" s="147"/>
      <c r="D197" s="147"/>
      <c r="E197" s="147"/>
      <c r="F197" s="147"/>
      <c r="G197" s="147"/>
    </row>
    <row r="198" spans="3:7" ht="14" x14ac:dyDescent="0.2">
      <c r="C198" s="147"/>
      <c r="D198" s="147"/>
      <c r="E198" s="147"/>
      <c r="F198" s="147"/>
      <c r="G198" s="147"/>
    </row>
    <row r="199" spans="3:7" ht="14" x14ac:dyDescent="0.2">
      <c r="C199" s="147"/>
      <c r="D199" s="147"/>
      <c r="E199" s="147"/>
      <c r="F199" s="147"/>
      <c r="G199" s="147"/>
    </row>
    <row r="200" spans="3:7" ht="14" x14ac:dyDescent="0.2">
      <c r="C200" s="147"/>
      <c r="D200" s="147"/>
      <c r="E200" s="147"/>
      <c r="F200" s="147"/>
      <c r="G200" s="147"/>
    </row>
    <row r="201" spans="3:7" ht="14" x14ac:dyDescent="0.2">
      <c r="C201" s="147"/>
      <c r="D201" s="147"/>
      <c r="E201" s="147"/>
      <c r="F201" s="147"/>
      <c r="G201" s="147"/>
    </row>
    <row r="202" spans="3:7" ht="14" x14ac:dyDescent="0.2">
      <c r="C202" s="147"/>
      <c r="D202" s="147"/>
      <c r="E202" s="147"/>
      <c r="F202" s="147"/>
      <c r="G202" s="147"/>
    </row>
    <row r="203" spans="3:7" ht="14" x14ac:dyDescent="0.2">
      <c r="C203" s="147"/>
      <c r="D203" s="147"/>
      <c r="E203" s="147"/>
      <c r="F203" s="147"/>
      <c r="G203" s="147"/>
    </row>
    <row r="204" spans="3:7" ht="14" x14ac:dyDescent="0.2">
      <c r="C204" s="147"/>
      <c r="D204" s="147"/>
      <c r="E204" s="147"/>
      <c r="F204" s="147"/>
      <c r="G204" s="147"/>
    </row>
    <row r="205" spans="3:7" ht="14" x14ac:dyDescent="0.2">
      <c r="C205" s="147"/>
      <c r="D205" s="147"/>
      <c r="E205" s="147"/>
      <c r="F205" s="147"/>
      <c r="G205" s="147"/>
    </row>
    <row r="206" spans="3:7" ht="14" x14ac:dyDescent="0.2">
      <c r="C206" s="147"/>
      <c r="D206" s="147"/>
      <c r="E206" s="147"/>
      <c r="F206" s="147"/>
      <c r="G206" s="147"/>
    </row>
    <row r="207" spans="3:7" ht="14" x14ac:dyDescent="0.2">
      <c r="C207" s="147"/>
      <c r="D207" s="147"/>
      <c r="E207" s="147"/>
      <c r="F207" s="147"/>
      <c r="G207" s="147"/>
    </row>
    <row r="208" spans="3:7" ht="14" x14ac:dyDescent="0.2">
      <c r="C208" s="147"/>
      <c r="D208" s="147"/>
      <c r="E208" s="147"/>
      <c r="F208" s="147"/>
      <c r="G208" s="147"/>
    </row>
    <row r="209" spans="3:7" ht="14" x14ac:dyDescent="0.2">
      <c r="C209" s="147"/>
      <c r="D209" s="147"/>
      <c r="E209" s="147"/>
      <c r="F209" s="147"/>
      <c r="G209" s="147"/>
    </row>
    <row r="210" spans="3:7" ht="14" x14ac:dyDescent="0.2">
      <c r="C210" s="147"/>
      <c r="D210" s="147"/>
      <c r="E210" s="147"/>
      <c r="F210" s="147"/>
      <c r="G210" s="147"/>
    </row>
    <row r="211" spans="3:7" ht="14" x14ac:dyDescent="0.2">
      <c r="C211" s="147"/>
      <c r="D211" s="147"/>
      <c r="E211" s="147"/>
      <c r="F211" s="147"/>
      <c r="G211" s="147"/>
    </row>
    <row r="212" spans="3:7" ht="14" x14ac:dyDescent="0.2">
      <c r="C212" s="147"/>
      <c r="D212" s="147"/>
      <c r="E212" s="147"/>
      <c r="F212" s="147"/>
      <c r="G212" s="147"/>
    </row>
    <row r="213" spans="3:7" ht="14" x14ac:dyDescent="0.2">
      <c r="C213" s="147"/>
      <c r="D213" s="147"/>
      <c r="E213" s="147"/>
      <c r="F213" s="147"/>
      <c r="G213" s="147"/>
    </row>
    <row r="214" spans="3:7" ht="14" x14ac:dyDescent="0.2">
      <c r="C214" s="147"/>
      <c r="D214" s="147"/>
      <c r="E214" s="147"/>
      <c r="F214" s="147"/>
      <c r="G214" s="147"/>
    </row>
    <row r="215" spans="3:7" ht="14" x14ac:dyDescent="0.2">
      <c r="C215" s="147"/>
      <c r="D215" s="147"/>
      <c r="E215" s="147"/>
      <c r="F215" s="147"/>
      <c r="G215" s="147"/>
    </row>
    <row r="216" spans="3:7" ht="14" x14ac:dyDescent="0.2">
      <c r="C216" s="147"/>
      <c r="D216" s="147"/>
      <c r="E216" s="147"/>
      <c r="F216" s="147"/>
      <c r="G216" s="147"/>
    </row>
    <row r="217" spans="3:7" ht="14" x14ac:dyDescent="0.2">
      <c r="C217" s="147"/>
      <c r="D217" s="147"/>
      <c r="E217" s="147"/>
      <c r="F217" s="147"/>
      <c r="G217" s="147"/>
    </row>
    <row r="218" spans="3:7" ht="14" x14ac:dyDescent="0.2">
      <c r="C218" s="147"/>
      <c r="D218" s="147"/>
      <c r="E218" s="147"/>
      <c r="F218" s="147"/>
      <c r="G218" s="147"/>
    </row>
    <row r="219" spans="3:7" ht="14" x14ac:dyDescent="0.2">
      <c r="C219" s="147"/>
      <c r="D219" s="147"/>
      <c r="E219" s="147"/>
      <c r="F219" s="147"/>
      <c r="G219" s="147"/>
    </row>
    <row r="220" spans="3:7" ht="14" x14ac:dyDescent="0.2">
      <c r="C220" s="147"/>
      <c r="D220" s="147"/>
      <c r="E220" s="147"/>
      <c r="F220" s="147"/>
      <c r="G220" s="147"/>
    </row>
    <row r="221" spans="3:7" ht="14" x14ac:dyDescent="0.2">
      <c r="C221" s="147"/>
      <c r="D221" s="147"/>
      <c r="E221" s="147"/>
      <c r="F221" s="147"/>
      <c r="G221" s="147"/>
    </row>
    <row r="222" spans="3:7" ht="14" x14ac:dyDescent="0.2">
      <c r="C222" s="147"/>
      <c r="D222" s="147"/>
      <c r="E222" s="147"/>
      <c r="F222" s="147"/>
      <c r="G222" s="147"/>
    </row>
    <row r="223" spans="3:7" ht="14" x14ac:dyDescent="0.2">
      <c r="C223" s="147"/>
      <c r="D223" s="147"/>
      <c r="E223" s="147"/>
      <c r="F223" s="147"/>
      <c r="G223" s="147"/>
    </row>
    <row r="224" spans="3:7" ht="14" x14ac:dyDescent="0.2">
      <c r="C224" s="147"/>
      <c r="D224" s="147"/>
      <c r="E224" s="147"/>
      <c r="F224" s="147"/>
      <c r="G224" s="147"/>
    </row>
    <row r="225" spans="3:7" ht="14" x14ac:dyDescent="0.2">
      <c r="C225" s="147"/>
      <c r="D225" s="147"/>
      <c r="E225" s="147"/>
      <c r="F225" s="147"/>
      <c r="G225" s="147"/>
    </row>
    <row r="226" spans="3:7" ht="14" x14ac:dyDescent="0.2">
      <c r="C226" s="147"/>
      <c r="D226" s="147"/>
      <c r="E226" s="147"/>
      <c r="F226" s="147"/>
      <c r="G226" s="147"/>
    </row>
    <row r="227" spans="3:7" ht="14" x14ac:dyDescent="0.2">
      <c r="C227" s="147"/>
      <c r="D227" s="147"/>
      <c r="E227" s="147"/>
      <c r="F227" s="147"/>
      <c r="G227" s="147"/>
    </row>
    <row r="228" spans="3:7" ht="14" x14ac:dyDescent="0.2">
      <c r="C228" s="147"/>
      <c r="D228" s="147"/>
      <c r="E228" s="147"/>
      <c r="F228" s="147"/>
      <c r="G228" s="147"/>
    </row>
    <row r="229" spans="3:7" ht="14" x14ac:dyDescent="0.2">
      <c r="C229" s="147"/>
      <c r="D229" s="147"/>
      <c r="E229" s="147"/>
      <c r="F229" s="147"/>
      <c r="G229" s="147"/>
    </row>
    <row r="230" spans="3:7" ht="14" x14ac:dyDescent="0.2">
      <c r="C230" s="147"/>
      <c r="D230" s="147"/>
      <c r="E230" s="147"/>
      <c r="F230" s="147"/>
      <c r="G230" s="147"/>
    </row>
    <row r="231" spans="3:7" ht="14" x14ac:dyDescent="0.2">
      <c r="C231" s="147"/>
      <c r="D231" s="147"/>
      <c r="E231" s="147"/>
      <c r="F231" s="147"/>
      <c r="G231" s="147"/>
    </row>
    <row r="232" spans="3:7" ht="14" x14ac:dyDescent="0.2">
      <c r="C232" s="147"/>
      <c r="D232" s="147"/>
      <c r="E232" s="147"/>
      <c r="F232" s="147"/>
      <c r="G232" s="147"/>
    </row>
    <row r="233" spans="3:7" ht="14" x14ac:dyDescent="0.2">
      <c r="C233" s="147"/>
      <c r="D233" s="147"/>
      <c r="E233" s="147"/>
      <c r="F233" s="147"/>
      <c r="G233" s="147"/>
    </row>
    <row r="234" spans="3:7" ht="14" x14ac:dyDescent="0.2">
      <c r="C234" s="147"/>
      <c r="D234" s="147"/>
      <c r="E234" s="147"/>
      <c r="F234" s="147"/>
      <c r="G234" s="147"/>
    </row>
    <row r="235" spans="3:7" ht="14" x14ac:dyDescent="0.2">
      <c r="C235" s="147"/>
      <c r="D235" s="147"/>
      <c r="E235" s="147"/>
      <c r="F235" s="147"/>
      <c r="G235" s="147"/>
    </row>
    <row r="236" spans="3:7" ht="14" x14ac:dyDescent="0.2">
      <c r="C236" s="147"/>
      <c r="D236" s="147"/>
      <c r="E236" s="147"/>
      <c r="F236" s="147"/>
      <c r="G236" s="147"/>
    </row>
    <row r="237" spans="3:7" ht="14" x14ac:dyDescent="0.2">
      <c r="C237" s="147"/>
      <c r="D237" s="147"/>
      <c r="E237" s="147"/>
      <c r="F237" s="147"/>
      <c r="G237" s="147"/>
    </row>
    <row r="238" spans="3:7" ht="14" x14ac:dyDescent="0.2">
      <c r="C238" s="147"/>
      <c r="D238" s="147"/>
      <c r="E238" s="147"/>
      <c r="F238" s="147"/>
      <c r="G238" s="147"/>
    </row>
    <row r="239" spans="3:7" ht="14" x14ac:dyDescent="0.2">
      <c r="C239" s="147"/>
      <c r="D239" s="147"/>
      <c r="E239" s="147"/>
      <c r="F239" s="147"/>
      <c r="G239" s="147"/>
    </row>
    <row r="240" spans="3:7" ht="14" x14ac:dyDescent="0.2">
      <c r="C240" s="147"/>
      <c r="D240" s="147"/>
      <c r="E240" s="147"/>
      <c r="F240" s="147"/>
      <c r="G240" s="147"/>
    </row>
    <row r="241" spans="3:7" ht="14" x14ac:dyDescent="0.2">
      <c r="C241" s="147"/>
      <c r="D241" s="147"/>
      <c r="E241" s="147"/>
      <c r="F241" s="147"/>
      <c r="G241" s="147"/>
    </row>
    <row r="242" spans="3:7" ht="14" x14ac:dyDescent="0.2">
      <c r="C242" s="147"/>
      <c r="D242" s="147"/>
      <c r="E242" s="147"/>
      <c r="F242" s="147"/>
      <c r="G242" s="147"/>
    </row>
    <row r="243" spans="3:7" ht="14" x14ac:dyDescent="0.2">
      <c r="C243" s="147"/>
      <c r="D243" s="147"/>
      <c r="E243" s="147"/>
      <c r="F243" s="147"/>
      <c r="G243" s="147"/>
    </row>
    <row r="244" spans="3:7" ht="14" x14ac:dyDescent="0.2">
      <c r="C244" s="147"/>
      <c r="D244" s="147"/>
      <c r="E244" s="147"/>
      <c r="F244" s="147"/>
      <c r="G244" s="147"/>
    </row>
    <row r="245" spans="3:7" ht="14" x14ac:dyDescent="0.2">
      <c r="C245" s="147"/>
      <c r="D245" s="147"/>
      <c r="E245" s="147"/>
      <c r="F245" s="147"/>
      <c r="G245" s="147"/>
    </row>
    <row r="246" spans="3:7" ht="14" x14ac:dyDescent="0.2">
      <c r="C246" s="147"/>
      <c r="D246" s="147"/>
      <c r="E246" s="147"/>
      <c r="F246" s="147"/>
      <c r="G246" s="147"/>
    </row>
    <row r="247" spans="3:7" ht="14" x14ac:dyDescent="0.2">
      <c r="C247" s="147"/>
      <c r="D247" s="147"/>
      <c r="E247" s="147"/>
      <c r="F247" s="147"/>
      <c r="G247" s="147"/>
    </row>
    <row r="248" spans="3:7" ht="14" x14ac:dyDescent="0.2">
      <c r="C248" s="147"/>
      <c r="D248" s="147"/>
      <c r="E248" s="147"/>
      <c r="F248" s="147"/>
      <c r="G248" s="147"/>
    </row>
    <row r="249" spans="3:7" ht="14" x14ac:dyDescent="0.2">
      <c r="C249" s="147"/>
      <c r="D249" s="147"/>
      <c r="E249" s="147"/>
      <c r="F249" s="147"/>
      <c r="G249" s="147"/>
    </row>
    <row r="250" spans="3:7" ht="14" x14ac:dyDescent="0.2">
      <c r="C250" s="147"/>
      <c r="D250" s="147"/>
      <c r="E250" s="147"/>
      <c r="F250" s="147"/>
      <c r="G250" s="147"/>
    </row>
    <row r="251" spans="3:7" ht="14" x14ac:dyDescent="0.2">
      <c r="C251" s="147"/>
      <c r="D251" s="147"/>
      <c r="E251" s="147"/>
      <c r="F251" s="147"/>
      <c r="G251" s="147"/>
    </row>
    <row r="252" spans="3:7" ht="14" x14ac:dyDescent="0.2">
      <c r="C252" s="147"/>
      <c r="D252" s="147"/>
      <c r="E252" s="147"/>
      <c r="F252" s="147"/>
      <c r="G252" s="147"/>
    </row>
    <row r="253" spans="3:7" ht="14" x14ac:dyDescent="0.2">
      <c r="C253" s="147"/>
      <c r="D253" s="147"/>
      <c r="E253" s="147"/>
      <c r="F253" s="147"/>
      <c r="G253" s="147"/>
    </row>
    <row r="254" spans="3:7" ht="14" x14ac:dyDescent="0.2">
      <c r="C254" s="147"/>
      <c r="D254" s="147"/>
      <c r="E254" s="147"/>
      <c r="F254" s="147"/>
      <c r="G254" s="147"/>
    </row>
    <row r="255" spans="3:7" ht="14" x14ac:dyDescent="0.2">
      <c r="C255" s="147"/>
      <c r="D255" s="147"/>
      <c r="E255" s="147"/>
      <c r="F255" s="147"/>
      <c r="G255" s="147"/>
    </row>
    <row r="256" spans="3:7" ht="14" x14ac:dyDescent="0.2">
      <c r="C256" s="147"/>
      <c r="D256" s="147"/>
      <c r="E256" s="147"/>
      <c r="F256" s="147"/>
      <c r="G256" s="147"/>
    </row>
    <row r="257" spans="3:7" ht="14" x14ac:dyDescent="0.2">
      <c r="C257" s="147"/>
      <c r="D257" s="147"/>
      <c r="E257" s="147"/>
      <c r="F257" s="147"/>
      <c r="G257" s="147"/>
    </row>
    <row r="258" spans="3:7" ht="14" x14ac:dyDescent="0.2">
      <c r="C258" s="147"/>
      <c r="D258" s="147"/>
      <c r="E258" s="147"/>
      <c r="F258" s="147"/>
      <c r="G258" s="147"/>
    </row>
    <row r="259" spans="3:7" ht="14" x14ac:dyDescent="0.2">
      <c r="C259" s="147"/>
      <c r="D259" s="147"/>
      <c r="E259" s="147"/>
      <c r="F259" s="147"/>
      <c r="G259" s="147"/>
    </row>
    <row r="260" spans="3:7" ht="14" x14ac:dyDescent="0.2">
      <c r="C260" s="147"/>
      <c r="D260" s="147"/>
      <c r="E260" s="147"/>
      <c r="F260" s="147"/>
      <c r="G260" s="147"/>
    </row>
    <row r="261" spans="3:7" ht="14" x14ac:dyDescent="0.2">
      <c r="C261" s="147"/>
      <c r="D261" s="147"/>
      <c r="E261" s="147"/>
      <c r="F261" s="147"/>
      <c r="G261" s="147"/>
    </row>
    <row r="262" spans="3:7" ht="14" x14ac:dyDescent="0.2">
      <c r="C262" s="147"/>
      <c r="D262" s="147"/>
      <c r="E262" s="147"/>
      <c r="F262" s="147"/>
      <c r="G262" s="147"/>
    </row>
    <row r="263" spans="3:7" ht="14" x14ac:dyDescent="0.2">
      <c r="C263" s="147"/>
      <c r="D263" s="147"/>
      <c r="E263" s="147"/>
      <c r="F263" s="147"/>
      <c r="G263" s="147"/>
    </row>
    <row r="264" spans="3:7" ht="14" x14ac:dyDescent="0.2">
      <c r="C264" s="147"/>
      <c r="D264" s="147"/>
      <c r="E264" s="147"/>
      <c r="F264" s="147"/>
      <c r="G264" s="147"/>
    </row>
    <row r="265" spans="3:7" ht="14" x14ac:dyDescent="0.2">
      <c r="C265" s="147"/>
      <c r="D265" s="147"/>
      <c r="E265" s="147"/>
      <c r="F265" s="147"/>
      <c r="G265" s="147"/>
    </row>
    <row r="266" spans="3:7" ht="14" x14ac:dyDescent="0.2">
      <c r="C266" s="147"/>
      <c r="D266" s="147"/>
      <c r="E266" s="147"/>
      <c r="F266" s="147"/>
      <c r="G266" s="147"/>
    </row>
    <row r="267" spans="3:7" ht="14" x14ac:dyDescent="0.2">
      <c r="C267" s="147"/>
      <c r="D267" s="147"/>
      <c r="E267" s="147"/>
      <c r="F267" s="147"/>
      <c r="G267" s="147"/>
    </row>
    <row r="268" spans="3:7" ht="14" x14ac:dyDescent="0.2">
      <c r="C268" s="147"/>
      <c r="D268" s="147"/>
      <c r="E268" s="147"/>
      <c r="F268" s="147"/>
      <c r="G268" s="147"/>
    </row>
    <row r="269" spans="3:7" ht="14" x14ac:dyDescent="0.2">
      <c r="C269" s="147"/>
      <c r="D269" s="147"/>
      <c r="E269" s="147"/>
      <c r="F269" s="147"/>
      <c r="G269" s="147"/>
    </row>
    <row r="270" spans="3:7" ht="14" x14ac:dyDescent="0.2">
      <c r="C270" s="147"/>
      <c r="D270" s="147"/>
      <c r="E270" s="147"/>
      <c r="F270" s="147"/>
      <c r="G270" s="147"/>
    </row>
    <row r="271" spans="3:7" ht="14" x14ac:dyDescent="0.2">
      <c r="C271" s="147"/>
      <c r="D271" s="147"/>
      <c r="E271" s="147"/>
      <c r="F271" s="147"/>
      <c r="G271" s="147"/>
    </row>
    <row r="272" spans="3:7" ht="14" x14ac:dyDescent="0.2">
      <c r="C272" s="147"/>
      <c r="D272" s="147"/>
      <c r="E272" s="147"/>
      <c r="F272" s="147"/>
      <c r="G272" s="147"/>
    </row>
    <row r="273" spans="3:7" ht="14" x14ac:dyDescent="0.2">
      <c r="C273" s="147"/>
      <c r="D273" s="147"/>
      <c r="E273" s="147"/>
      <c r="F273" s="147"/>
      <c r="G273" s="147"/>
    </row>
    <row r="274" spans="3:7" ht="14" x14ac:dyDescent="0.2">
      <c r="C274" s="147"/>
      <c r="D274" s="147"/>
      <c r="E274" s="147"/>
      <c r="F274" s="147"/>
      <c r="G274" s="147"/>
    </row>
    <row r="275" spans="3:7" ht="14" x14ac:dyDescent="0.2">
      <c r="C275" s="147"/>
      <c r="D275" s="147"/>
      <c r="E275" s="147"/>
      <c r="F275" s="147"/>
      <c r="G275" s="147"/>
    </row>
    <row r="276" spans="3:7" ht="14" x14ac:dyDescent="0.2">
      <c r="C276" s="147"/>
      <c r="D276" s="147"/>
      <c r="E276" s="147"/>
      <c r="F276" s="147"/>
      <c r="G276" s="147"/>
    </row>
    <row r="277" spans="3:7" ht="14" x14ac:dyDescent="0.2">
      <c r="C277" s="147"/>
      <c r="D277" s="147"/>
      <c r="E277" s="147"/>
      <c r="F277" s="147"/>
      <c r="G277" s="147"/>
    </row>
    <row r="278" spans="3:7" ht="14" x14ac:dyDescent="0.2">
      <c r="C278" s="147"/>
      <c r="D278" s="147"/>
      <c r="E278" s="147"/>
      <c r="F278" s="147"/>
      <c r="G278" s="147"/>
    </row>
    <row r="279" spans="3:7" ht="14" x14ac:dyDescent="0.2">
      <c r="C279" s="147"/>
      <c r="D279" s="147"/>
      <c r="E279" s="147"/>
      <c r="F279" s="147"/>
      <c r="G279" s="147"/>
    </row>
    <row r="280" spans="3:7" ht="14" x14ac:dyDescent="0.2">
      <c r="C280" s="147"/>
      <c r="D280" s="147"/>
      <c r="E280" s="147"/>
      <c r="F280" s="147"/>
      <c r="G280" s="147"/>
    </row>
    <row r="281" spans="3:7" ht="14" x14ac:dyDescent="0.2">
      <c r="C281" s="147"/>
      <c r="D281" s="147"/>
      <c r="E281" s="147"/>
      <c r="F281" s="147"/>
      <c r="G281" s="147"/>
    </row>
    <row r="282" spans="3:7" ht="14" x14ac:dyDescent="0.2">
      <c r="C282" s="147"/>
      <c r="D282" s="147"/>
      <c r="E282" s="147"/>
      <c r="F282" s="147"/>
      <c r="G282" s="147"/>
    </row>
    <row r="283" spans="3:7" ht="14" x14ac:dyDescent="0.2">
      <c r="C283" s="147"/>
      <c r="D283" s="147"/>
      <c r="E283" s="147"/>
      <c r="F283" s="147"/>
      <c r="G283" s="147"/>
    </row>
    <row r="284" spans="3:7" ht="14" x14ac:dyDescent="0.2">
      <c r="C284" s="147"/>
      <c r="D284" s="147"/>
      <c r="E284" s="147"/>
      <c r="F284" s="147"/>
      <c r="G284" s="147"/>
    </row>
    <row r="285" spans="3:7" ht="14" x14ac:dyDescent="0.2">
      <c r="C285" s="147"/>
      <c r="D285" s="147"/>
      <c r="E285" s="147"/>
      <c r="F285" s="147"/>
      <c r="G285" s="147"/>
    </row>
    <row r="286" spans="3:7" ht="14" x14ac:dyDescent="0.2">
      <c r="C286" s="147"/>
      <c r="D286" s="147"/>
      <c r="E286" s="147"/>
      <c r="F286" s="147"/>
      <c r="G286" s="147"/>
    </row>
    <row r="287" spans="3:7" ht="14" x14ac:dyDescent="0.2">
      <c r="C287" s="147"/>
      <c r="D287" s="147"/>
      <c r="E287" s="147"/>
      <c r="F287" s="147"/>
      <c r="G287" s="147"/>
    </row>
    <row r="288" spans="3:7" ht="14" x14ac:dyDescent="0.2">
      <c r="C288" s="147"/>
      <c r="D288" s="147"/>
      <c r="E288" s="147"/>
      <c r="F288" s="147"/>
      <c r="G288" s="147"/>
    </row>
    <row r="289" spans="3:7" ht="14" x14ac:dyDescent="0.2">
      <c r="C289" s="147"/>
      <c r="D289" s="147"/>
      <c r="E289" s="147"/>
      <c r="F289" s="147"/>
      <c r="G289" s="147"/>
    </row>
    <row r="290" spans="3:7" ht="14" x14ac:dyDescent="0.2">
      <c r="C290" s="147"/>
      <c r="D290" s="147"/>
      <c r="E290" s="147"/>
      <c r="F290" s="147"/>
      <c r="G290" s="147"/>
    </row>
    <row r="291" spans="3:7" ht="14" x14ac:dyDescent="0.2">
      <c r="C291" s="147"/>
      <c r="D291" s="147"/>
      <c r="E291" s="147"/>
      <c r="F291" s="147"/>
      <c r="G291" s="147"/>
    </row>
    <row r="292" spans="3:7" ht="14" x14ac:dyDescent="0.2">
      <c r="C292" s="147"/>
      <c r="D292" s="147"/>
      <c r="E292" s="147"/>
      <c r="F292" s="147"/>
      <c r="G292" s="147"/>
    </row>
    <row r="293" spans="3:7" ht="14" x14ac:dyDescent="0.2">
      <c r="C293" s="147"/>
      <c r="D293" s="147"/>
      <c r="E293" s="147"/>
      <c r="F293" s="147"/>
      <c r="G293" s="147"/>
    </row>
    <row r="294" spans="3:7" ht="14" x14ac:dyDescent="0.2">
      <c r="C294" s="147"/>
      <c r="D294" s="147"/>
      <c r="E294" s="147"/>
      <c r="F294" s="147"/>
      <c r="G294" s="147"/>
    </row>
    <row r="295" spans="3:7" ht="14" x14ac:dyDescent="0.2">
      <c r="C295" s="147"/>
      <c r="D295" s="147"/>
      <c r="E295" s="147"/>
      <c r="F295" s="147"/>
      <c r="G295" s="147"/>
    </row>
    <row r="296" spans="3:7" ht="14" x14ac:dyDescent="0.2">
      <c r="C296" s="147"/>
      <c r="D296" s="147"/>
      <c r="E296" s="147"/>
      <c r="F296" s="147"/>
      <c r="G296" s="147"/>
    </row>
    <row r="297" spans="3:7" ht="14" x14ac:dyDescent="0.2">
      <c r="C297" s="147"/>
      <c r="D297" s="147"/>
      <c r="E297" s="147"/>
      <c r="F297" s="147"/>
      <c r="G297" s="147"/>
    </row>
    <row r="298" spans="3:7" ht="14" x14ac:dyDescent="0.2">
      <c r="C298" s="147"/>
      <c r="D298" s="147"/>
      <c r="E298" s="147"/>
      <c r="F298" s="147"/>
      <c r="G298" s="147"/>
    </row>
    <row r="299" spans="3:7" ht="14" x14ac:dyDescent="0.2">
      <c r="C299" s="147"/>
      <c r="D299" s="147"/>
      <c r="E299" s="147"/>
      <c r="F299" s="147"/>
      <c r="G299" s="147"/>
    </row>
    <row r="300" spans="3:7" ht="14" x14ac:dyDescent="0.2">
      <c r="C300" s="147"/>
      <c r="D300" s="147"/>
      <c r="E300" s="147"/>
      <c r="F300" s="147"/>
      <c r="G300" s="147"/>
    </row>
    <row r="301" spans="3:7" ht="14" x14ac:dyDescent="0.2">
      <c r="C301" s="147"/>
      <c r="D301" s="147"/>
      <c r="E301" s="147"/>
      <c r="F301" s="147"/>
      <c r="G301" s="147"/>
    </row>
    <row r="302" spans="3:7" ht="14" x14ac:dyDescent="0.2">
      <c r="C302" s="147"/>
      <c r="D302" s="147"/>
      <c r="E302" s="147"/>
      <c r="F302" s="147"/>
      <c r="G302" s="147"/>
    </row>
    <row r="303" spans="3:7" ht="14" x14ac:dyDescent="0.2">
      <c r="C303" s="147"/>
      <c r="D303" s="147"/>
      <c r="E303" s="147"/>
      <c r="F303" s="147"/>
      <c r="G303" s="147"/>
    </row>
    <row r="304" spans="3:7" ht="14" x14ac:dyDescent="0.2">
      <c r="C304" s="147"/>
      <c r="D304" s="147"/>
      <c r="E304" s="147"/>
      <c r="F304" s="147"/>
      <c r="G304" s="147"/>
    </row>
    <row r="305" spans="3:7" ht="14" x14ac:dyDescent="0.2">
      <c r="C305" s="147"/>
      <c r="D305" s="147"/>
      <c r="E305" s="147"/>
      <c r="F305" s="147"/>
      <c r="G305" s="147"/>
    </row>
    <row r="306" spans="3:7" ht="14" x14ac:dyDescent="0.2">
      <c r="C306" s="147"/>
      <c r="D306" s="147"/>
      <c r="E306" s="147"/>
      <c r="F306" s="147"/>
      <c r="G306" s="147"/>
    </row>
    <row r="307" spans="3:7" ht="14" x14ac:dyDescent="0.2">
      <c r="C307" s="147"/>
      <c r="D307" s="147"/>
      <c r="E307" s="147"/>
      <c r="F307" s="147"/>
      <c r="G307" s="147"/>
    </row>
    <row r="308" spans="3:7" ht="14" x14ac:dyDescent="0.2">
      <c r="C308" s="147"/>
      <c r="D308" s="147"/>
      <c r="E308" s="147"/>
      <c r="F308" s="147"/>
      <c r="G308" s="147"/>
    </row>
    <row r="309" spans="3:7" ht="14" x14ac:dyDescent="0.2">
      <c r="C309" s="147"/>
      <c r="D309" s="147"/>
      <c r="E309" s="147"/>
      <c r="F309" s="147"/>
      <c r="G309" s="147"/>
    </row>
    <row r="310" spans="3:7" ht="14" x14ac:dyDescent="0.2">
      <c r="C310" s="147"/>
      <c r="D310" s="147"/>
      <c r="E310" s="147"/>
      <c r="F310" s="147"/>
      <c r="G310" s="147"/>
    </row>
    <row r="311" spans="3:7" ht="14" x14ac:dyDescent="0.2">
      <c r="C311" s="147"/>
      <c r="D311" s="147"/>
      <c r="E311" s="147"/>
      <c r="F311" s="147"/>
      <c r="G311" s="147"/>
    </row>
    <row r="312" spans="3:7" ht="14" x14ac:dyDescent="0.2">
      <c r="C312" s="147"/>
      <c r="D312" s="147"/>
      <c r="E312" s="147"/>
      <c r="F312" s="147"/>
      <c r="G312" s="147"/>
    </row>
    <row r="313" spans="3:7" ht="14" x14ac:dyDescent="0.2">
      <c r="C313" s="147"/>
      <c r="D313" s="147"/>
      <c r="E313" s="147"/>
      <c r="F313" s="147"/>
      <c r="G313" s="147"/>
    </row>
    <row r="314" spans="3:7" ht="14" x14ac:dyDescent="0.2">
      <c r="C314" s="147"/>
      <c r="D314" s="147"/>
      <c r="E314" s="147"/>
      <c r="F314" s="147"/>
      <c r="G314" s="147"/>
    </row>
    <row r="315" spans="3:7" ht="14" x14ac:dyDescent="0.2">
      <c r="C315" s="147"/>
      <c r="D315" s="147"/>
      <c r="E315" s="147"/>
      <c r="F315" s="147"/>
      <c r="G315" s="147"/>
    </row>
    <row r="316" spans="3:7" ht="14" x14ac:dyDescent="0.2">
      <c r="C316" s="147"/>
      <c r="D316" s="147"/>
      <c r="E316" s="147"/>
      <c r="F316" s="147"/>
      <c r="G316" s="147"/>
    </row>
    <row r="317" spans="3:7" ht="14" x14ac:dyDescent="0.2">
      <c r="C317" s="147"/>
      <c r="D317" s="147"/>
      <c r="E317" s="147"/>
      <c r="F317" s="147"/>
      <c r="G317" s="147"/>
    </row>
    <row r="318" spans="3:7" ht="14" x14ac:dyDescent="0.2">
      <c r="C318" s="147"/>
      <c r="D318" s="147"/>
      <c r="E318" s="147"/>
      <c r="F318" s="147"/>
      <c r="G318" s="147"/>
    </row>
    <row r="319" spans="3:7" ht="14" x14ac:dyDescent="0.2">
      <c r="C319" s="147"/>
      <c r="D319" s="147"/>
      <c r="E319" s="147"/>
      <c r="F319" s="147"/>
      <c r="G319" s="147"/>
    </row>
    <row r="320" spans="3:7" ht="14" x14ac:dyDescent="0.2">
      <c r="C320" s="147"/>
      <c r="D320" s="147"/>
      <c r="E320" s="147"/>
      <c r="F320" s="147"/>
      <c r="G320" s="147"/>
    </row>
    <row r="321" spans="3:7" ht="14" x14ac:dyDescent="0.2">
      <c r="C321" s="147"/>
      <c r="D321" s="147"/>
      <c r="E321" s="147"/>
      <c r="F321" s="147"/>
      <c r="G321" s="147"/>
    </row>
    <row r="322" spans="3:7" ht="14" x14ac:dyDescent="0.2">
      <c r="C322" s="147"/>
      <c r="D322" s="147"/>
      <c r="E322" s="147"/>
      <c r="F322" s="147"/>
      <c r="G322" s="147"/>
    </row>
    <row r="323" spans="3:7" ht="14" x14ac:dyDescent="0.2">
      <c r="C323" s="147"/>
      <c r="D323" s="147"/>
      <c r="E323" s="147"/>
      <c r="F323" s="147"/>
      <c r="G323" s="147"/>
    </row>
    <row r="324" spans="3:7" ht="14" x14ac:dyDescent="0.2">
      <c r="C324" s="147"/>
      <c r="D324" s="147"/>
      <c r="E324" s="147"/>
      <c r="F324" s="147"/>
      <c r="G324" s="147"/>
    </row>
    <row r="325" spans="3:7" ht="14" x14ac:dyDescent="0.2">
      <c r="C325" s="147"/>
      <c r="D325" s="147"/>
      <c r="E325" s="147"/>
      <c r="F325" s="147"/>
      <c r="G325" s="147"/>
    </row>
    <row r="326" spans="3:7" ht="14" x14ac:dyDescent="0.2">
      <c r="C326" s="147"/>
      <c r="D326" s="147"/>
      <c r="E326" s="147"/>
      <c r="F326" s="147"/>
      <c r="G326" s="147"/>
    </row>
    <row r="327" spans="3:7" ht="14" x14ac:dyDescent="0.2">
      <c r="C327" s="147"/>
      <c r="D327" s="147"/>
      <c r="E327" s="147"/>
      <c r="F327" s="147"/>
      <c r="G327" s="147"/>
    </row>
    <row r="328" spans="3:7" ht="14" x14ac:dyDescent="0.2">
      <c r="C328" s="147"/>
      <c r="D328" s="147"/>
      <c r="E328" s="147"/>
      <c r="F328" s="147"/>
      <c r="G328" s="147"/>
    </row>
    <row r="329" spans="3:7" ht="14" x14ac:dyDescent="0.2">
      <c r="C329" s="147"/>
      <c r="D329" s="147"/>
      <c r="E329" s="147"/>
      <c r="F329" s="147"/>
      <c r="G329" s="147"/>
    </row>
    <row r="330" spans="3:7" ht="14" x14ac:dyDescent="0.2">
      <c r="C330" s="147"/>
      <c r="D330" s="147"/>
      <c r="E330" s="147"/>
      <c r="F330" s="147"/>
      <c r="G330" s="147"/>
    </row>
    <row r="331" spans="3:7" ht="14" x14ac:dyDescent="0.2">
      <c r="C331" s="147"/>
      <c r="D331" s="147"/>
      <c r="E331" s="147"/>
      <c r="F331" s="147"/>
      <c r="G331" s="147"/>
    </row>
    <row r="332" spans="3:7" ht="14" x14ac:dyDescent="0.2">
      <c r="C332" s="147"/>
      <c r="D332" s="147"/>
      <c r="E332" s="147"/>
      <c r="F332" s="147"/>
      <c r="G332" s="147"/>
    </row>
    <row r="333" spans="3:7" ht="14" x14ac:dyDescent="0.2">
      <c r="C333" s="147"/>
      <c r="D333" s="147"/>
      <c r="E333" s="147"/>
      <c r="F333" s="147"/>
      <c r="G333" s="147"/>
    </row>
    <row r="334" spans="3:7" ht="14" x14ac:dyDescent="0.2">
      <c r="C334" s="147"/>
      <c r="D334" s="147"/>
      <c r="E334" s="147"/>
      <c r="F334" s="147"/>
      <c r="G334" s="147"/>
    </row>
    <row r="335" spans="3:7" ht="14" x14ac:dyDescent="0.2">
      <c r="C335" s="147"/>
      <c r="D335" s="147"/>
      <c r="E335" s="147"/>
      <c r="F335" s="147"/>
      <c r="G335" s="147"/>
    </row>
    <row r="336" spans="3:7" ht="14" x14ac:dyDescent="0.2">
      <c r="C336" s="147"/>
      <c r="D336" s="147"/>
      <c r="E336" s="147"/>
      <c r="F336" s="147"/>
      <c r="G336" s="147"/>
    </row>
    <row r="337" spans="3:7" ht="14" x14ac:dyDescent="0.2">
      <c r="C337" s="147"/>
      <c r="D337" s="147"/>
      <c r="E337" s="147"/>
      <c r="F337" s="147"/>
      <c r="G337" s="147"/>
    </row>
    <row r="338" spans="3:7" ht="14" x14ac:dyDescent="0.2">
      <c r="C338" s="147"/>
      <c r="D338" s="147"/>
      <c r="E338" s="147"/>
      <c r="F338" s="147"/>
      <c r="G338" s="147"/>
    </row>
    <row r="339" spans="3:7" ht="14" x14ac:dyDescent="0.2">
      <c r="C339" s="147"/>
      <c r="D339" s="147"/>
      <c r="E339" s="147"/>
      <c r="F339" s="147"/>
      <c r="G339" s="147"/>
    </row>
    <row r="340" spans="3:7" ht="14" x14ac:dyDescent="0.2">
      <c r="C340" s="147"/>
      <c r="D340" s="147"/>
      <c r="E340" s="147"/>
      <c r="F340" s="147"/>
      <c r="G340" s="147"/>
    </row>
    <row r="341" spans="3:7" ht="14" x14ac:dyDescent="0.2">
      <c r="C341" s="147"/>
      <c r="D341" s="147"/>
      <c r="E341" s="147"/>
      <c r="F341" s="147"/>
      <c r="G341" s="147"/>
    </row>
    <row r="342" spans="3:7" ht="14" x14ac:dyDescent="0.2">
      <c r="C342" s="147"/>
      <c r="D342" s="147"/>
      <c r="E342" s="147"/>
      <c r="F342" s="147"/>
      <c r="G342" s="147"/>
    </row>
    <row r="343" spans="3:7" ht="14" x14ac:dyDescent="0.2">
      <c r="C343" s="147"/>
      <c r="D343" s="147"/>
      <c r="E343" s="147"/>
      <c r="F343" s="147"/>
      <c r="G343" s="147"/>
    </row>
    <row r="344" spans="3:7" ht="14" x14ac:dyDescent="0.2">
      <c r="C344" s="147"/>
      <c r="D344" s="147"/>
      <c r="E344" s="147"/>
      <c r="F344" s="147"/>
      <c r="G344" s="147"/>
    </row>
    <row r="345" spans="3:7" ht="14" x14ac:dyDescent="0.2">
      <c r="C345" s="147"/>
      <c r="D345" s="147"/>
      <c r="E345" s="147"/>
      <c r="F345" s="147"/>
      <c r="G345" s="147"/>
    </row>
    <row r="346" spans="3:7" ht="14" x14ac:dyDescent="0.2">
      <c r="C346" s="147"/>
      <c r="D346" s="147"/>
      <c r="E346" s="147"/>
      <c r="F346" s="147"/>
      <c r="G346" s="147"/>
    </row>
    <row r="347" spans="3:7" ht="14" x14ac:dyDescent="0.2">
      <c r="C347" s="147"/>
      <c r="D347" s="147"/>
      <c r="E347" s="147"/>
      <c r="F347" s="147"/>
      <c r="G347" s="147"/>
    </row>
    <row r="348" spans="3:7" ht="14" x14ac:dyDescent="0.2">
      <c r="C348" s="147"/>
      <c r="D348" s="147"/>
      <c r="E348" s="147"/>
      <c r="F348" s="147"/>
      <c r="G348" s="147"/>
    </row>
    <row r="349" spans="3:7" ht="14" x14ac:dyDescent="0.2">
      <c r="C349" s="147"/>
      <c r="D349" s="147"/>
      <c r="E349" s="147"/>
      <c r="F349" s="147"/>
      <c r="G349" s="147"/>
    </row>
    <row r="350" spans="3:7" ht="14" x14ac:dyDescent="0.2">
      <c r="C350" s="147"/>
      <c r="D350" s="147"/>
      <c r="E350" s="147"/>
      <c r="F350" s="147"/>
      <c r="G350" s="147"/>
    </row>
    <row r="351" spans="3:7" ht="14" x14ac:dyDescent="0.2">
      <c r="C351" s="147"/>
      <c r="D351" s="147"/>
      <c r="E351" s="147"/>
      <c r="F351" s="147"/>
      <c r="G351" s="147"/>
    </row>
    <row r="352" spans="3:7" ht="14" x14ac:dyDescent="0.2">
      <c r="C352" s="147"/>
      <c r="D352" s="147"/>
      <c r="E352" s="147"/>
      <c r="F352" s="147"/>
      <c r="G352" s="147"/>
    </row>
    <row r="353" spans="3:7" ht="14" x14ac:dyDescent="0.2">
      <c r="C353" s="147"/>
      <c r="D353" s="147"/>
      <c r="E353" s="147"/>
      <c r="F353" s="147"/>
      <c r="G353" s="147"/>
    </row>
    <row r="354" spans="3:7" ht="14" x14ac:dyDescent="0.2">
      <c r="C354" s="147"/>
      <c r="D354" s="147"/>
      <c r="E354" s="147"/>
      <c r="F354" s="147"/>
      <c r="G354" s="147"/>
    </row>
    <row r="355" spans="3:7" ht="14" x14ac:dyDescent="0.2">
      <c r="C355" s="147"/>
      <c r="D355" s="147"/>
      <c r="E355" s="147"/>
      <c r="F355" s="147"/>
      <c r="G355" s="147"/>
    </row>
    <row r="356" spans="3:7" ht="14" x14ac:dyDescent="0.2">
      <c r="C356" s="147"/>
      <c r="D356" s="147"/>
      <c r="E356" s="147"/>
      <c r="F356" s="147"/>
      <c r="G356" s="147"/>
    </row>
    <row r="357" spans="3:7" ht="14" x14ac:dyDescent="0.2">
      <c r="C357" s="147"/>
      <c r="D357" s="147"/>
      <c r="E357" s="147"/>
      <c r="F357" s="147"/>
      <c r="G357" s="147"/>
    </row>
    <row r="358" spans="3:7" ht="14" x14ac:dyDescent="0.2">
      <c r="C358" s="147"/>
      <c r="D358" s="147"/>
      <c r="E358" s="147"/>
      <c r="F358" s="147"/>
      <c r="G358" s="147"/>
    </row>
    <row r="359" spans="3:7" ht="14" x14ac:dyDescent="0.2">
      <c r="C359" s="147"/>
      <c r="D359" s="147"/>
      <c r="E359" s="147"/>
      <c r="F359" s="147"/>
      <c r="G359" s="147"/>
    </row>
    <row r="360" spans="3:7" ht="14" x14ac:dyDescent="0.2">
      <c r="C360" s="147"/>
      <c r="D360" s="147"/>
      <c r="E360" s="147"/>
      <c r="F360" s="147"/>
      <c r="G360" s="147"/>
    </row>
    <row r="361" spans="3:7" ht="14" x14ac:dyDescent="0.2">
      <c r="C361" s="147"/>
      <c r="D361" s="147"/>
      <c r="E361" s="147"/>
      <c r="F361" s="147"/>
      <c r="G361" s="147"/>
    </row>
    <row r="362" spans="3:7" ht="14" x14ac:dyDescent="0.2">
      <c r="C362" s="147"/>
      <c r="D362" s="147"/>
      <c r="E362" s="147"/>
      <c r="F362" s="147"/>
      <c r="G362" s="147"/>
    </row>
    <row r="363" spans="3:7" ht="14" x14ac:dyDescent="0.2">
      <c r="C363" s="147"/>
      <c r="D363" s="147"/>
      <c r="E363" s="147"/>
      <c r="F363" s="147"/>
      <c r="G363" s="147"/>
    </row>
    <row r="364" spans="3:7" ht="14" x14ac:dyDescent="0.2">
      <c r="C364" s="147"/>
      <c r="D364" s="147"/>
      <c r="E364" s="147"/>
      <c r="F364" s="147"/>
      <c r="G364" s="147"/>
    </row>
    <row r="365" spans="3:7" ht="14" x14ac:dyDescent="0.2">
      <c r="C365" s="147"/>
      <c r="D365" s="147"/>
      <c r="E365" s="147"/>
      <c r="F365" s="147"/>
      <c r="G365" s="147"/>
    </row>
    <row r="366" spans="3:7" ht="14" x14ac:dyDescent="0.2">
      <c r="C366" s="147"/>
      <c r="D366" s="147"/>
      <c r="E366" s="147"/>
      <c r="F366" s="147"/>
      <c r="G366" s="147"/>
    </row>
    <row r="367" spans="3:7" ht="14" x14ac:dyDescent="0.2">
      <c r="C367" s="147"/>
      <c r="D367" s="147"/>
      <c r="E367" s="147"/>
      <c r="F367" s="147"/>
      <c r="G367" s="147"/>
    </row>
    <row r="368" spans="3:7" ht="14" x14ac:dyDescent="0.2">
      <c r="C368" s="147"/>
      <c r="D368" s="147"/>
      <c r="E368" s="147"/>
      <c r="F368" s="147"/>
      <c r="G368" s="147"/>
    </row>
    <row r="369" spans="3:7" ht="14" x14ac:dyDescent="0.2">
      <c r="C369" s="147"/>
      <c r="D369" s="147"/>
      <c r="E369" s="147"/>
      <c r="F369" s="147"/>
      <c r="G369" s="147"/>
    </row>
    <row r="370" spans="3:7" ht="14" x14ac:dyDescent="0.2">
      <c r="C370" s="147"/>
      <c r="D370" s="147"/>
      <c r="E370" s="147"/>
      <c r="F370" s="147"/>
      <c r="G370" s="147"/>
    </row>
    <row r="371" spans="3:7" ht="14" x14ac:dyDescent="0.2">
      <c r="C371" s="147"/>
      <c r="D371" s="147"/>
      <c r="E371" s="147"/>
      <c r="F371" s="147"/>
      <c r="G371" s="147"/>
    </row>
    <row r="372" spans="3:7" ht="14" x14ac:dyDescent="0.2">
      <c r="C372" s="147"/>
      <c r="D372" s="147"/>
      <c r="E372" s="147"/>
      <c r="F372" s="147"/>
      <c r="G372" s="147"/>
    </row>
    <row r="373" spans="3:7" ht="14" x14ac:dyDescent="0.2">
      <c r="C373" s="147"/>
      <c r="D373" s="147"/>
      <c r="E373" s="147"/>
      <c r="F373" s="147"/>
      <c r="G373" s="147"/>
    </row>
    <row r="374" spans="3:7" ht="14" x14ac:dyDescent="0.2">
      <c r="C374" s="147"/>
      <c r="D374" s="147"/>
      <c r="E374" s="147"/>
      <c r="F374" s="147"/>
      <c r="G374" s="147"/>
    </row>
    <row r="375" spans="3:7" ht="14" x14ac:dyDescent="0.2">
      <c r="C375" s="147"/>
      <c r="D375" s="147"/>
      <c r="E375" s="147"/>
      <c r="F375" s="147"/>
      <c r="G375" s="147"/>
    </row>
    <row r="376" spans="3:7" ht="14" x14ac:dyDescent="0.2">
      <c r="C376" s="147"/>
      <c r="D376" s="147"/>
      <c r="E376" s="147"/>
      <c r="F376" s="147"/>
      <c r="G376" s="147"/>
    </row>
    <row r="377" spans="3:7" ht="14" x14ac:dyDescent="0.2">
      <c r="C377" s="147"/>
      <c r="D377" s="147"/>
      <c r="E377" s="147"/>
      <c r="F377" s="147"/>
      <c r="G377" s="147"/>
    </row>
    <row r="378" spans="3:7" ht="14" x14ac:dyDescent="0.2">
      <c r="C378" s="147"/>
      <c r="D378" s="147"/>
      <c r="E378" s="147"/>
      <c r="F378" s="147"/>
      <c r="G378" s="147"/>
    </row>
    <row r="379" spans="3:7" ht="14" x14ac:dyDescent="0.2">
      <c r="C379" s="147"/>
      <c r="D379" s="147"/>
      <c r="E379" s="147"/>
      <c r="F379" s="147"/>
      <c r="G379" s="147"/>
    </row>
    <row r="380" spans="3:7" ht="14" x14ac:dyDescent="0.2">
      <c r="C380" s="147"/>
      <c r="D380" s="147"/>
      <c r="E380" s="147"/>
      <c r="F380" s="147"/>
      <c r="G380" s="147"/>
    </row>
    <row r="381" spans="3:7" ht="14" x14ac:dyDescent="0.2">
      <c r="C381" s="147"/>
      <c r="D381" s="147"/>
      <c r="E381" s="147"/>
      <c r="F381" s="147"/>
      <c r="G381" s="147"/>
    </row>
    <row r="382" spans="3:7" ht="14" x14ac:dyDescent="0.2">
      <c r="C382" s="147"/>
      <c r="D382" s="147"/>
      <c r="E382" s="147"/>
      <c r="F382" s="147"/>
      <c r="G382" s="147"/>
    </row>
    <row r="383" spans="3:7" ht="14" x14ac:dyDescent="0.2">
      <c r="C383" s="147"/>
      <c r="D383" s="147"/>
      <c r="E383" s="147"/>
      <c r="F383" s="147"/>
      <c r="G383" s="147"/>
    </row>
    <row r="384" spans="3:7" ht="14" x14ac:dyDescent="0.2">
      <c r="C384" s="147"/>
      <c r="D384" s="147"/>
      <c r="E384" s="147"/>
      <c r="F384" s="147"/>
      <c r="G384" s="147"/>
    </row>
    <row r="385" spans="3:7" ht="14" x14ac:dyDescent="0.2">
      <c r="C385" s="147"/>
      <c r="D385" s="147"/>
      <c r="E385" s="147"/>
      <c r="F385" s="147"/>
      <c r="G385" s="147"/>
    </row>
    <row r="386" spans="3:7" ht="14" x14ac:dyDescent="0.2">
      <c r="C386" s="147"/>
      <c r="D386" s="147"/>
      <c r="E386" s="147"/>
      <c r="F386" s="147"/>
      <c r="G386" s="147"/>
    </row>
    <row r="387" spans="3:7" ht="14" x14ac:dyDescent="0.2">
      <c r="C387" s="147"/>
      <c r="D387" s="147"/>
      <c r="E387" s="147"/>
      <c r="F387" s="147"/>
      <c r="G387" s="147"/>
    </row>
    <row r="388" spans="3:7" ht="14" x14ac:dyDescent="0.2">
      <c r="C388" s="147"/>
      <c r="D388" s="147"/>
      <c r="E388" s="147"/>
      <c r="F388" s="147"/>
      <c r="G388" s="147"/>
    </row>
    <row r="389" spans="3:7" ht="14" x14ac:dyDescent="0.2">
      <c r="C389" s="147"/>
      <c r="D389" s="147"/>
      <c r="E389" s="147"/>
      <c r="F389" s="147"/>
      <c r="G389" s="147"/>
    </row>
    <row r="390" spans="3:7" ht="14" x14ac:dyDescent="0.2">
      <c r="C390" s="147"/>
      <c r="D390" s="147"/>
      <c r="E390" s="147"/>
      <c r="F390" s="147"/>
      <c r="G390" s="147"/>
    </row>
    <row r="391" spans="3:7" ht="14" x14ac:dyDescent="0.2">
      <c r="C391" s="147"/>
      <c r="D391" s="147"/>
      <c r="E391" s="147"/>
      <c r="F391" s="147"/>
      <c r="G391" s="147"/>
    </row>
    <row r="392" spans="3:7" ht="14" x14ac:dyDescent="0.2">
      <c r="C392" s="147"/>
      <c r="D392" s="147"/>
      <c r="E392" s="147"/>
      <c r="F392" s="147"/>
      <c r="G392" s="147"/>
    </row>
    <row r="393" spans="3:7" ht="14" x14ac:dyDescent="0.2">
      <c r="C393" s="147"/>
      <c r="D393" s="147"/>
      <c r="E393" s="147"/>
      <c r="F393" s="147"/>
      <c r="G393" s="147"/>
    </row>
    <row r="394" spans="3:7" ht="14" x14ac:dyDescent="0.2">
      <c r="C394" s="147"/>
      <c r="D394" s="147"/>
      <c r="E394" s="147"/>
      <c r="F394" s="147"/>
      <c r="G394" s="147"/>
    </row>
    <row r="395" spans="3:7" ht="14" x14ac:dyDescent="0.2">
      <c r="C395" s="147"/>
      <c r="D395" s="147"/>
      <c r="E395" s="147"/>
      <c r="F395" s="147"/>
      <c r="G395" s="147"/>
    </row>
    <row r="396" spans="3:7" ht="14" x14ac:dyDescent="0.2">
      <c r="C396" s="147"/>
      <c r="D396" s="147"/>
      <c r="E396" s="147"/>
      <c r="F396" s="147"/>
      <c r="G396" s="147"/>
    </row>
    <row r="397" spans="3:7" ht="14" x14ac:dyDescent="0.2">
      <c r="C397" s="147"/>
      <c r="D397" s="147"/>
      <c r="E397" s="147"/>
      <c r="F397" s="147"/>
      <c r="G397" s="147"/>
    </row>
    <row r="398" spans="3:7" ht="14" x14ac:dyDescent="0.2">
      <c r="C398" s="147"/>
      <c r="D398" s="147"/>
      <c r="E398" s="147"/>
      <c r="F398" s="147"/>
      <c r="G398" s="147"/>
    </row>
    <row r="399" spans="3:7" ht="14" x14ac:dyDescent="0.2">
      <c r="C399" s="147"/>
      <c r="D399" s="147"/>
      <c r="E399" s="147"/>
      <c r="F399" s="147"/>
      <c r="G399" s="147"/>
    </row>
    <row r="400" spans="3:7" ht="14" x14ac:dyDescent="0.2">
      <c r="C400" s="147"/>
      <c r="D400" s="147"/>
      <c r="E400" s="147"/>
      <c r="F400" s="147"/>
      <c r="G400" s="147"/>
    </row>
    <row r="401" spans="3:7" ht="14" x14ac:dyDescent="0.2">
      <c r="C401" s="147"/>
      <c r="D401" s="147"/>
      <c r="E401" s="147"/>
      <c r="F401" s="147"/>
      <c r="G401" s="147"/>
    </row>
    <row r="402" spans="3:7" ht="14" x14ac:dyDescent="0.2">
      <c r="C402" s="147"/>
      <c r="D402" s="147"/>
      <c r="E402" s="147"/>
      <c r="F402" s="147"/>
      <c r="G402" s="147"/>
    </row>
    <row r="403" spans="3:7" ht="14" x14ac:dyDescent="0.2">
      <c r="C403" s="147"/>
      <c r="D403" s="147"/>
      <c r="E403" s="147"/>
      <c r="F403" s="147"/>
      <c r="G403" s="147"/>
    </row>
    <row r="404" spans="3:7" ht="14" x14ac:dyDescent="0.2">
      <c r="C404" s="147"/>
      <c r="D404" s="147"/>
      <c r="E404" s="147"/>
      <c r="F404" s="147"/>
      <c r="G404" s="147"/>
    </row>
    <row r="405" spans="3:7" ht="14" x14ac:dyDescent="0.2">
      <c r="C405" s="147"/>
      <c r="D405" s="147"/>
      <c r="E405" s="147"/>
      <c r="F405" s="147"/>
      <c r="G405" s="147"/>
    </row>
    <row r="406" spans="3:7" ht="14" x14ac:dyDescent="0.2">
      <c r="C406" s="147"/>
      <c r="D406" s="147"/>
      <c r="E406" s="147"/>
      <c r="F406" s="147"/>
      <c r="G406" s="147"/>
    </row>
    <row r="407" spans="3:7" ht="14" x14ac:dyDescent="0.2">
      <c r="C407" s="147"/>
      <c r="D407" s="147"/>
      <c r="E407" s="147"/>
      <c r="F407" s="147"/>
      <c r="G407" s="147"/>
    </row>
    <row r="408" spans="3:7" ht="14" x14ac:dyDescent="0.2">
      <c r="C408" s="147"/>
      <c r="D408" s="147"/>
      <c r="E408" s="147"/>
      <c r="F408" s="147"/>
      <c r="G408" s="147"/>
    </row>
    <row r="409" spans="3:7" ht="14" x14ac:dyDescent="0.2">
      <c r="C409" s="147"/>
      <c r="D409" s="147"/>
      <c r="E409" s="147"/>
      <c r="F409" s="147"/>
      <c r="G409" s="147"/>
    </row>
    <row r="410" spans="3:7" ht="14" x14ac:dyDescent="0.2">
      <c r="C410" s="147"/>
      <c r="D410" s="147"/>
      <c r="E410" s="147"/>
      <c r="F410" s="147"/>
      <c r="G410" s="147"/>
    </row>
    <row r="411" spans="3:7" ht="14" x14ac:dyDescent="0.2">
      <c r="C411" s="147"/>
      <c r="D411" s="147"/>
      <c r="E411" s="147"/>
      <c r="F411" s="147"/>
      <c r="G411" s="147"/>
    </row>
    <row r="412" spans="3:7" ht="14" x14ac:dyDescent="0.2">
      <c r="C412" s="147"/>
      <c r="D412" s="147"/>
      <c r="E412" s="147"/>
      <c r="F412" s="147"/>
      <c r="G412" s="147"/>
    </row>
    <row r="413" spans="3:7" ht="14" x14ac:dyDescent="0.2">
      <c r="C413" s="147"/>
      <c r="D413" s="147"/>
      <c r="E413" s="147"/>
      <c r="F413" s="147"/>
      <c r="G413" s="147"/>
    </row>
    <row r="414" spans="3:7" ht="14" x14ac:dyDescent="0.2">
      <c r="C414" s="147"/>
      <c r="D414" s="147"/>
      <c r="E414" s="147"/>
      <c r="F414" s="147"/>
      <c r="G414" s="147"/>
    </row>
    <row r="415" spans="3:7" ht="14" x14ac:dyDescent="0.2">
      <c r="C415" s="147"/>
      <c r="D415" s="147"/>
      <c r="E415" s="147"/>
      <c r="F415" s="147"/>
      <c r="G415" s="147"/>
    </row>
    <row r="416" spans="3:7" ht="14" x14ac:dyDescent="0.2">
      <c r="C416" s="147"/>
      <c r="D416" s="147"/>
      <c r="E416" s="147"/>
      <c r="F416" s="147"/>
      <c r="G416" s="147"/>
    </row>
    <row r="417" spans="3:7" ht="14" x14ac:dyDescent="0.2">
      <c r="C417" s="147"/>
      <c r="D417" s="147"/>
      <c r="E417" s="147"/>
      <c r="F417" s="147"/>
      <c r="G417" s="147"/>
    </row>
    <row r="418" spans="3:7" ht="14" x14ac:dyDescent="0.2">
      <c r="C418" s="147"/>
      <c r="D418" s="147"/>
      <c r="E418" s="147"/>
      <c r="F418" s="147"/>
      <c r="G418" s="147"/>
    </row>
    <row r="419" spans="3:7" ht="14" x14ac:dyDescent="0.2">
      <c r="C419" s="147"/>
      <c r="D419" s="147"/>
      <c r="E419" s="147"/>
      <c r="F419" s="147"/>
      <c r="G419" s="147"/>
    </row>
    <row r="420" spans="3:7" ht="14" x14ac:dyDescent="0.2">
      <c r="C420" s="147"/>
      <c r="D420" s="147"/>
      <c r="E420" s="147"/>
      <c r="F420" s="147"/>
      <c r="G420" s="147"/>
    </row>
    <row r="421" spans="3:7" ht="14" x14ac:dyDescent="0.2">
      <c r="C421" s="147"/>
      <c r="D421" s="147"/>
      <c r="E421" s="147"/>
      <c r="F421" s="147"/>
      <c r="G421" s="147"/>
    </row>
    <row r="422" spans="3:7" ht="14" x14ac:dyDescent="0.2">
      <c r="C422" s="147"/>
      <c r="D422" s="147"/>
      <c r="E422" s="147"/>
      <c r="F422" s="147"/>
      <c r="G422" s="147"/>
    </row>
    <row r="423" spans="3:7" ht="14" x14ac:dyDescent="0.2">
      <c r="C423" s="147"/>
      <c r="D423" s="147"/>
      <c r="E423" s="147"/>
      <c r="F423" s="147"/>
      <c r="G423" s="147"/>
    </row>
    <row r="424" spans="3:7" ht="14" x14ac:dyDescent="0.2">
      <c r="C424" s="147"/>
      <c r="D424" s="147"/>
      <c r="E424" s="147"/>
      <c r="F424" s="147"/>
      <c r="G424" s="147"/>
    </row>
    <row r="425" spans="3:7" ht="14" x14ac:dyDescent="0.2">
      <c r="C425" s="147"/>
      <c r="D425" s="147"/>
      <c r="E425" s="147"/>
      <c r="F425" s="147"/>
      <c r="G425" s="147"/>
    </row>
    <row r="426" spans="3:7" ht="14" x14ac:dyDescent="0.2">
      <c r="C426" s="147"/>
      <c r="D426" s="147"/>
      <c r="E426" s="147"/>
      <c r="F426" s="147"/>
      <c r="G426" s="147"/>
    </row>
    <row r="427" spans="3:7" ht="14" x14ac:dyDescent="0.2">
      <c r="C427" s="147"/>
      <c r="D427" s="147"/>
      <c r="E427" s="147"/>
      <c r="F427" s="147"/>
      <c r="G427" s="147"/>
    </row>
    <row r="428" spans="3:7" ht="14" x14ac:dyDescent="0.2">
      <c r="C428" s="147"/>
      <c r="D428" s="147"/>
      <c r="E428" s="147"/>
      <c r="F428" s="147"/>
      <c r="G428" s="147"/>
    </row>
    <row r="429" spans="3:7" ht="14" x14ac:dyDescent="0.2">
      <c r="C429" s="147"/>
      <c r="D429" s="147"/>
      <c r="E429" s="147"/>
      <c r="F429" s="147"/>
      <c r="G429" s="147"/>
    </row>
    <row r="430" spans="3:7" ht="14" x14ac:dyDescent="0.2">
      <c r="C430" s="147"/>
      <c r="D430" s="147"/>
      <c r="E430" s="147"/>
      <c r="F430" s="147"/>
      <c r="G430" s="147"/>
    </row>
    <row r="431" spans="3:7" ht="14" x14ac:dyDescent="0.2">
      <c r="C431" s="147"/>
      <c r="D431" s="147"/>
      <c r="E431" s="147"/>
      <c r="F431" s="147"/>
      <c r="G431" s="147"/>
    </row>
    <row r="432" spans="3:7" ht="14" x14ac:dyDescent="0.2">
      <c r="C432" s="147"/>
      <c r="D432" s="147"/>
      <c r="E432" s="147"/>
      <c r="F432" s="147"/>
      <c r="G432" s="147"/>
    </row>
    <row r="433" spans="3:7" ht="14" x14ac:dyDescent="0.2">
      <c r="C433" s="147"/>
      <c r="D433" s="147"/>
      <c r="E433" s="147"/>
      <c r="F433" s="147"/>
      <c r="G433" s="147"/>
    </row>
    <row r="434" spans="3:7" ht="14" x14ac:dyDescent="0.2">
      <c r="C434" s="147"/>
      <c r="D434" s="147"/>
      <c r="E434" s="147"/>
      <c r="F434" s="147"/>
      <c r="G434" s="147"/>
    </row>
    <row r="435" spans="3:7" ht="14" x14ac:dyDescent="0.2">
      <c r="C435" s="147"/>
      <c r="D435" s="147"/>
      <c r="E435" s="147"/>
      <c r="F435" s="147"/>
      <c r="G435" s="147"/>
    </row>
    <row r="436" spans="3:7" ht="14" x14ac:dyDescent="0.2">
      <c r="C436" s="147"/>
      <c r="D436" s="147"/>
      <c r="E436" s="147"/>
      <c r="F436" s="147"/>
      <c r="G436" s="147"/>
    </row>
    <row r="437" spans="3:7" ht="14" x14ac:dyDescent="0.2">
      <c r="C437" s="147"/>
      <c r="D437" s="147"/>
      <c r="E437" s="147"/>
      <c r="F437" s="147"/>
      <c r="G437" s="147"/>
    </row>
    <row r="438" spans="3:7" ht="14" x14ac:dyDescent="0.2">
      <c r="C438" s="147"/>
      <c r="D438" s="147"/>
      <c r="E438" s="147"/>
      <c r="F438" s="147"/>
      <c r="G438" s="147"/>
    </row>
    <row r="439" spans="3:7" ht="14" x14ac:dyDescent="0.2">
      <c r="C439" s="147"/>
      <c r="D439" s="147"/>
      <c r="E439" s="147"/>
      <c r="F439" s="147"/>
      <c r="G439" s="147"/>
    </row>
    <row r="440" spans="3:7" ht="14" x14ac:dyDescent="0.2">
      <c r="C440" s="147"/>
      <c r="D440" s="147"/>
      <c r="E440" s="147"/>
      <c r="F440" s="147"/>
      <c r="G440" s="147"/>
    </row>
    <row r="441" spans="3:7" ht="14" x14ac:dyDescent="0.2">
      <c r="C441" s="147"/>
      <c r="D441" s="147"/>
      <c r="E441" s="147"/>
      <c r="F441" s="147"/>
      <c r="G441" s="147"/>
    </row>
    <row r="442" spans="3:7" ht="14" x14ac:dyDescent="0.2">
      <c r="C442" s="147"/>
      <c r="D442" s="147"/>
      <c r="E442" s="147"/>
      <c r="F442" s="147"/>
      <c r="G442" s="147"/>
    </row>
    <row r="443" spans="3:7" ht="14" x14ac:dyDescent="0.2">
      <c r="C443" s="147"/>
      <c r="D443" s="147"/>
      <c r="E443" s="147"/>
      <c r="F443" s="147"/>
      <c r="G443" s="147"/>
    </row>
    <row r="444" spans="3:7" ht="14" x14ac:dyDescent="0.2">
      <c r="C444" s="147"/>
      <c r="D444" s="147"/>
      <c r="E444" s="147"/>
      <c r="F444" s="147"/>
      <c r="G444" s="147"/>
    </row>
    <row r="445" spans="3:7" ht="14" x14ac:dyDescent="0.2">
      <c r="C445" s="147"/>
      <c r="D445" s="147"/>
      <c r="E445" s="147"/>
      <c r="F445" s="147"/>
      <c r="G445" s="147"/>
    </row>
    <row r="446" spans="3:7" ht="14" x14ac:dyDescent="0.2">
      <c r="C446" s="147"/>
      <c r="D446" s="147"/>
      <c r="E446" s="147"/>
      <c r="F446" s="147"/>
      <c r="G446" s="147"/>
    </row>
    <row r="447" spans="3:7" ht="14" x14ac:dyDescent="0.2">
      <c r="C447" s="147"/>
      <c r="D447" s="147"/>
      <c r="E447" s="147"/>
      <c r="F447" s="147"/>
      <c r="G447" s="147"/>
    </row>
    <row r="448" spans="3:7" ht="14" x14ac:dyDescent="0.2">
      <c r="C448" s="147"/>
      <c r="D448" s="147"/>
      <c r="E448" s="147"/>
      <c r="F448" s="147"/>
      <c r="G448" s="147"/>
    </row>
    <row r="449" spans="3:7" ht="14" x14ac:dyDescent="0.2">
      <c r="C449" s="147"/>
      <c r="D449" s="147"/>
      <c r="E449" s="147"/>
      <c r="F449" s="147"/>
      <c r="G449" s="147"/>
    </row>
    <row r="450" spans="3:7" ht="14" x14ac:dyDescent="0.2">
      <c r="C450" s="147"/>
      <c r="D450" s="147"/>
      <c r="E450" s="147"/>
      <c r="F450" s="147"/>
      <c r="G450" s="147"/>
    </row>
    <row r="451" spans="3:7" ht="14" x14ac:dyDescent="0.2">
      <c r="C451" s="147"/>
      <c r="D451" s="147"/>
      <c r="E451" s="147"/>
      <c r="F451" s="147"/>
      <c r="G451" s="147"/>
    </row>
    <row r="452" spans="3:7" ht="14" x14ac:dyDescent="0.2">
      <c r="C452" s="147"/>
      <c r="D452" s="147"/>
      <c r="E452" s="147"/>
      <c r="F452" s="147"/>
      <c r="G452" s="147"/>
    </row>
    <row r="453" spans="3:7" ht="14" x14ac:dyDescent="0.2">
      <c r="C453" s="147"/>
      <c r="D453" s="147"/>
      <c r="E453" s="147"/>
      <c r="F453" s="147"/>
      <c r="G453" s="147"/>
    </row>
    <row r="454" spans="3:7" ht="14" x14ac:dyDescent="0.2">
      <c r="C454" s="147"/>
      <c r="D454" s="147"/>
      <c r="E454" s="147"/>
      <c r="F454" s="147"/>
      <c r="G454" s="147"/>
    </row>
    <row r="455" spans="3:7" ht="14" x14ac:dyDescent="0.2">
      <c r="C455" s="147"/>
      <c r="D455" s="147"/>
      <c r="E455" s="147"/>
      <c r="F455" s="147"/>
      <c r="G455" s="147"/>
    </row>
    <row r="456" spans="3:7" ht="14" x14ac:dyDescent="0.2">
      <c r="C456" s="147"/>
      <c r="D456" s="147"/>
      <c r="E456" s="147"/>
      <c r="F456" s="147"/>
      <c r="G456" s="147"/>
    </row>
    <row r="457" spans="3:7" ht="14" x14ac:dyDescent="0.2">
      <c r="C457" s="147"/>
      <c r="D457" s="147"/>
      <c r="E457" s="147"/>
      <c r="F457" s="147"/>
      <c r="G457" s="147"/>
    </row>
    <row r="458" spans="3:7" ht="14" x14ac:dyDescent="0.2">
      <c r="C458" s="147"/>
      <c r="D458" s="147"/>
      <c r="E458" s="147"/>
      <c r="F458" s="147"/>
      <c r="G458" s="147"/>
    </row>
    <row r="459" spans="3:7" ht="14" x14ac:dyDescent="0.2">
      <c r="C459" s="147"/>
      <c r="D459" s="147"/>
      <c r="E459" s="147"/>
      <c r="F459" s="147"/>
      <c r="G459" s="147"/>
    </row>
    <row r="460" spans="3:7" ht="14" x14ac:dyDescent="0.2">
      <c r="C460" s="147"/>
      <c r="D460" s="147"/>
      <c r="E460" s="147"/>
      <c r="F460" s="147"/>
      <c r="G460" s="147"/>
    </row>
    <row r="461" spans="3:7" ht="14" x14ac:dyDescent="0.2">
      <c r="C461" s="147"/>
      <c r="D461" s="147"/>
      <c r="E461" s="147"/>
      <c r="F461" s="147"/>
      <c r="G461" s="147"/>
    </row>
    <row r="462" spans="3:7" ht="14" x14ac:dyDescent="0.2">
      <c r="C462" s="147"/>
      <c r="D462" s="147"/>
      <c r="E462" s="147"/>
      <c r="F462" s="147"/>
      <c r="G462" s="147"/>
    </row>
    <row r="463" spans="3:7" ht="14" x14ac:dyDescent="0.2">
      <c r="C463" s="147"/>
      <c r="D463" s="147"/>
      <c r="E463" s="147"/>
      <c r="F463" s="147"/>
      <c r="G463" s="147"/>
    </row>
    <row r="464" spans="3:7" ht="14" x14ac:dyDescent="0.2">
      <c r="C464" s="147"/>
      <c r="D464" s="147"/>
      <c r="E464" s="147"/>
      <c r="F464" s="147"/>
      <c r="G464" s="147"/>
    </row>
    <row r="465" spans="3:7" ht="14" x14ac:dyDescent="0.2">
      <c r="C465" s="147"/>
      <c r="D465" s="147"/>
      <c r="E465" s="147"/>
      <c r="F465" s="147"/>
      <c r="G465" s="147"/>
    </row>
    <row r="466" spans="3:7" ht="14" x14ac:dyDescent="0.2">
      <c r="C466" s="147"/>
      <c r="D466" s="147"/>
      <c r="E466" s="147"/>
      <c r="F466" s="147"/>
      <c r="G466" s="147"/>
    </row>
    <row r="467" spans="3:7" ht="14" x14ac:dyDescent="0.2">
      <c r="C467" s="147"/>
      <c r="D467" s="147"/>
      <c r="E467" s="147"/>
      <c r="F467" s="147"/>
      <c r="G467" s="147"/>
    </row>
    <row r="468" spans="3:7" ht="14" x14ac:dyDescent="0.2">
      <c r="C468" s="147"/>
      <c r="D468" s="147"/>
      <c r="E468" s="147"/>
      <c r="F468" s="147"/>
      <c r="G468" s="147"/>
    </row>
    <row r="469" spans="3:7" ht="14" x14ac:dyDescent="0.2">
      <c r="C469" s="147"/>
      <c r="D469" s="147"/>
      <c r="E469" s="147"/>
      <c r="F469" s="147"/>
      <c r="G469" s="147"/>
    </row>
    <row r="470" spans="3:7" ht="14" x14ac:dyDescent="0.2">
      <c r="C470" s="147"/>
      <c r="D470" s="147"/>
      <c r="E470" s="147"/>
      <c r="F470" s="147"/>
      <c r="G470" s="147"/>
    </row>
    <row r="471" spans="3:7" ht="14" x14ac:dyDescent="0.2">
      <c r="C471" s="147"/>
      <c r="D471" s="147"/>
      <c r="E471" s="147"/>
      <c r="F471" s="147"/>
      <c r="G471" s="147"/>
    </row>
    <row r="472" spans="3:7" ht="14" x14ac:dyDescent="0.2">
      <c r="C472" s="147"/>
      <c r="D472" s="147"/>
      <c r="E472" s="147"/>
      <c r="F472" s="147"/>
      <c r="G472" s="147"/>
    </row>
    <row r="473" spans="3:7" ht="14" x14ac:dyDescent="0.2">
      <c r="C473" s="147"/>
      <c r="D473" s="147"/>
      <c r="E473" s="147"/>
      <c r="F473" s="147"/>
      <c r="G473" s="147"/>
    </row>
    <row r="474" spans="3:7" ht="14" x14ac:dyDescent="0.2">
      <c r="C474" s="147"/>
      <c r="D474" s="147"/>
      <c r="E474" s="147"/>
      <c r="F474" s="147"/>
      <c r="G474" s="147"/>
    </row>
    <row r="475" spans="3:7" ht="14" x14ac:dyDescent="0.2">
      <c r="C475" s="147"/>
      <c r="D475" s="147"/>
      <c r="E475" s="147"/>
      <c r="F475" s="147"/>
      <c r="G475" s="147"/>
    </row>
    <row r="476" spans="3:7" ht="14" x14ac:dyDescent="0.2">
      <c r="C476" s="147"/>
      <c r="D476" s="147"/>
      <c r="E476" s="147"/>
      <c r="F476" s="147"/>
      <c r="G476" s="147"/>
    </row>
    <row r="477" spans="3:7" ht="14" x14ac:dyDescent="0.2">
      <c r="C477" s="147"/>
      <c r="D477" s="147"/>
      <c r="E477" s="147"/>
      <c r="F477" s="147"/>
      <c r="G477" s="147"/>
    </row>
    <row r="478" spans="3:7" ht="14" x14ac:dyDescent="0.2">
      <c r="C478" s="147"/>
      <c r="D478" s="147"/>
      <c r="E478" s="147"/>
      <c r="F478" s="147"/>
      <c r="G478" s="147"/>
    </row>
    <row r="479" spans="3:7" ht="14" x14ac:dyDescent="0.2">
      <c r="C479" s="147"/>
      <c r="D479" s="147"/>
      <c r="E479" s="147"/>
      <c r="F479" s="147"/>
      <c r="G479" s="147"/>
    </row>
    <row r="480" spans="3:7" ht="14" x14ac:dyDescent="0.2">
      <c r="C480" s="147"/>
      <c r="D480" s="147"/>
      <c r="E480" s="147"/>
      <c r="F480" s="147"/>
      <c r="G480" s="147"/>
    </row>
    <row r="481" spans="3:7" ht="14" x14ac:dyDescent="0.2">
      <c r="C481" s="147"/>
      <c r="D481" s="147"/>
      <c r="E481" s="147"/>
      <c r="F481" s="147"/>
      <c r="G481" s="147"/>
    </row>
    <row r="482" spans="3:7" ht="14" x14ac:dyDescent="0.2">
      <c r="C482" s="147"/>
      <c r="D482" s="147"/>
      <c r="E482" s="147"/>
      <c r="F482" s="147"/>
      <c r="G482" s="147"/>
    </row>
    <row r="483" spans="3:7" ht="14" x14ac:dyDescent="0.2">
      <c r="C483" s="147"/>
      <c r="D483" s="147"/>
      <c r="E483" s="147"/>
      <c r="F483" s="147"/>
      <c r="G483" s="147"/>
    </row>
    <row r="484" spans="3:7" ht="14" x14ac:dyDescent="0.2">
      <c r="C484" s="147"/>
      <c r="D484" s="147"/>
      <c r="E484" s="147"/>
      <c r="F484" s="147"/>
      <c r="G484" s="147"/>
    </row>
    <row r="485" spans="3:7" ht="14" x14ac:dyDescent="0.2">
      <c r="C485" s="147"/>
      <c r="D485" s="147"/>
      <c r="E485" s="147"/>
      <c r="F485" s="147"/>
      <c r="G485" s="147"/>
    </row>
    <row r="486" spans="3:7" ht="14" x14ac:dyDescent="0.2">
      <c r="C486" s="147"/>
      <c r="D486" s="147"/>
      <c r="E486" s="147"/>
      <c r="F486" s="147"/>
      <c r="G486" s="147"/>
    </row>
    <row r="487" spans="3:7" ht="14" x14ac:dyDescent="0.2">
      <c r="C487" s="147"/>
      <c r="D487" s="147"/>
      <c r="E487" s="147"/>
      <c r="F487" s="147"/>
      <c r="G487" s="147"/>
    </row>
    <row r="488" spans="3:7" ht="14" x14ac:dyDescent="0.2">
      <c r="C488" s="147"/>
      <c r="D488" s="147"/>
      <c r="E488" s="147"/>
      <c r="F488" s="147"/>
      <c r="G488" s="147"/>
    </row>
    <row r="489" spans="3:7" ht="14" x14ac:dyDescent="0.2">
      <c r="C489" s="147"/>
      <c r="D489" s="147"/>
      <c r="E489" s="147"/>
      <c r="F489" s="147"/>
      <c r="G489" s="147"/>
    </row>
    <row r="490" spans="3:7" ht="14" x14ac:dyDescent="0.2">
      <c r="C490" s="147"/>
      <c r="D490" s="147"/>
      <c r="E490" s="147"/>
      <c r="F490" s="147"/>
      <c r="G490" s="147"/>
    </row>
    <row r="491" spans="3:7" ht="14" x14ac:dyDescent="0.2">
      <c r="C491" s="147"/>
      <c r="D491" s="147"/>
      <c r="E491" s="147"/>
      <c r="F491" s="147"/>
      <c r="G491" s="147"/>
    </row>
    <row r="492" spans="3:7" ht="14" x14ac:dyDescent="0.2">
      <c r="C492" s="147"/>
      <c r="D492" s="147"/>
      <c r="E492" s="147"/>
      <c r="F492" s="147"/>
      <c r="G492" s="147"/>
    </row>
    <row r="493" spans="3:7" ht="14" x14ac:dyDescent="0.2">
      <c r="C493" s="147"/>
      <c r="D493" s="147"/>
      <c r="E493" s="147"/>
      <c r="F493" s="147"/>
      <c r="G493" s="147"/>
    </row>
    <row r="494" spans="3:7" ht="14" x14ac:dyDescent="0.2">
      <c r="C494" s="147"/>
      <c r="D494" s="147"/>
      <c r="E494" s="147"/>
      <c r="F494" s="147"/>
      <c r="G494" s="147"/>
    </row>
    <row r="495" spans="3:7" ht="14" x14ac:dyDescent="0.2">
      <c r="C495" s="147"/>
      <c r="D495" s="147"/>
      <c r="E495" s="147"/>
      <c r="F495" s="147"/>
      <c r="G495" s="147"/>
    </row>
    <row r="496" spans="3:7" ht="14" x14ac:dyDescent="0.2">
      <c r="C496" s="147"/>
      <c r="D496" s="147"/>
      <c r="E496" s="147"/>
      <c r="F496" s="147"/>
      <c r="G496" s="147"/>
    </row>
    <row r="497" spans="3:7" ht="14" x14ac:dyDescent="0.2">
      <c r="C497" s="147"/>
      <c r="D497" s="147"/>
      <c r="E497" s="147"/>
      <c r="F497" s="147"/>
      <c r="G497" s="147"/>
    </row>
    <row r="498" spans="3:7" ht="14" x14ac:dyDescent="0.2">
      <c r="C498" s="147"/>
      <c r="D498" s="147"/>
      <c r="E498" s="147"/>
      <c r="F498" s="147"/>
      <c r="G498" s="147"/>
    </row>
    <row r="499" spans="3:7" ht="14" x14ac:dyDescent="0.2">
      <c r="C499" s="147"/>
      <c r="D499" s="147"/>
      <c r="E499" s="147"/>
      <c r="F499" s="147"/>
      <c r="G499" s="147"/>
    </row>
    <row r="500" spans="3:7" ht="14" x14ac:dyDescent="0.2">
      <c r="C500" s="147"/>
      <c r="D500" s="147"/>
      <c r="E500" s="147"/>
      <c r="F500" s="147"/>
      <c r="G500" s="147"/>
    </row>
    <row r="501" spans="3:7" ht="14" x14ac:dyDescent="0.2">
      <c r="C501" s="147"/>
      <c r="D501" s="147"/>
      <c r="E501" s="147"/>
      <c r="F501" s="147"/>
      <c r="G501" s="147"/>
    </row>
    <row r="502" spans="3:7" ht="14" x14ac:dyDescent="0.2">
      <c r="C502" s="147"/>
      <c r="D502" s="147"/>
      <c r="E502" s="147"/>
      <c r="F502" s="147"/>
      <c r="G502" s="147"/>
    </row>
    <row r="503" spans="3:7" ht="14" x14ac:dyDescent="0.2">
      <c r="C503" s="147"/>
      <c r="D503" s="147"/>
      <c r="E503" s="147"/>
      <c r="F503" s="147"/>
      <c r="G503" s="147"/>
    </row>
    <row r="504" spans="3:7" ht="14" x14ac:dyDescent="0.2">
      <c r="C504" s="147"/>
      <c r="D504" s="147"/>
      <c r="E504" s="147"/>
      <c r="F504" s="147"/>
      <c r="G504" s="147"/>
    </row>
    <row r="505" spans="3:7" ht="14" x14ac:dyDescent="0.2">
      <c r="C505" s="147"/>
      <c r="D505" s="147"/>
      <c r="E505" s="147"/>
      <c r="F505" s="147"/>
      <c r="G505" s="147"/>
    </row>
    <row r="506" spans="3:7" ht="14" x14ac:dyDescent="0.2">
      <c r="C506" s="147"/>
      <c r="D506" s="147"/>
      <c r="E506" s="147"/>
      <c r="F506" s="147"/>
      <c r="G506" s="147"/>
    </row>
    <row r="507" spans="3:7" ht="14" x14ac:dyDescent="0.2">
      <c r="C507" s="147"/>
      <c r="D507" s="147"/>
      <c r="E507" s="147"/>
      <c r="F507" s="147"/>
      <c r="G507" s="147"/>
    </row>
    <row r="508" spans="3:7" ht="14" x14ac:dyDescent="0.2">
      <c r="C508" s="147"/>
      <c r="D508" s="147"/>
      <c r="E508" s="147"/>
      <c r="F508" s="147"/>
      <c r="G508" s="147"/>
    </row>
    <row r="509" spans="3:7" ht="14" x14ac:dyDescent="0.2">
      <c r="C509" s="147"/>
      <c r="D509" s="147"/>
      <c r="E509" s="147"/>
      <c r="F509" s="147"/>
      <c r="G509" s="147"/>
    </row>
    <row r="510" spans="3:7" ht="14" x14ac:dyDescent="0.2">
      <c r="C510" s="147"/>
      <c r="D510" s="147"/>
      <c r="E510" s="147"/>
      <c r="F510" s="147"/>
      <c r="G510" s="147"/>
    </row>
    <row r="511" spans="3:7" ht="14" x14ac:dyDescent="0.2">
      <c r="C511" s="147"/>
      <c r="D511" s="147"/>
      <c r="E511" s="147"/>
      <c r="F511" s="147"/>
      <c r="G511" s="147"/>
    </row>
    <row r="512" spans="3:7" ht="14" x14ac:dyDescent="0.2">
      <c r="C512" s="147"/>
      <c r="D512" s="147"/>
      <c r="E512" s="147"/>
      <c r="F512" s="147"/>
      <c r="G512" s="147"/>
    </row>
    <row r="513" spans="3:7" ht="14" x14ac:dyDescent="0.2">
      <c r="C513" s="147"/>
      <c r="D513" s="147"/>
      <c r="E513" s="147"/>
      <c r="F513" s="147"/>
      <c r="G513" s="147"/>
    </row>
    <row r="514" spans="3:7" ht="14" x14ac:dyDescent="0.2">
      <c r="C514" s="147"/>
      <c r="D514" s="147"/>
      <c r="E514" s="147"/>
      <c r="F514" s="147"/>
      <c r="G514" s="147"/>
    </row>
    <row r="515" spans="3:7" ht="14" x14ac:dyDescent="0.2">
      <c r="C515" s="147"/>
      <c r="D515" s="147"/>
      <c r="E515" s="147"/>
      <c r="F515" s="147"/>
      <c r="G515" s="147"/>
    </row>
    <row r="516" spans="3:7" ht="14" x14ac:dyDescent="0.2">
      <c r="C516" s="147"/>
      <c r="D516" s="147"/>
      <c r="E516" s="147"/>
      <c r="F516" s="147"/>
      <c r="G516" s="147"/>
    </row>
    <row r="517" spans="3:7" ht="14" x14ac:dyDescent="0.2">
      <c r="C517" s="147"/>
      <c r="D517" s="147"/>
      <c r="E517" s="147"/>
      <c r="F517" s="147"/>
      <c r="G517" s="147"/>
    </row>
    <row r="518" spans="3:7" ht="14" x14ac:dyDescent="0.2">
      <c r="C518" s="147"/>
      <c r="D518" s="147"/>
      <c r="E518" s="147"/>
      <c r="F518" s="147"/>
      <c r="G518" s="147"/>
    </row>
    <row r="519" spans="3:7" ht="14" x14ac:dyDescent="0.2">
      <c r="C519" s="147"/>
      <c r="D519" s="147"/>
      <c r="E519" s="147"/>
      <c r="F519" s="147"/>
      <c r="G519" s="147"/>
    </row>
    <row r="520" spans="3:7" ht="14" x14ac:dyDescent="0.2">
      <c r="C520" s="147"/>
      <c r="D520" s="147"/>
      <c r="E520" s="147"/>
      <c r="F520" s="147"/>
      <c r="G520" s="147"/>
    </row>
    <row r="521" spans="3:7" ht="14" x14ac:dyDescent="0.2">
      <c r="C521" s="147"/>
      <c r="D521" s="147"/>
      <c r="E521" s="147"/>
      <c r="F521" s="147"/>
      <c r="G521" s="147"/>
    </row>
    <row r="522" spans="3:7" ht="14" x14ac:dyDescent="0.2">
      <c r="C522" s="147"/>
      <c r="D522" s="147"/>
      <c r="E522" s="147"/>
      <c r="F522" s="147"/>
      <c r="G522" s="147"/>
    </row>
    <row r="523" spans="3:7" ht="14" x14ac:dyDescent="0.2">
      <c r="C523" s="147"/>
      <c r="D523" s="147"/>
      <c r="E523" s="147"/>
      <c r="F523" s="147"/>
      <c r="G523" s="147"/>
    </row>
    <row r="524" spans="3:7" ht="14" x14ac:dyDescent="0.2">
      <c r="C524" s="147"/>
      <c r="D524" s="147"/>
      <c r="E524" s="147"/>
      <c r="F524" s="147"/>
      <c r="G524" s="147"/>
    </row>
    <row r="525" spans="3:7" ht="14" x14ac:dyDescent="0.2">
      <c r="C525" s="147"/>
      <c r="D525" s="147"/>
      <c r="E525" s="147"/>
      <c r="F525" s="147"/>
      <c r="G525" s="147"/>
    </row>
    <row r="526" spans="3:7" ht="14" x14ac:dyDescent="0.2">
      <c r="C526" s="147"/>
      <c r="D526" s="147"/>
      <c r="E526" s="147"/>
      <c r="F526" s="147"/>
      <c r="G526" s="147"/>
    </row>
    <row r="527" spans="3:7" ht="14" x14ac:dyDescent="0.2">
      <c r="C527" s="147"/>
      <c r="D527" s="147"/>
      <c r="E527" s="147"/>
      <c r="F527" s="147"/>
      <c r="G527" s="147"/>
    </row>
    <row r="528" spans="3:7" ht="14" x14ac:dyDescent="0.2">
      <c r="C528" s="147"/>
      <c r="D528" s="147"/>
      <c r="E528" s="147"/>
      <c r="F528" s="147"/>
      <c r="G528" s="147"/>
    </row>
    <row r="529" spans="3:7" ht="14" x14ac:dyDescent="0.2">
      <c r="C529" s="147"/>
      <c r="D529" s="147"/>
      <c r="E529" s="147"/>
      <c r="F529" s="147"/>
      <c r="G529" s="147"/>
    </row>
    <row r="530" spans="3:7" ht="14" x14ac:dyDescent="0.2">
      <c r="C530" s="147"/>
      <c r="D530" s="147"/>
      <c r="E530" s="147"/>
      <c r="F530" s="147"/>
      <c r="G530" s="147"/>
    </row>
    <row r="531" spans="3:7" ht="14" x14ac:dyDescent="0.2">
      <c r="C531" s="147"/>
      <c r="D531" s="147"/>
      <c r="E531" s="147"/>
      <c r="F531" s="147"/>
      <c r="G531" s="147"/>
    </row>
    <row r="532" spans="3:7" ht="14" x14ac:dyDescent="0.2">
      <c r="C532" s="147"/>
      <c r="D532" s="147"/>
      <c r="E532" s="147"/>
      <c r="F532" s="147"/>
      <c r="G532" s="147"/>
    </row>
    <row r="533" spans="3:7" ht="14" x14ac:dyDescent="0.2">
      <c r="C533" s="147"/>
      <c r="D533" s="147"/>
      <c r="E533" s="147"/>
      <c r="F533" s="147"/>
      <c r="G533" s="147"/>
    </row>
    <row r="534" spans="3:7" ht="14" x14ac:dyDescent="0.2">
      <c r="C534" s="147"/>
      <c r="D534" s="147"/>
      <c r="E534" s="147"/>
      <c r="F534" s="147"/>
      <c r="G534" s="147"/>
    </row>
    <row r="535" spans="3:7" ht="14" x14ac:dyDescent="0.2">
      <c r="C535" s="147"/>
      <c r="D535" s="147"/>
      <c r="E535" s="147"/>
      <c r="F535" s="147"/>
      <c r="G535" s="147"/>
    </row>
    <row r="536" spans="3:7" ht="14" x14ac:dyDescent="0.2">
      <c r="C536" s="147"/>
      <c r="D536" s="147"/>
      <c r="E536" s="147"/>
      <c r="F536" s="147"/>
      <c r="G536" s="147"/>
    </row>
    <row r="537" spans="3:7" ht="14" x14ac:dyDescent="0.2">
      <c r="C537" s="147"/>
      <c r="D537" s="147"/>
      <c r="E537" s="147"/>
      <c r="F537" s="147"/>
      <c r="G537" s="147"/>
    </row>
    <row r="538" spans="3:7" ht="14" x14ac:dyDescent="0.2">
      <c r="C538" s="147"/>
      <c r="D538" s="147"/>
      <c r="E538" s="147"/>
      <c r="F538" s="147"/>
      <c r="G538" s="147"/>
    </row>
    <row r="539" spans="3:7" ht="14" x14ac:dyDescent="0.2">
      <c r="C539" s="147"/>
      <c r="D539" s="147"/>
      <c r="E539" s="147"/>
      <c r="F539" s="147"/>
      <c r="G539" s="147"/>
    </row>
    <row r="540" spans="3:7" ht="14" x14ac:dyDescent="0.2">
      <c r="C540" s="147"/>
      <c r="D540" s="147"/>
      <c r="E540" s="147"/>
      <c r="F540" s="147"/>
      <c r="G540" s="147"/>
    </row>
    <row r="541" spans="3:7" ht="14" x14ac:dyDescent="0.2">
      <c r="C541" s="147"/>
      <c r="D541" s="147"/>
      <c r="E541" s="147"/>
      <c r="F541" s="147"/>
      <c r="G541" s="147"/>
    </row>
    <row r="542" spans="3:7" ht="14" x14ac:dyDescent="0.2">
      <c r="C542" s="147"/>
      <c r="D542" s="147"/>
      <c r="E542" s="147"/>
      <c r="F542" s="147"/>
      <c r="G542" s="147"/>
    </row>
    <row r="543" spans="3:7" ht="14" x14ac:dyDescent="0.2">
      <c r="C543" s="147"/>
      <c r="D543" s="147"/>
      <c r="E543" s="147"/>
      <c r="F543" s="147"/>
      <c r="G543" s="147"/>
    </row>
    <row r="544" spans="3:7" ht="14" x14ac:dyDescent="0.2">
      <c r="C544" s="147"/>
      <c r="D544" s="147"/>
      <c r="E544" s="147"/>
      <c r="F544" s="147"/>
      <c r="G544" s="147"/>
    </row>
    <row r="545" spans="3:7" ht="14" x14ac:dyDescent="0.2">
      <c r="C545" s="147"/>
      <c r="D545" s="147"/>
      <c r="E545" s="147"/>
      <c r="F545" s="147"/>
      <c r="G545" s="147"/>
    </row>
    <row r="546" spans="3:7" ht="14" x14ac:dyDescent="0.2">
      <c r="C546" s="147"/>
      <c r="D546" s="147"/>
      <c r="E546" s="147"/>
      <c r="F546" s="147"/>
      <c r="G546" s="147"/>
    </row>
    <row r="547" spans="3:7" ht="14" x14ac:dyDescent="0.2">
      <c r="C547" s="147"/>
      <c r="D547" s="147"/>
      <c r="E547" s="147"/>
      <c r="F547" s="147"/>
      <c r="G547" s="147"/>
    </row>
    <row r="548" spans="3:7" ht="14" x14ac:dyDescent="0.2">
      <c r="C548" s="147"/>
      <c r="D548" s="147"/>
      <c r="E548" s="147"/>
      <c r="F548" s="147"/>
      <c r="G548" s="147"/>
    </row>
    <row r="549" spans="3:7" ht="14" x14ac:dyDescent="0.2">
      <c r="C549" s="147"/>
      <c r="D549" s="147"/>
      <c r="E549" s="147"/>
      <c r="F549" s="147"/>
      <c r="G549" s="147"/>
    </row>
    <row r="550" spans="3:7" ht="14" x14ac:dyDescent="0.2">
      <c r="C550" s="147"/>
      <c r="D550" s="147"/>
      <c r="E550" s="147"/>
      <c r="F550" s="147"/>
      <c r="G550" s="147"/>
    </row>
    <row r="551" spans="3:7" ht="14" x14ac:dyDescent="0.2">
      <c r="C551" s="147"/>
      <c r="D551" s="147"/>
      <c r="E551" s="147"/>
      <c r="F551" s="147"/>
      <c r="G551" s="147"/>
    </row>
    <row r="552" spans="3:7" ht="14" x14ac:dyDescent="0.2">
      <c r="C552" s="147"/>
      <c r="D552" s="147"/>
      <c r="E552" s="147"/>
      <c r="F552" s="147"/>
      <c r="G552" s="147"/>
    </row>
    <row r="553" spans="3:7" ht="14" x14ac:dyDescent="0.2">
      <c r="C553" s="147"/>
      <c r="D553" s="147"/>
      <c r="E553" s="147"/>
      <c r="F553" s="147"/>
      <c r="G553" s="147"/>
    </row>
    <row r="554" spans="3:7" ht="14" x14ac:dyDescent="0.2">
      <c r="C554" s="147"/>
      <c r="D554" s="147"/>
      <c r="E554" s="147"/>
      <c r="F554" s="147"/>
      <c r="G554" s="147"/>
    </row>
    <row r="555" spans="3:7" ht="14" x14ac:dyDescent="0.2">
      <c r="C555" s="147"/>
      <c r="D555" s="147"/>
      <c r="E555" s="147"/>
      <c r="F555" s="147"/>
      <c r="G555" s="147"/>
    </row>
    <row r="556" spans="3:7" ht="14" x14ac:dyDescent="0.2">
      <c r="C556" s="147"/>
      <c r="D556" s="147"/>
      <c r="E556" s="147"/>
      <c r="F556" s="147"/>
      <c r="G556" s="147"/>
    </row>
    <row r="557" spans="3:7" ht="14" x14ac:dyDescent="0.2">
      <c r="C557" s="147"/>
      <c r="D557" s="147"/>
      <c r="E557" s="147"/>
      <c r="F557" s="147"/>
      <c r="G557" s="147"/>
    </row>
    <row r="558" spans="3:7" ht="14" x14ac:dyDescent="0.2">
      <c r="C558" s="147"/>
      <c r="D558" s="147"/>
      <c r="E558" s="147"/>
      <c r="F558" s="147"/>
      <c r="G558" s="147"/>
    </row>
    <row r="559" spans="3:7" ht="14" x14ac:dyDescent="0.2">
      <c r="C559" s="147"/>
      <c r="D559" s="147"/>
      <c r="E559" s="147"/>
      <c r="F559" s="147"/>
      <c r="G559" s="147"/>
    </row>
    <row r="560" spans="3:7" ht="14" x14ac:dyDescent="0.2">
      <c r="C560" s="147"/>
      <c r="D560" s="147"/>
      <c r="E560" s="147"/>
      <c r="F560" s="147"/>
      <c r="G560" s="147"/>
    </row>
    <row r="561" spans="3:7" ht="14" x14ac:dyDescent="0.2">
      <c r="C561" s="147"/>
      <c r="D561" s="147"/>
      <c r="E561" s="147"/>
      <c r="F561" s="147"/>
      <c r="G561" s="147"/>
    </row>
    <row r="562" spans="3:7" ht="14" x14ac:dyDescent="0.2">
      <c r="C562" s="147"/>
      <c r="D562" s="147"/>
      <c r="E562" s="147"/>
      <c r="F562" s="147"/>
      <c r="G562" s="147"/>
    </row>
    <row r="563" spans="3:7" ht="14" x14ac:dyDescent="0.2">
      <c r="C563" s="147"/>
      <c r="D563" s="147"/>
      <c r="E563" s="147"/>
      <c r="F563" s="147"/>
      <c r="G563" s="147"/>
    </row>
    <row r="564" spans="3:7" ht="14" x14ac:dyDescent="0.2">
      <c r="C564" s="147"/>
      <c r="D564" s="147"/>
      <c r="E564" s="147"/>
      <c r="F564" s="147"/>
      <c r="G564" s="147"/>
    </row>
    <row r="565" spans="3:7" ht="14" x14ac:dyDescent="0.2">
      <c r="C565" s="147"/>
      <c r="D565" s="147"/>
      <c r="E565" s="147"/>
      <c r="F565" s="147"/>
      <c r="G565" s="147"/>
    </row>
    <row r="566" spans="3:7" ht="14" x14ac:dyDescent="0.2">
      <c r="C566" s="147"/>
      <c r="D566" s="147"/>
      <c r="E566" s="147"/>
      <c r="F566" s="147"/>
      <c r="G566" s="147"/>
    </row>
    <row r="567" spans="3:7" ht="14" x14ac:dyDescent="0.2">
      <c r="C567" s="147"/>
      <c r="D567" s="147"/>
      <c r="E567" s="147"/>
      <c r="F567" s="147"/>
      <c r="G567" s="147"/>
    </row>
    <row r="568" spans="3:7" ht="14" x14ac:dyDescent="0.2">
      <c r="C568" s="147"/>
      <c r="D568" s="147"/>
      <c r="E568" s="147"/>
      <c r="F568" s="147"/>
      <c r="G568" s="147"/>
    </row>
    <row r="569" spans="3:7" ht="14" x14ac:dyDescent="0.2">
      <c r="C569" s="147"/>
      <c r="D569" s="147"/>
      <c r="E569" s="147"/>
      <c r="F569" s="147"/>
      <c r="G569" s="147"/>
    </row>
    <row r="570" spans="3:7" ht="14" x14ac:dyDescent="0.2">
      <c r="C570" s="147"/>
      <c r="D570" s="147"/>
      <c r="E570" s="147"/>
      <c r="F570" s="147"/>
      <c r="G570" s="147"/>
    </row>
    <row r="571" spans="3:7" ht="14" x14ac:dyDescent="0.2">
      <c r="C571" s="147"/>
      <c r="D571" s="147"/>
      <c r="E571" s="147"/>
      <c r="F571" s="147"/>
      <c r="G571" s="147"/>
    </row>
    <row r="572" spans="3:7" ht="14" x14ac:dyDescent="0.2">
      <c r="C572" s="147"/>
      <c r="D572" s="147"/>
      <c r="E572" s="147"/>
      <c r="F572" s="147"/>
      <c r="G572" s="147"/>
    </row>
    <row r="573" spans="3:7" ht="14" x14ac:dyDescent="0.2">
      <c r="C573" s="147"/>
      <c r="D573" s="147"/>
      <c r="E573" s="147"/>
      <c r="F573" s="147"/>
      <c r="G573" s="147"/>
    </row>
    <row r="574" spans="3:7" ht="14" x14ac:dyDescent="0.2">
      <c r="C574" s="147"/>
      <c r="D574" s="147"/>
      <c r="E574" s="147"/>
      <c r="F574" s="147"/>
      <c r="G574" s="147"/>
    </row>
    <row r="575" spans="3:7" ht="14" x14ac:dyDescent="0.2">
      <c r="C575" s="147"/>
      <c r="D575" s="147"/>
      <c r="E575" s="147"/>
      <c r="F575" s="147"/>
      <c r="G575" s="147"/>
    </row>
    <row r="576" spans="3:7" ht="14" x14ac:dyDescent="0.2">
      <c r="C576" s="147"/>
      <c r="D576" s="147"/>
      <c r="E576" s="147"/>
      <c r="F576" s="147"/>
      <c r="G576" s="147"/>
    </row>
    <row r="577" spans="3:7" ht="14" x14ac:dyDescent="0.2">
      <c r="C577" s="147"/>
      <c r="D577" s="147"/>
      <c r="E577" s="147"/>
      <c r="F577" s="147"/>
      <c r="G577" s="147"/>
    </row>
    <row r="578" spans="3:7" ht="14" x14ac:dyDescent="0.2">
      <c r="C578" s="147"/>
      <c r="D578" s="147"/>
      <c r="E578" s="147"/>
      <c r="F578" s="147"/>
      <c r="G578" s="147"/>
    </row>
    <row r="579" spans="3:7" ht="14" x14ac:dyDescent="0.2">
      <c r="C579" s="147"/>
      <c r="D579" s="147"/>
      <c r="E579" s="147"/>
      <c r="F579" s="147"/>
      <c r="G579" s="147"/>
    </row>
    <row r="580" spans="3:7" ht="14" x14ac:dyDescent="0.2">
      <c r="C580" s="147"/>
      <c r="D580" s="147"/>
      <c r="E580" s="147"/>
      <c r="F580" s="147"/>
      <c r="G580" s="147"/>
    </row>
    <row r="581" spans="3:7" ht="14" x14ac:dyDescent="0.2">
      <c r="C581" s="147"/>
      <c r="D581" s="147"/>
      <c r="E581" s="147"/>
      <c r="F581" s="147"/>
      <c r="G581" s="147"/>
    </row>
    <row r="582" spans="3:7" ht="14" x14ac:dyDescent="0.2">
      <c r="C582" s="147"/>
      <c r="D582" s="147"/>
      <c r="E582" s="147"/>
      <c r="F582" s="147"/>
      <c r="G582" s="147"/>
    </row>
    <row r="583" spans="3:7" ht="14" x14ac:dyDescent="0.2">
      <c r="C583" s="147"/>
      <c r="D583" s="147"/>
      <c r="E583" s="147"/>
      <c r="F583" s="147"/>
      <c r="G583" s="147"/>
    </row>
    <row r="584" spans="3:7" ht="14" x14ac:dyDescent="0.2">
      <c r="C584" s="147"/>
      <c r="D584" s="147"/>
      <c r="E584" s="147"/>
      <c r="F584" s="147"/>
      <c r="G584" s="147"/>
    </row>
    <row r="585" spans="3:7" ht="14" x14ac:dyDescent="0.2">
      <c r="C585" s="147"/>
      <c r="D585" s="147"/>
      <c r="E585" s="147"/>
      <c r="F585" s="147"/>
      <c r="G585" s="147"/>
    </row>
    <row r="586" spans="3:7" ht="14" x14ac:dyDescent="0.2">
      <c r="C586" s="147"/>
      <c r="D586" s="147"/>
      <c r="E586" s="147"/>
      <c r="F586" s="147"/>
      <c r="G586" s="147"/>
    </row>
    <row r="587" spans="3:7" ht="14" x14ac:dyDescent="0.2">
      <c r="C587" s="147"/>
      <c r="D587" s="147"/>
      <c r="E587" s="147"/>
      <c r="F587" s="147"/>
      <c r="G587" s="147"/>
    </row>
    <row r="588" spans="3:7" ht="14" x14ac:dyDescent="0.2">
      <c r="C588" s="147"/>
      <c r="D588" s="147"/>
      <c r="E588" s="147"/>
      <c r="F588" s="147"/>
      <c r="G588" s="147"/>
    </row>
    <row r="589" spans="3:7" ht="14" x14ac:dyDescent="0.2">
      <c r="C589" s="147"/>
      <c r="D589" s="147"/>
      <c r="E589" s="147"/>
      <c r="F589" s="147"/>
      <c r="G589" s="147"/>
    </row>
    <row r="590" spans="3:7" ht="14" x14ac:dyDescent="0.2">
      <c r="C590" s="147"/>
      <c r="D590" s="147"/>
      <c r="E590" s="147"/>
      <c r="F590" s="147"/>
      <c r="G590" s="147"/>
    </row>
    <row r="591" spans="3:7" ht="14" x14ac:dyDescent="0.2">
      <c r="C591" s="147"/>
      <c r="D591" s="147"/>
      <c r="E591" s="147"/>
      <c r="F591" s="147"/>
      <c r="G591" s="147"/>
    </row>
    <row r="592" spans="3:7" ht="14" x14ac:dyDescent="0.2">
      <c r="C592" s="147"/>
      <c r="D592" s="147"/>
      <c r="E592" s="147"/>
      <c r="F592" s="147"/>
      <c r="G592" s="147"/>
    </row>
    <row r="593" spans="3:7" ht="14" x14ac:dyDescent="0.2">
      <c r="C593" s="147"/>
      <c r="D593" s="147"/>
      <c r="E593" s="147"/>
      <c r="F593" s="147"/>
      <c r="G593" s="147"/>
    </row>
    <row r="594" spans="3:7" ht="14" x14ac:dyDescent="0.2">
      <c r="C594" s="147"/>
      <c r="D594" s="147"/>
      <c r="E594" s="147"/>
      <c r="F594" s="147"/>
      <c r="G594" s="147"/>
    </row>
    <row r="595" spans="3:7" ht="14" x14ac:dyDescent="0.2">
      <c r="C595" s="147"/>
      <c r="D595" s="147"/>
      <c r="E595" s="147"/>
      <c r="F595" s="147"/>
      <c r="G595" s="147"/>
    </row>
    <row r="596" spans="3:7" ht="14" x14ac:dyDescent="0.2">
      <c r="C596" s="147"/>
      <c r="D596" s="147"/>
      <c r="E596" s="147"/>
      <c r="F596" s="147"/>
      <c r="G596" s="147"/>
    </row>
    <row r="597" spans="3:7" ht="14" x14ac:dyDescent="0.2">
      <c r="C597" s="147"/>
      <c r="D597" s="147"/>
      <c r="E597" s="147"/>
      <c r="F597" s="147"/>
      <c r="G597" s="147"/>
    </row>
    <row r="598" spans="3:7" ht="14" x14ac:dyDescent="0.2">
      <c r="C598" s="147"/>
      <c r="D598" s="147"/>
      <c r="E598" s="147"/>
      <c r="F598" s="147"/>
      <c r="G598" s="147"/>
    </row>
    <row r="599" spans="3:7" ht="14" x14ac:dyDescent="0.2">
      <c r="C599" s="147"/>
      <c r="D599" s="147"/>
      <c r="E599" s="147"/>
      <c r="F599" s="147"/>
      <c r="G599" s="147"/>
    </row>
    <row r="600" spans="3:7" ht="14" x14ac:dyDescent="0.2">
      <c r="C600" s="147"/>
      <c r="D600" s="147"/>
      <c r="E600" s="147"/>
      <c r="F600" s="147"/>
      <c r="G600" s="147"/>
    </row>
    <row r="601" spans="3:7" ht="14" x14ac:dyDescent="0.2">
      <c r="C601" s="147"/>
      <c r="D601" s="147"/>
      <c r="E601" s="147"/>
      <c r="F601" s="147"/>
      <c r="G601" s="147"/>
    </row>
    <row r="602" spans="3:7" ht="14" x14ac:dyDescent="0.2">
      <c r="C602" s="147"/>
      <c r="D602" s="147"/>
      <c r="E602" s="147"/>
      <c r="F602" s="147"/>
      <c r="G602" s="147"/>
    </row>
    <row r="603" spans="3:7" ht="14" x14ac:dyDescent="0.2">
      <c r="C603" s="147"/>
      <c r="D603" s="147"/>
      <c r="E603" s="147"/>
      <c r="F603" s="147"/>
      <c r="G603" s="147"/>
    </row>
    <row r="604" spans="3:7" ht="14" x14ac:dyDescent="0.2">
      <c r="C604" s="147"/>
      <c r="D604" s="147"/>
      <c r="E604" s="147"/>
      <c r="F604" s="147"/>
      <c r="G604" s="147"/>
    </row>
    <row r="605" spans="3:7" ht="14" x14ac:dyDescent="0.2">
      <c r="C605" s="147"/>
      <c r="D605" s="147"/>
      <c r="E605" s="147"/>
      <c r="F605" s="147"/>
      <c r="G605" s="147"/>
    </row>
    <row r="606" spans="3:7" ht="14" x14ac:dyDescent="0.2">
      <c r="C606" s="147"/>
      <c r="D606" s="147"/>
      <c r="E606" s="147"/>
      <c r="F606" s="147"/>
      <c r="G606" s="147"/>
    </row>
    <row r="607" spans="3:7" ht="14" x14ac:dyDescent="0.2">
      <c r="C607" s="147"/>
      <c r="D607" s="147"/>
      <c r="E607" s="147"/>
      <c r="F607" s="147"/>
      <c r="G607" s="147"/>
    </row>
    <row r="608" spans="3:7" ht="14" x14ac:dyDescent="0.2">
      <c r="C608" s="147"/>
      <c r="D608" s="147"/>
      <c r="E608" s="147"/>
      <c r="F608" s="147"/>
      <c r="G608" s="147"/>
    </row>
    <row r="609" spans="3:7" ht="14" x14ac:dyDescent="0.2">
      <c r="C609" s="147"/>
      <c r="D609" s="147"/>
      <c r="E609" s="147"/>
      <c r="F609" s="147"/>
      <c r="G609" s="147"/>
    </row>
    <row r="610" spans="3:7" ht="14" x14ac:dyDescent="0.2">
      <c r="C610" s="147"/>
      <c r="D610" s="147"/>
      <c r="E610" s="147"/>
      <c r="F610" s="147"/>
      <c r="G610" s="147"/>
    </row>
    <row r="611" spans="3:7" ht="14" x14ac:dyDescent="0.2">
      <c r="C611" s="147"/>
      <c r="D611" s="147"/>
      <c r="E611" s="147"/>
      <c r="F611" s="147"/>
      <c r="G611" s="147"/>
    </row>
    <row r="612" spans="3:7" ht="14" x14ac:dyDescent="0.2">
      <c r="C612" s="147"/>
      <c r="D612" s="147"/>
      <c r="E612" s="147"/>
      <c r="F612" s="147"/>
      <c r="G612" s="147"/>
    </row>
    <row r="613" spans="3:7" ht="14" x14ac:dyDescent="0.2">
      <c r="C613" s="147"/>
      <c r="D613" s="147"/>
      <c r="E613" s="147"/>
      <c r="F613" s="147"/>
      <c r="G613" s="147"/>
    </row>
    <row r="614" spans="3:7" ht="14" x14ac:dyDescent="0.2">
      <c r="C614" s="147"/>
      <c r="D614" s="147"/>
      <c r="E614" s="147"/>
      <c r="F614" s="147"/>
      <c r="G614" s="147"/>
    </row>
    <row r="615" spans="3:7" ht="14" x14ac:dyDescent="0.2">
      <c r="C615" s="147"/>
      <c r="D615" s="147"/>
      <c r="E615" s="147"/>
      <c r="F615" s="147"/>
      <c r="G615" s="147"/>
    </row>
    <row r="616" spans="3:7" ht="14" x14ac:dyDescent="0.2">
      <c r="C616" s="147"/>
      <c r="D616" s="147"/>
      <c r="E616" s="147"/>
      <c r="F616" s="147"/>
      <c r="G616" s="147"/>
    </row>
    <row r="617" spans="3:7" ht="14" x14ac:dyDescent="0.2">
      <c r="C617" s="147"/>
      <c r="D617" s="147"/>
      <c r="E617" s="147"/>
      <c r="F617" s="147"/>
      <c r="G617" s="147"/>
    </row>
    <row r="618" spans="3:7" ht="14" x14ac:dyDescent="0.2">
      <c r="C618" s="147"/>
      <c r="D618" s="147"/>
      <c r="E618" s="147"/>
      <c r="F618" s="147"/>
      <c r="G618" s="147"/>
    </row>
    <row r="619" spans="3:7" ht="14" x14ac:dyDescent="0.2">
      <c r="C619" s="147"/>
      <c r="D619" s="147"/>
      <c r="E619" s="147"/>
      <c r="F619" s="147"/>
      <c r="G619" s="147"/>
    </row>
    <row r="620" spans="3:7" ht="14" x14ac:dyDescent="0.2">
      <c r="C620" s="147"/>
      <c r="D620" s="147"/>
      <c r="E620" s="147"/>
      <c r="F620" s="147"/>
      <c r="G620" s="147"/>
    </row>
    <row r="621" spans="3:7" ht="14" x14ac:dyDescent="0.2">
      <c r="C621" s="147"/>
      <c r="D621" s="147"/>
      <c r="E621" s="147"/>
      <c r="F621" s="147"/>
      <c r="G621" s="147"/>
    </row>
    <row r="622" spans="3:7" ht="14" x14ac:dyDescent="0.2">
      <c r="C622" s="147"/>
      <c r="D622" s="147"/>
      <c r="E622" s="147"/>
      <c r="F622" s="147"/>
      <c r="G622" s="147"/>
    </row>
    <row r="623" spans="3:7" ht="14" x14ac:dyDescent="0.2">
      <c r="C623" s="147"/>
      <c r="D623" s="147"/>
      <c r="E623" s="147"/>
      <c r="F623" s="147"/>
      <c r="G623" s="147"/>
    </row>
    <row r="624" spans="3:7" ht="14" x14ac:dyDescent="0.2">
      <c r="C624" s="147"/>
      <c r="D624" s="147"/>
      <c r="E624" s="147"/>
      <c r="F624" s="147"/>
      <c r="G624" s="147"/>
    </row>
    <row r="625" spans="3:7" ht="14" x14ac:dyDescent="0.2">
      <c r="C625" s="147"/>
      <c r="D625" s="147"/>
      <c r="E625" s="147"/>
      <c r="F625" s="147"/>
      <c r="G625" s="147"/>
    </row>
    <row r="626" spans="3:7" ht="14" x14ac:dyDescent="0.2">
      <c r="C626" s="147"/>
      <c r="D626" s="147"/>
      <c r="E626" s="147"/>
      <c r="F626" s="147"/>
      <c r="G626" s="147"/>
    </row>
    <row r="627" spans="3:7" ht="14" x14ac:dyDescent="0.2">
      <c r="C627" s="147"/>
      <c r="D627" s="147"/>
      <c r="E627" s="147"/>
      <c r="F627" s="147"/>
      <c r="G627" s="147"/>
    </row>
    <row r="628" spans="3:7" ht="14" x14ac:dyDescent="0.2">
      <c r="C628" s="147"/>
      <c r="D628" s="147"/>
      <c r="E628" s="147"/>
      <c r="F628" s="147"/>
      <c r="G628" s="147"/>
    </row>
    <row r="629" spans="3:7" ht="14" x14ac:dyDescent="0.2">
      <c r="C629" s="147"/>
      <c r="D629" s="147"/>
      <c r="E629" s="147"/>
      <c r="F629" s="147"/>
      <c r="G629" s="147"/>
    </row>
    <row r="630" spans="3:7" ht="14" x14ac:dyDescent="0.2">
      <c r="C630" s="147"/>
      <c r="D630" s="147"/>
      <c r="E630" s="147"/>
      <c r="F630" s="147"/>
      <c r="G630" s="147"/>
    </row>
    <row r="631" spans="3:7" ht="14" x14ac:dyDescent="0.2">
      <c r="C631" s="147"/>
      <c r="D631" s="147"/>
      <c r="E631" s="147"/>
      <c r="F631" s="147"/>
      <c r="G631" s="147"/>
    </row>
    <row r="632" spans="3:7" ht="14" x14ac:dyDescent="0.2">
      <c r="C632" s="147"/>
      <c r="D632" s="147"/>
      <c r="E632" s="147"/>
      <c r="F632" s="147"/>
      <c r="G632" s="147"/>
    </row>
    <row r="633" spans="3:7" ht="14" x14ac:dyDescent="0.2">
      <c r="C633" s="147"/>
      <c r="D633" s="147"/>
      <c r="E633" s="147"/>
      <c r="F633" s="147"/>
      <c r="G633" s="147"/>
    </row>
    <row r="634" spans="3:7" ht="14" x14ac:dyDescent="0.2">
      <c r="C634" s="147"/>
      <c r="D634" s="147"/>
      <c r="E634" s="147"/>
      <c r="F634" s="147"/>
      <c r="G634" s="147"/>
    </row>
    <row r="635" spans="3:7" ht="14" x14ac:dyDescent="0.2">
      <c r="C635" s="147"/>
      <c r="D635" s="147"/>
      <c r="E635" s="147"/>
      <c r="F635" s="147"/>
      <c r="G635" s="147"/>
    </row>
    <row r="636" spans="3:7" ht="14" x14ac:dyDescent="0.2">
      <c r="C636" s="147"/>
      <c r="D636" s="147"/>
      <c r="E636" s="147"/>
      <c r="F636" s="147"/>
      <c r="G636" s="147"/>
    </row>
    <row r="637" spans="3:7" ht="14" x14ac:dyDescent="0.2">
      <c r="C637" s="147"/>
      <c r="D637" s="147"/>
      <c r="E637" s="147"/>
      <c r="F637" s="147"/>
      <c r="G637" s="147"/>
    </row>
    <row r="638" spans="3:7" ht="14" x14ac:dyDescent="0.2">
      <c r="C638" s="147"/>
      <c r="D638" s="147"/>
      <c r="E638" s="147"/>
      <c r="F638" s="147"/>
      <c r="G638" s="147"/>
    </row>
    <row r="639" spans="3:7" ht="14" x14ac:dyDescent="0.2">
      <c r="C639" s="147"/>
      <c r="D639" s="147"/>
      <c r="E639" s="147"/>
      <c r="F639" s="147"/>
      <c r="G639" s="147"/>
    </row>
    <row r="640" spans="3:7" ht="14" x14ac:dyDescent="0.2">
      <c r="C640" s="147"/>
      <c r="D640" s="147"/>
      <c r="E640" s="147"/>
      <c r="F640" s="147"/>
      <c r="G640" s="147"/>
    </row>
    <row r="641" spans="3:7" ht="14" x14ac:dyDescent="0.2">
      <c r="C641" s="147"/>
      <c r="D641" s="147"/>
      <c r="E641" s="147"/>
      <c r="F641" s="147"/>
      <c r="G641" s="147"/>
    </row>
    <row r="642" spans="3:7" ht="14" x14ac:dyDescent="0.2">
      <c r="C642" s="147"/>
      <c r="D642" s="147"/>
      <c r="E642" s="147"/>
      <c r="F642" s="147"/>
      <c r="G642" s="147"/>
    </row>
    <row r="643" spans="3:7" ht="14" x14ac:dyDescent="0.2">
      <c r="C643" s="147"/>
      <c r="D643" s="147"/>
      <c r="E643" s="147"/>
      <c r="F643" s="147"/>
      <c r="G643" s="147"/>
    </row>
    <row r="644" spans="3:7" ht="14" x14ac:dyDescent="0.2">
      <c r="C644" s="147"/>
      <c r="D644" s="147"/>
      <c r="E644" s="147"/>
      <c r="F644" s="147"/>
      <c r="G644" s="147"/>
    </row>
    <row r="645" spans="3:7" ht="14" x14ac:dyDescent="0.2">
      <c r="C645" s="147"/>
      <c r="D645" s="147"/>
      <c r="E645" s="147"/>
      <c r="F645" s="147"/>
      <c r="G645" s="147"/>
    </row>
    <row r="646" spans="3:7" ht="14" x14ac:dyDescent="0.2">
      <c r="C646" s="147"/>
      <c r="D646" s="147"/>
      <c r="E646" s="147"/>
      <c r="F646" s="147"/>
      <c r="G646" s="147"/>
    </row>
    <row r="647" spans="3:7" ht="14" x14ac:dyDescent="0.2">
      <c r="C647" s="147"/>
      <c r="D647" s="147"/>
      <c r="E647" s="147"/>
      <c r="F647" s="147"/>
      <c r="G647" s="147"/>
    </row>
    <row r="648" spans="3:7" ht="14" x14ac:dyDescent="0.2">
      <c r="C648" s="147"/>
      <c r="D648" s="147"/>
      <c r="E648" s="147"/>
      <c r="F648" s="147"/>
      <c r="G648" s="147"/>
    </row>
    <row r="649" spans="3:7" ht="14" x14ac:dyDescent="0.2">
      <c r="C649" s="147"/>
      <c r="D649" s="147"/>
      <c r="E649" s="147"/>
      <c r="F649" s="147"/>
      <c r="G649" s="147"/>
    </row>
    <row r="650" spans="3:7" ht="14" x14ac:dyDescent="0.2">
      <c r="C650" s="147"/>
      <c r="D650" s="147"/>
      <c r="E650" s="147"/>
      <c r="F650" s="147"/>
      <c r="G650" s="147"/>
    </row>
    <row r="651" spans="3:7" ht="14" x14ac:dyDescent="0.2">
      <c r="C651" s="147"/>
      <c r="D651" s="147"/>
      <c r="E651" s="147"/>
      <c r="F651" s="147"/>
      <c r="G651" s="147"/>
    </row>
    <row r="652" spans="3:7" ht="14" x14ac:dyDescent="0.2">
      <c r="C652" s="147"/>
      <c r="D652" s="147"/>
      <c r="E652" s="147"/>
      <c r="F652" s="147"/>
      <c r="G652" s="147"/>
    </row>
    <row r="653" spans="3:7" ht="14" x14ac:dyDescent="0.2">
      <c r="C653" s="147"/>
      <c r="D653" s="147"/>
      <c r="E653" s="147"/>
      <c r="F653" s="147"/>
      <c r="G653" s="147"/>
    </row>
    <row r="654" spans="3:7" ht="14" x14ac:dyDescent="0.2">
      <c r="C654" s="147"/>
      <c r="D654" s="147"/>
      <c r="E654" s="147"/>
      <c r="F654" s="147"/>
      <c r="G654" s="147"/>
    </row>
    <row r="655" spans="3:7" ht="14" x14ac:dyDescent="0.2">
      <c r="C655" s="147"/>
      <c r="D655" s="147"/>
      <c r="E655" s="147"/>
      <c r="F655" s="147"/>
      <c r="G655" s="147"/>
    </row>
    <row r="656" spans="3:7" ht="14" x14ac:dyDescent="0.2">
      <c r="C656" s="147"/>
      <c r="D656" s="147"/>
      <c r="E656" s="147"/>
      <c r="F656" s="147"/>
      <c r="G656" s="147"/>
    </row>
    <row r="657" spans="3:7" ht="14" x14ac:dyDescent="0.2">
      <c r="C657" s="147"/>
      <c r="D657" s="147"/>
      <c r="E657" s="147"/>
      <c r="F657" s="147"/>
      <c r="G657" s="147"/>
    </row>
    <row r="658" spans="3:7" ht="14" x14ac:dyDescent="0.2">
      <c r="C658" s="147"/>
      <c r="D658" s="147"/>
      <c r="E658" s="147"/>
      <c r="F658" s="147"/>
      <c r="G658" s="147"/>
    </row>
    <row r="659" spans="3:7" ht="14" x14ac:dyDescent="0.2">
      <c r="C659" s="147"/>
      <c r="D659" s="147"/>
      <c r="E659" s="147"/>
      <c r="F659" s="147"/>
      <c r="G659" s="147"/>
    </row>
    <row r="660" spans="3:7" ht="14" x14ac:dyDescent="0.2">
      <c r="C660" s="147"/>
      <c r="D660" s="147"/>
      <c r="E660" s="147"/>
      <c r="F660" s="147"/>
      <c r="G660" s="147"/>
    </row>
    <row r="661" spans="3:7" ht="14" x14ac:dyDescent="0.2">
      <c r="C661" s="147"/>
      <c r="D661" s="147"/>
      <c r="E661" s="147"/>
      <c r="F661" s="147"/>
      <c r="G661" s="147"/>
    </row>
    <row r="662" spans="3:7" ht="14" x14ac:dyDescent="0.2">
      <c r="C662" s="147"/>
      <c r="D662" s="147"/>
      <c r="E662" s="147"/>
      <c r="F662" s="147"/>
      <c r="G662" s="147"/>
    </row>
    <row r="663" spans="3:7" ht="14" x14ac:dyDescent="0.2">
      <c r="C663" s="147"/>
      <c r="D663" s="147"/>
      <c r="E663" s="147"/>
      <c r="F663" s="147"/>
      <c r="G663" s="147"/>
    </row>
    <row r="664" spans="3:7" ht="14" x14ac:dyDescent="0.2">
      <c r="C664" s="147"/>
      <c r="D664" s="147"/>
      <c r="E664" s="147"/>
      <c r="F664" s="147"/>
      <c r="G664" s="147"/>
    </row>
    <row r="665" spans="3:7" ht="14" x14ac:dyDescent="0.2">
      <c r="C665" s="147"/>
      <c r="D665" s="147"/>
      <c r="E665" s="147"/>
      <c r="F665" s="147"/>
      <c r="G665" s="147"/>
    </row>
    <row r="666" spans="3:7" ht="14" x14ac:dyDescent="0.2">
      <c r="C666" s="147"/>
      <c r="D666" s="147"/>
      <c r="E666" s="147"/>
      <c r="F666" s="147"/>
      <c r="G666" s="147"/>
    </row>
    <row r="667" spans="3:7" ht="14" x14ac:dyDescent="0.2">
      <c r="C667" s="147"/>
      <c r="D667" s="147"/>
      <c r="E667" s="147"/>
      <c r="F667" s="147"/>
      <c r="G667" s="147"/>
    </row>
    <row r="668" spans="3:7" ht="14" x14ac:dyDescent="0.2">
      <c r="C668" s="147"/>
      <c r="D668" s="147"/>
      <c r="E668" s="147"/>
      <c r="F668" s="147"/>
      <c r="G668" s="147"/>
    </row>
    <row r="669" spans="3:7" ht="14" x14ac:dyDescent="0.2">
      <c r="C669" s="147"/>
      <c r="D669" s="147"/>
      <c r="E669" s="147"/>
      <c r="F669" s="147"/>
      <c r="G669" s="147"/>
    </row>
    <row r="670" spans="3:7" ht="14" x14ac:dyDescent="0.2">
      <c r="C670" s="147"/>
      <c r="D670" s="147"/>
      <c r="E670" s="147"/>
      <c r="F670" s="147"/>
      <c r="G670" s="147"/>
    </row>
    <row r="671" spans="3:7" ht="14" x14ac:dyDescent="0.2">
      <c r="C671" s="147"/>
      <c r="D671" s="147"/>
      <c r="E671" s="147"/>
      <c r="F671" s="147"/>
      <c r="G671" s="147"/>
    </row>
    <row r="672" spans="3:7" ht="14" x14ac:dyDescent="0.2">
      <c r="C672" s="147"/>
      <c r="D672" s="147"/>
      <c r="E672" s="147"/>
      <c r="F672" s="147"/>
      <c r="G672" s="147"/>
    </row>
    <row r="673" spans="3:7" ht="14" x14ac:dyDescent="0.2">
      <c r="C673" s="147"/>
      <c r="D673" s="147"/>
      <c r="E673" s="147"/>
      <c r="F673" s="147"/>
      <c r="G673" s="147"/>
    </row>
    <row r="674" spans="3:7" ht="14" x14ac:dyDescent="0.2">
      <c r="C674" s="147"/>
      <c r="D674" s="147"/>
      <c r="E674" s="147"/>
      <c r="F674" s="147"/>
      <c r="G674" s="147"/>
    </row>
    <row r="675" spans="3:7" ht="14" x14ac:dyDescent="0.2">
      <c r="C675" s="147"/>
      <c r="D675" s="147"/>
      <c r="E675" s="147"/>
      <c r="F675" s="147"/>
      <c r="G675" s="147"/>
    </row>
    <row r="676" spans="3:7" ht="14" x14ac:dyDescent="0.2">
      <c r="C676" s="147"/>
      <c r="D676" s="147"/>
      <c r="E676" s="147"/>
      <c r="F676" s="147"/>
      <c r="G676" s="147"/>
    </row>
    <row r="677" spans="3:7" ht="14" x14ac:dyDescent="0.2">
      <c r="C677" s="147"/>
      <c r="D677" s="147"/>
      <c r="E677" s="147"/>
      <c r="F677" s="147"/>
      <c r="G677" s="147"/>
    </row>
    <row r="678" spans="3:7" ht="14" x14ac:dyDescent="0.2">
      <c r="C678" s="147"/>
      <c r="D678" s="147"/>
      <c r="E678" s="147"/>
      <c r="F678" s="147"/>
      <c r="G678" s="147"/>
    </row>
    <row r="679" spans="3:7" ht="14" x14ac:dyDescent="0.2">
      <c r="C679" s="147"/>
      <c r="D679" s="147"/>
      <c r="E679" s="147"/>
      <c r="F679" s="147"/>
      <c r="G679" s="147"/>
    </row>
    <row r="680" spans="3:7" ht="14" x14ac:dyDescent="0.2">
      <c r="C680" s="147"/>
      <c r="D680" s="147"/>
      <c r="E680" s="147"/>
      <c r="F680" s="147"/>
      <c r="G680" s="147"/>
    </row>
    <row r="681" spans="3:7" ht="14" x14ac:dyDescent="0.2">
      <c r="C681" s="147"/>
      <c r="D681" s="147"/>
      <c r="E681" s="147"/>
      <c r="F681" s="147"/>
      <c r="G681" s="147"/>
    </row>
    <row r="682" spans="3:7" ht="14" x14ac:dyDescent="0.2">
      <c r="C682" s="147"/>
      <c r="D682" s="147"/>
      <c r="E682" s="147"/>
      <c r="F682" s="147"/>
      <c r="G682" s="147"/>
    </row>
    <row r="683" spans="3:7" ht="14" x14ac:dyDescent="0.2">
      <c r="C683" s="147"/>
      <c r="D683" s="147"/>
      <c r="E683" s="147"/>
      <c r="F683" s="147"/>
      <c r="G683" s="147"/>
    </row>
    <row r="684" spans="3:7" ht="14" x14ac:dyDescent="0.2">
      <c r="C684" s="147"/>
      <c r="D684" s="147"/>
      <c r="E684" s="147"/>
      <c r="F684" s="147"/>
      <c r="G684" s="147"/>
    </row>
    <row r="685" spans="3:7" ht="14" x14ac:dyDescent="0.2">
      <c r="C685" s="147"/>
      <c r="D685" s="147"/>
      <c r="E685" s="147"/>
      <c r="F685" s="147"/>
      <c r="G685" s="147"/>
    </row>
    <row r="686" spans="3:7" ht="14" x14ac:dyDescent="0.2">
      <c r="C686" s="147"/>
      <c r="D686" s="147"/>
      <c r="E686" s="147"/>
      <c r="F686" s="147"/>
      <c r="G686" s="147"/>
    </row>
    <row r="687" spans="3:7" ht="14" x14ac:dyDescent="0.2">
      <c r="C687" s="147"/>
      <c r="D687" s="147"/>
      <c r="E687" s="147"/>
      <c r="F687" s="147"/>
      <c r="G687" s="147"/>
    </row>
    <row r="688" spans="3:7" ht="14" x14ac:dyDescent="0.2">
      <c r="C688" s="147"/>
      <c r="D688" s="147"/>
      <c r="E688" s="147"/>
      <c r="F688" s="147"/>
      <c r="G688" s="147"/>
    </row>
    <row r="689" spans="3:7" ht="14" x14ac:dyDescent="0.2">
      <c r="C689" s="147"/>
      <c r="D689" s="147"/>
      <c r="E689" s="147"/>
      <c r="F689" s="147"/>
      <c r="G689" s="147"/>
    </row>
    <row r="690" spans="3:7" ht="14" x14ac:dyDescent="0.2">
      <c r="C690" s="147"/>
      <c r="D690" s="147"/>
      <c r="E690" s="147"/>
      <c r="F690" s="147"/>
      <c r="G690" s="147"/>
    </row>
    <row r="691" spans="3:7" ht="14" x14ac:dyDescent="0.2">
      <c r="C691" s="147"/>
      <c r="D691" s="147"/>
      <c r="E691" s="147"/>
      <c r="F691" s="147"/>
      <c r="G691" s="147"/>
    </row>
    <row r="692" spans="3:7" ht="14" x14ac:dyDescent="0.2">
      <c r="C692" s="147"/>
      <c r="D692" s="147"/>
      <c r="E692" s="147"/>
      <c r="F692" s="147"/>
      <c r="G692" s="147"/>
    </row>
    <row r="693" spans="3:7" ht="14" x14ac:dyDescent="0.2">
      <c r="C693" s="147"/>
      <c r="D693" s="147"/>
      <c r="E693" s="147"/>
      <c r="F693" s="147"/>
      <c r="G693" s="147"/>
    </row>
    <row r="694" spans="3:7" ht="14" x14ac:dyDescent="0.2">
      <c r="C694" s="147"/>
      <c r="D694" s="147"/>
      <c r="E694" s="147"/>
      <c r="F694" s="147"/>
      <c r="G694" s="147"/>
    </row>
    <row r="695" spans="3:7" ht="14" x14ac:dyDescent="0.2">
      <c r="C695" s="147"/>
      <c r="D695" s="147"/>
      <c r="E695" s="147"/>
      <c r="F695" s="147"/>
      <c r="G695" s="147"/>
    </row>
    <row r="696" spans="3:7" ht="14" x14ac:dyDescent="0.2">
      <c r="C696" s="147"/>
      <c r="D696" s="147"/>
      <c r="E696" s="147"/>
      <c r="F696" s="147"/>
      <c r="G696" s="147"/>
    </row>
    <row r="697" spans="3:7" ht="14" x14ac:dyDescent="0.2">
      <c r="C697" s="147"/>
      <c r="D697" s="147"/>
      <c r="E697" s="147"/>
      <c r="F697" s="147"/>
      <c r="G697" s="147"/>
    </row>
    <row r="698" spans="3:7" ht="14" x14ac:dyDescent="0.2">
      <c r="C698" s="147"/>
      <c r="D698" s="147"/>
      <c r="E698" s="147"/>
      <c r="F698" s="147"/>
      <c r="G698" s="147"/>
    </row>
    <row r="699" spans="3:7" ht="14" x14ac:dyDescent="0.2">
      <c r="C699" s="147"/>
      <c r="D699" s="147"/>
      <c r="E699" s="147"/>
      <c r="F699" s="147"/>
      <c r="G699" s="147"/>
    </row>
    <row r="700" spans="3:7" ht="14" x14ac:dyDescent="0.2">
      <c r="C700" s="147"/>
      <c r="D700" s="147"/>
      <c r="E700" s="147"/>
      <c r="F700" s="147"/>
      <c r="G700" s="147"/>
    </row>
    <row r="701" spans="3:7" ht="14" x14ac:dyDescent="0.2">
      <c r="C701" s="147"/>
      <c r="D701" s="147"/>
      <c r="E701" s="147"/>
      <c r="F701" s="147"/>
      <c r="G701" s="147"/>
    </row>
    <row r="702" spans="3:7" ht="14" x14ac:dyDescent="0.2">
      <c r="C702" s="147"/>
      <c r="D702" s="147"/>
      <c r="E702" s="147"/>
      <c r="F702" s="147"/>
      <c r="G702" s="147"/>
    </row>
    <row r="703" spans="3:7" ht="14" x14ac:dyDescent="0.2">
      <c r="C703" s="147"/>
      <c r="D703" s="147"/>
      <c r="E703" s="147"/>
      <c r="F703" s="147"/>
      <c r="G703" s="147"/>
    </row>
    <row r="704" spans="3:7" ht="14" x14ac:dyDescent="0.2">
      <c r="C704" s="147"/>
      <c r="D704" s="147"/>
      <c r="E704" s="147"/>
      <c r="F704" s="147"/>
      <c r="G704" s="147"/>
    </row>
    <row r="705" spans="3:7" ht="14" x14ac:dyDescent="0.2">
      <c r="C705" s="147"/>
      <c r="D705" s="147"/>
      <c r="E705" s="147"/>
      <c r="F705" s="147"/>
      <c r="G705" s="147"/>
    </row>
    <row r="706" spans="3:7" ht="14" x14ac:dyDescent="0.2">
      <c r="C706" s="147"/>
      <c r="D706" s="147"/>
      <c r="E706" s="147"/>
      <c r="F706" s="147"/>
      <c r="G706" s="147"/>
    </row>
    <row r="707" spans="3:7" ht="14" x14ac:dyDescent="0.2">
      <c r="C707" s="147"/>
      <c r="D707" s="147"/>
      <c r="E707" s="147"/>
      <c r="F707" s="147"/>
      <c r="G707" s="147"/>
    </row>
    <row r="708" spans="3:7" ht="14" x14ac:dyDescent="0.2">
      <c r="C708" s="147"/>
      <c r="D708" s="147"/>
      <c r="E708" s="147"/>
      <c r="F708" s="147"/>
      <c r="G708" s="147"/>
    </row>
    <row r="709" spans="3:7" ht="14" x14ac:dyDescent="0.2">
      <c r="C709" s="147"/>
      <c r="D709" s="147"/>
      <c r="E709" s="147"/>
      <c r="F709" s="147"/>
      <c r="G709" s="147"/>
    </row>
    <row r="710" spans="3:7" ht="14" x14ac:dyDescent="0.2">
      <c r="C710" s="147"/>
      <c r="D710" s="147"/>
      <c r="E710" s="147"/>
      <c r="F710" s="147"/>
      <c r="G710" s="147"/>
    </row>
    <row r="711" spans="3:7" ht="14" x14ac:dyDescent="0.2">
      <c r="C711" s="147"/>
      <c r="D711" s="147"/>
      <c r="E711" s="147"/>
      <c r="F711" s="147"/>
      <c r="G711" s="147"/>
    </row>
    <row r="712" spans="3:7" ht="14" x14ac:dyDescent="0.2">
      <c r="C712" s="147"/>
      <c r="D712" s="147"/>
      <c r="E712" s="147"/>
      <c r="F712" s="147"/>
      <c r="G712" s="147"/>
    </row>
    <row r="713" spans="3:7" ht="14" x14ac:dyDescent="0.2">
      <c r="C713" s="147"/>
      <c r="D713" s="147"/>
      <c r="E713" s="147"/>
      <c r="F713" s="147"/>
      <c r="G713" s="147"/>
    </row>
    <row r="714" spans="3:7" ht="14" x14ac:dyDescent="0.2">
      <c r="C714" s="147"/>
      <c r="D714" s="147"/>
      <c r="E714" s="147"/>
      <c r="F714" s="147"/>
      <c r="G714" s="147"/>
    </row>
    <row r="715" spans="3:7" ht="14" x14ac:dyDescent="0.2">
      <c r="C715" s="147"/>
      <c r="D715" s="147"/>
      <c r="E715" s="147"/>
      <c r="F715" s="147"/>
      <c r="G715" s="147"/>
    </row>
    <row r="716" spans="3:7" ht="14" x14ac:dyDescent="0.2">
      <c r="C716" s="147"/>
      <c r="D716" s="147"/>
      <c r="E716" s="147"/>
      <c r="F716" s="147"/>
      <c r="G716" s="147"/>
    </row>
    <row r="717" spans="3:7" ht="14" x14ac:dyDescent="0.2">
      <c r="C717" s="147"/>
      <c r="D717" s="147"/>
      <c r="E717" s="147"/>
      <c r="F717" s="147"/>
      <c r="G717" s="147"/>
    </row>
    <row r="718" spans="3:7" ht="14" x14ac:dyDescent="0.2">
      <c r="C718" s="147"/>
      <c r="D718" s="147"/>
      <c r="E718" s="147"/>
      <c r="F718" s="147"/>
      <c r="G718" s="147"/>
    </row>
    <row r="719" spans="3:7" ht="14" x14ac:dyDescent="0.2">
      <c r="C719" s="147"/>
      <c r="D719" s="147"/>
      <c r="E719" s="147"/>
      <c r="F719" s="147"/>
      <c r="G719" s="147"/>
    </row>
    <row r="720" spans="3:7" ht="14" x14ac:dyDescent="0.2">
      <c r="C720" s="147"/>
      <c r="D720" s="147"/>
      <c r="E720" s="147"/>
      <c r="F720" s="147"/>
      <c r="G720" s="147"/>
    </row>
    <row r="721" spans="3:7" ht="14" x14ac:dyDescent="0.2">
      <c r="C721" s="147"/>
      <c r="D721" s="147"/>
      <c r="E721" s="147"/>
      <c r="F721" s="147"/>
      <c r="G721" s="147"/>
    </row>
    <row r="722" spans="3:7" ht="14" x14ac:dyDescent="0.2">
      <c r="C722" s="147"/>
      <c r="D722" s="147"/>
      <c r="E722" s="147"/>
      <c r="F722" s="147"/>
      <c r="G722" s="147"/>
    </row>
    <row r="723" spans="3:7" ht="14" x14ac:dyDescent="0.2">
      <c r="C723" s="147"/>
      <c r="D723" s="147"/>
      <c r="E723" s="147"/>
      <c r="F723" s="147"/>
      <c r="G723" s="147"/>
    </row>
    <row r="724" spans="3:7" ht="14" x14ac:dyDescent="0.2">
      <c r="C724" s="147"/>
      <c r="D724" s="147"/>
      <c r="E724" s="147"/>
      <c r="F724" s="147"/>
      <c r="G724" s="147"/>
    </row>
    <row r="725" spans="3:7" ht="14" x14ac:dyDescent="0.2">
      <c r="C725" s="147"/>
      <c r="D725" s="147"/>
      <c r="E725" s="147"/>
      <c r="F725" s="147"/>
      <c r="G725" s="147"/>
    </row>
    <row r="726" spans="3:7" ht="14" x14ac:dyDescent="0.2">
      <c r="C726" s="147"/>
      <c r="D726" s="147"/>
      <c r="E726" s="147"/>
      <c r="F726" s="147"/>
      <c r="G726" s="147"/>
    </row>
    <row r="727" spans="3:7" ht="14" x14ac:dyDescent="0.2">
      <c r="C727" s="147"/>
      <c r="D727" s="147"/>
      <c r="E727" s="147"/>
      <c r="F727" s="147"/>
      <c r="G727" s="147"/>
    </row>
    <row r="728" spans="3:7" ht="14" x14ac:dyDescent="0.2">
      <c r="C728" s="147"/>
      <c r="D728" s="147"/>
      <c r="E728" s="147"/>
      <c r="F728" s="147"/>
      <c r="G728" s="147"/>
    </row>
    <row r="729" spans="3:7" ht="14" x14ac:dyDescent="0.2">
      <c r="C729" s="147"/>
      <c r="D729" s="147"/>
      <c r="E729" s="147"/>
      <c r="F729" s="147"/>
      <c r="G729" s="147"/>
    </row>
    <row r="730" spans="3:7" ht="14" x14ac:dyDescent="0.2">
      <c r="C730" s="147"/>
      <c r="D730" s="147"/>
      <c r="E730" s="147"/>
      <c r="F730" s="147"/>
      <c r="G730" s="147"/>
    </row>
    <row r="731" spans="3:7" ht="14" x14ac:dyDescent="0.2">
      <c r="C731" s="147"/>
      <c r="D731" s="147"/>
      <c r="E731" s="147"/>
      <c r="F731" s="147"/>
      <c r="G731" s="147"/>
    </row>
    <row r="732" spans="3:7" ht="14" x14ac:dyDescent="0.2">
      <c r="C732" s="147"/>
      <c r="D732" s="147"/>
      <c r="E732" s="147"/>
      <c r="F732" s="147"/>
      <c r="G732" s="147"/>
    </row>
    <row r="733" spans="3:7" ht="14" x14ac:dyDescent="0.2">
      <c r="C733" s="147"/>
      <c r="D733" s="147"/>
      <c r="E733" s="147"/>
      <c r="F733" s="147"/>
      <c r="G733" s="147"/>
    </row>
    <row r="734" spans="3:7" ht="14" x14ac:dyDescent="0.2">
      <c r="C734" s="147"/>
      <c r="D734" s="147"/>
      <c r="E734" s="147"/>
      <c r="F734" s="147"/>
      <c r="G734" s="147"/>
    </row>
    <row r="735" spans="3:7" ht="14" x14ac:dyDescent="0.2">
      <c r="C735" s="147"/>
      <c r="D735" s="147"/>
      <c r="E735" s="147"/>
      <c r="F735" s="147"/>
      <c r="G735" s="147"/>
    </row>
    <row r="736" spans="3:7" ht="14" x14ac:dyDescent="0.2">
      <c r="C736" s="147"/>
      <c r="D736" s="147"/>
      <c r="E736" s="147"/>
      <c r="F736" s="147"/>
      <c r="G736" s="147"/>
    </row>
    <row r="737" spans="3:7" ht="14" x14ac:dyDescent="0.2">
      <c r="C737" s="147"/>
      <c r="D737" s="147"/>
      <c r="E737" s="147"/>
      <c r="F737" s="147"/>
      <c r="G737" s="147"/>
    </row>
    <row r="738" spans="3:7" ht="14" x14ac:dyDescent="0.2">
      <c r="C738" s="147"/>
      <c r="D738" s="147"/>
      <c r="E738" s="147"/>
      <c r="F738" s="147"/>
      <c r="G738" s="147"/>
    </row>
    <row r="739" spans="3:7" ht="14" x14ac:dyDescent="0.2">
      <c r="C739" s="147"/>
      <c r="D739" s="147"/>
      <c r="E739" s="147"/>
      <c r="F739" s="147"/>
      <c r="G739" s="147"/>
    </row>
    <row r="740" spans="3:7" ht="14" x14ac:dyDescent="0.2">
      <c r="C740" s="147"/>
      <c r="D740" s="147"/>
      <c r="E740" s="147"/>
      <c r="F740" s="147"/>
      <c r="G740" s="147"/>
    </row>
    <row r="741" spans="3:7" ht="14" x14ac:dyDescent="0.2">
      <c r="C741" s="147"/>
      <c r="D741" s="147"/>
      <c r="E741" s="147"/>
      <c r="F741" s="147"/>
      <c r="G741" s="147"/>
    </row>
    <row r="742" spans="3:7" ht="14" x14ac:dyDescent="0.2">
      <c r="C742" s="147"/>
      <c r="D742" s="147"/>
      <c r="E742" s="147"/>
      <c r="F742" s="147"/>
      <c r="G742" s="147"/>
    </row>
    <row r="743" spans="3:7" ht="14" x14ac:dyDescent="0.2">
      <c r="C743" s="147"/>
      <c r="D743" s="147"/>
      <c r="E743" s="147"/>
      <c r="F743" s="147"/>
      <c r="G743" s="147"/>
    </row>
    <row r="744" spans="3:7" ht="14" x14ac:dyDescent="0.2">
      <c r="C744" s="147"/>
      <c r="D744" s="147"/>
      <c r="E744" s="147"/>
      <c r="F744" s="147"/>
      <c r="G744" s="147"/>
    </row>
    <row r="745" spans="3:7" ht="14" x14ac:dyDescent="0.2">
      <c r="C745" s="147"/>
      <c r="D745" s="147"/>
      <c r="E745" s="147"/>
      <c r="F745" s="147"/>
      <c r="G745" s="147"/>
    </row>
    <row r="746" spans="3:7" ht="14" x14ac:dyDescent="0.2">
      <c r="C746" s="147"/>
      <c r="D746" s="147"/>
      <c r="E746" s="147"/>
      <c r="F746" s="147"/>
      <c r="G746" s="147"/>
    </row>
    <row r="747" spans="3:7" ht="14" x14ac:dyDescent="0.2">
      <c r="C747" s="147"/>
      <c r="D747" s="147"/>
      <c r="E747" s="147"/>
      <c r="F747" s="147"/>
      <c r="G747" s="147"/>
    </row>
    <row r="748" spans="3:7" ht="14" x14ac:dyDescent="0.2">
      <c r="C748" s="147"/>
      <c r="D748" s="147"/>
      <c r="E748" s="147"/>
      <c r="F748" s="147"/>
      <c r="G748" s="147"/>
    </row>
    <row r="749" spans="3:7" ht="14" x14ac:dyDescent="0.2">
      <c r="C749" s="147"/>
      <c r="D749" s="147"/>
      <c r="E749" s="147"/>
      <c r="F749" s="147"/>
      <c r="G749" s="147"/>
    </row>
    <row r="750" spans="3:7" ht="14" x14ac:dyDescent="0.2">
      <c r="C750" s="147"/>
      <c r="D750" s="147"/>
      <c r="E750" s="147"/>
      <c r="F750" s="147"/>
      <c r="G750" s="147"/>
    </row>
    <row r="751" spans="3:7" ht="14" x14ac:dyDescent="0.2">
      <c r="C751" s="147"/>
      <c r="D751" s="147"/>
      <c r="E751" s="147"/>
      <c r="F751" s="147"/>
      <c r="G751" s="147"/>
    </row>
    <row r="752" spans="3:7" ht="14" x14ac:dyDescent="0.2">
      <c r="C752" s="147"/>
      <c r="D752" s="147"/>
      <c r="E752" s="147"/>
      <c r="F752" s="147"/>
      <c r="G752" s="147"/>
    </row>
    <row r="753" spans="3:7" ht="14" x14ac:dyDescent="0.2">
      <c r="C753" s="147"/>
      <c r="D753" s="147"/>
      <c r="E753" s="147"/>
      <c r="F753" s="147"/>
      <c r="G753" s="147"/>
    </row>
    <row r="754" spans="3:7" ht="14" x14ac:dyDescent="0.2">
      <c r="C754" s="147"/>
      <c r="D754" s="147"/>
      <c r="E754" s="147"/>
      <c r="F754" s="147"/>
      <c r="G754" s="147"/>
    </row>
    <row r="755" spans="3:7" ht="14" x14ac:dyDescent="0.2">
      <c r="C755" s="147"/>
      <c r="D755" s="147"/>
      <c r="E755" s="147"/>
      <c r="F755" s="147"/>
      <c r="G755" s="147"/>
    </row>
    <row r="756" spans="3:7" ht="14" x14ac:dyDescent="0.2">
      <c r="C756" s="147"/>
      <c r="D756" s="147"/>
      <c r="E756" s="147"/>
      <c r="F756" s="147"/>
      <c r="G756" s="147"/>
    </row>
    <row r="757" spans="3:7" ht="14" x14ac:dyDescent="0.2">
      <c r="C757" s="147"/>
      <c r="D757" s="147"/>
      <c r="E757" s="147"/>
      <c r="F757" s="147"/>
      <c r="G757" s="147"/>
    </row>
    <row r="758" spans="3:7" ht="14" x14ac:dyDescent="0.2">
      <c r="C758" s="147"/>
      <c r="D758" s="147"/>
      <c r="E758" s="147"/>
      <c r="F758" s="147"/>
      <c r="G758" s="147"/>
    </row>
    <row r="759" spans="3:7" ht="14" x14ac:dyDescent="0.2">
      <c r="C759" s="147"/>
      <c r="D759" s="147"/>
      <c r="E759" s="147"/>
      <c r="F759" s="147"/>
      <c r="G759" s="147"/>
    </row>
    <row r="760" spans="3:7" ht="14" x14ac:dyDescent="0.2">
      <c r="C760" s="147"/>
      <c r="D760" s="147"/>
      <c r="E760" s="147"/>
      <c r="F760" s="147"/>
      <c r="G760" s="147"/>
    </row>
    <row r="761" spans="3:7" ht="14" x14ac:dyDescent="0.2">
      <c r="C761" s="147"/>
      <c r="D761" s="147"/>
      <c r="E761" s="147"/>
      <c r="F761" s="147"/>
      <c r="G761" s="147"/>
    </row>
    <row r="762" spans="3:7" ht="14" x14ac:dyDescent="0.2">
      <c r="C762" s="147"/>
      <c r="D762" s="147"/>
      <c r="E762" s="147"/>
      <c r="F762" s="147"/>
      <c r="G762" s="147"/>
    </row>
    <row r="763" spans="3:7" ht="14" x14ac:dyDescent="0.2">
      <c r="C763" s="147"/>
      <c r="D763" s="147"/>
      <c r="E763" s="147"/>
      <c r="F763" s="147"/>
      <c r="G763" s="147"/>
    </row>
    <row r="764" spans="3:7" ht="14" x14ac:dyDescent="0.2">
      <c r="C764" s="147"/>
      <c r="D764" s="147"/>
      <c r="E764" s="147"/>
      <c r="F764" s="147"/>
      <c r="G764" s="147"/>
    </row>
    <row r="765" spans="3:7" ht="14" x14ac:dyDescent="0.2">
      <c r="C765" s="147"/>
      <c r="D765" s="147"/>
      <c r="E765" s="147"/>
      <c r="F765" s="147"/>
      <c r="G765" s="147"/>
    </row>
    <row r="766" spans="3:7" ht="14" x14ac:dyDescent="0.2">
      <c r="C766" s="147"/>
      <c r="D766" s="147"/>
      <c r="E766" s="147"/>
      <c r="F766" s="147"/>
      <c r="G766" s="147"/>
    </row>
    <row r="767" spans="3:7" ht="14" x14ac:dyDescent="0.2">
      <c r="C767" s="147"/>
      <c r="D767" s="147"/>
      <c r="E767" s="147"/>
      <c r="F767" s="147"/>
      <c r="G767" s="147"/>
    </row>
    <row r="768" spans="3:7" ht="14" x14ac:dyDescent="0.2">
      <c r="C768" s="147"/>
      <c r="D768" s="147"/>
      <c r="E768" s="147"/>
      <c r="F768" s="147"/>
      <c r="G768" s="147"/>
    </row>
    <row r="769" spans="3:7" ht="14" x14ac:dyDescent="0.2">
      <c r="C769" s="147"/>
      <c r="D769" s="147"/>
      <c r="E769" s="147"/>
      <c r="F769" s="147"/>
      <c r="G769" s="147"/>
    </row>
    <row r="770" spans="3:7" ht="14" x14ac:dyDescent="0.2">
      <c r="C770" s="147"/>
      <c r="D770" s="147"/>
      <c r="E770" s="147"/>
      <c r="F770" s="147"/>
      <c r="G770" s="147"/>
    </row>
    <row r="771" spans="3:7" ht="14" x14ac:dyDescent="0.2">
      <c r="C771" s="147"/>
      <c r="D771" s="147"/>
      <c r="E771" s="147"/>
      <c r="F771" s="147"/>
      <c r="G771" s="147"/>
    </row>
    <row r="772" spans="3:7" ht="14" x14ac:dyDescent="0.2">
      <c r="C772" s="147"/>
      <c r="D772" s="147"/>
      <c r="E772" s="147"/>
      <c r="F772" s="147"/>
      <c r="G772" s="147"/>
    </row>
    <row r="773" spans="3:7" ht="14" x14ac:dyDescent="0.2">
      <c r="C773" s="147"/>
      <c r="D773" s="147"/>
      <c r="E773" s="147"/>
      <c r="F773" s="147"/>
      <c r="G773" s="147"/>
    </row>
    <row r="774" spans="3:7" ht="14" x14ac:dyDescent="0.2">
      <c r="C774" s="147"/>
      <c r="D774" s="147"/>
      <c r="E774" s="147"/>
      <c r="F774" s="147"/>
      <c r="G774" s="147"/>
    </row>
    <row r="775" spans="3:7" ht="14" x14ac:dyDescent="0.2">
      <c r="C775" s="147"/>
      <c r="D775" s="147"/>
      <c r="E775" s="147"/>
      <c r="F775" s="147"/>
      <c r="G775" s="147"/>
    </row>
    <row r="776" spans="3:7" ht="14" x14ac:dyDescent="0.2">
      <c r="C776" s="147"/>
      <c r="D776" s="147"/>
      <c r="E776" s="147"/>
      <c r="F776" s="147"/>
      <c r="G776" s="147"/>
    </row>
    <row r="777" spans="3:7" ht="14" x14ac:dyDescent="0.2">
      <c r="C777" s="147"/>
      <c r="D777" s="147"/>
      <c r="E777" s="147"/>
      <c r="F777" s="147"/>
      <c r="G777" s="147"/>
    </row>
    <row r="778" spans="3:7" ht="14" x14ac:dyDescent="0.2">
      <c r="C778" s="147"/>
      <c r="D778" s="147"/>
      <c r="E778" s="147"/>
      <c r="F778" s="147"/>
      <c r="G778" s="147"/>
    </row>
    <row r="779" spans="3:7" ht="14" x14ac:dyDescent="0.2">
      <c r="C779" s="147"/>
      <c r="D779" s="147"/>
      <c r="E779" s="147"/>
      <c r="F779" s="147"/>
      <c r="G779" s="147"/>
    </row>
    <row r="780" spans="3:7" ht="14" x14ac:dyDescent="0.2">
      <c r="C780" s="147"/>
      <c r="D780" s="147"/>
      <c r="E780" s="147"/>
      <c r="F780" s="147"/>
      <c r="G780" s="147"/>
    </row>
    <row r="781" spans="3:7" ht="14" x14ac:dyDescent="0.2">
      <c r="C781" s="147"/>
      <c r="D781" s="147"/>
      <c r="E781" s="147"/>
      <c r="F781" s="147"/>
      <c r="G781" s="147"/>
    </row>
    <row r="782" spans="3:7" ht="14" x14ac:dyDescent="0.2">
      <c r="C782" s="147"/>
      <c r="D782" s="147"/>
      <c r="E782" s="147"/>
      <c r="F782" s="147"/>
      <c r="G782" s="147"/>
    </row>
    <row r="783" spans="3:7" ht="14" x14ac:dyDescent="0.2">
      <c r="C783" s="147"/>
      <c r="D783" s="147"/>
      <c r="E783" s="147"/>
      <c r="F783" s="147"/>
      <c r="G783" s="147"/>
    </row>
    <row r="784" spans="3:7" ht="14" x14ac:dyDescent="0.2">
      <c r="C784" s="147"/>
      <c r="D784" s="147"/>
      <c r="E784" s="147"/>
      <c r="F784" s="147"/>
      <c r="G784" s="147"/>
    </row>
    <row r="785" spans="3:7" ht="14" x14ac:dyDescent="0.2">
      <c r="C785" s="147"/>
      <c r="D785" s="147"/>
      <c r="E785" s="147"/>
      <c r="F785" s="147"/>
      <c r="G785" s="147"/>
    </row>
    <row r="786" spans="3:7" ht="14" x14ac:dyDescent="0.2">
      <c r="C786" s="147"/>
      <c r="D786" s="147"/>
      <c r="E786" s="147"/>
      <c r="F786" s="147"/>
      <c r="G786" s="147"/>
    </row>
    <row r="787" spans="3:7" ht="14" x14ac:dyDescent="0.2">
      <c r="C787" s="147"/>
      <c r="D787" s="147"/>
      <c r="E787" s="147"/>
      <c r="F787" s="147"/>
      <c r="G787" s="147"/>
    </row>
    <row r="788" spans="3:7" ht="14" x14ac:dyDescent="0.2">
      <c r="C788" s="147"/>
      <c r="D788" s="147"/>
      <c r="E788" s="147"/>
      <c r="F788" s="147"/>
      <c r="G788" s="147"/>
    </row>
    <row r="789" spans="3:7" ht="14" x14ac:dyDescent="0.2">
      <c r="C789" s="147"/>
      <c r="D789" s="147"/>
      <c r="E789" s="147"/>
      <c r="F789" s="147"/>
      <c r="G789" s="147"/>
    </row>
    <row r="790" spans="3:7" ht="14" x14ac:dyDescent="0.2">
      <c r="C790" s="147"/>
      <c r="D790" s="147"/>
      <c r="E790" s="147"/>
      <c r="F790" s="147"/>
      <c r="G790" s="147"/>
    </row>
    <row r="791" spans="3:7" ht="14" x14ac:dyDescent="0.2">
      <c r="C791" s="147"/>
      <c r="D791" s="147"/>
      <c r="E791" s="147"/>
      <c r="F791" s="147"/>
      <c r="G791" s="147"/>
    </row>
    <row r="792" spans="3:7" ht="14" x14ac:dyDescent="0.2">
      <c r="C792" s="147"/>
      <c r="D792" s="147"/>
      <c r="E792" s="147"/>
      <c r="F792" s="147"/>
      <c r="G792" s="147"/>
    </row>
    <row r="793" spans="3:7" ht="14" x14ac:dyDescent="0.2">
      <c r="C793" s="147"/>
      <c r="D793" s="147"/>
      <c r="E793" s="147"/>
      <c r="F793" s="147"/>
      <c r="G793" s="147"/>
    </row>
    <row r="794" spans="3:7" ht="14" x14ac:dyDescent="0.2">
      <c r="C794" s="147"/>
      <c r="D794" s="147"/>
      <c r="E794" s="147"/>
      <c r="F794" s="147"/>
      <c r="G794" s="147"/>
    </row>
    <row r="795" spans="3:7" ht="14" x14ac:dyDescent="0.2">
      <c r="C795" s="147"/>
      <c r="D795" s="147"/>
      <c r="E795" s="147"/>
      <c r="F795" s="147"/>
      <c r="G795" s="147"/>
    </row>
    <row r="796" spans="3:7" ht="14" x14ac:dyDescent="0.2">
      <c r="C796" s="147"/>
      <c r="D796" s="147"/>
      <c r="E796" s="147"/>
      <c r="F796" s="147"/>
      <c r="G796" s="147"/>
    </row>
    <row r="797" spans="3:7" ht="14" x14ac:dyDescent="0.2">
      <c r="C797" s="147"/>
      <c r="D797" s="147"/>
      <c r="E797" s="147"/>
      <c r="F797" s="147"/>
      <c r="G797" s="147"/>
    </row>
    <row r="798" spans="3:7" ht="14" x14ac:dyDescent="0.2">
      <c r="C798" s="147"/>
      <c r="D798" s="147"/>
      <c r="E798" s="147"/>
      <c r="F798" s="147"/>
      <c r="G798" s="147"/>
    </row>
    <row r="799" spans="3:7" ht="14" x14ac:dyDescent="0.2">
      <c r="C799" s="147"/>
      <c r="D799" s="147"/>
      <c r="E799" s="147"/>
      <c r="F799" s="147"/>
      <c r="G799" s="147"/>
    </row>
    <row r="800" spans="3:7" ht="14" x14ac:dyDescent="0.2">
      <c r="C800" s="147"/>
      <c r="D800" s="147"/>
      <c r="E800" s="147"/>
      <c r="F800" s="147"/>
      <c r="G800" s="147"/>
    </row>
    <row r="801" spans="3:7" ht="14" x14ac:dyDescent="0.2">
      <c r="C801" s="147"/>
      <c r="D801" s="147"/>
      <c r="E801" s="147"/>
      <c r="F801" s="147"/>
      <c r="G801" s="147"/>
    </row>
    <row r="802" spans="3:7" ht="14" x14ac:dyDescent="0.2">
      <c r="C802" s="147"/>
      <c r="D802" s="147"/>
      <c r="E802" s="147"/>
      <c r="F802" s="147"/>
      <c r="G802" s="147"/>
    </row>
    <row r="803" spans="3:7" ht="14" x14ac:dyDescent="0.2">
      <c r="C803" s="147"/>
      <c r="D803" s="147"/>
      <c r="E803" s="147"/>
      <c r="F803" s="147"/>
      <c r="G803" s="147"/>
    </row>
    <row r="804" spans="3:7" ht="14" x14ac:dyDescent="0.2">
      <c r="C804" s="147"/>
      <c r="D804" s="147"/>
      <c r="E804" s="147"/>
      <c r="F804" s="147"/>
      <c r="G804" s="147"/>
    </row>
    <row r="805" spans="3:7" ht="14" x14ac:dyDescent="0.2">
      <c r="C805" s="147"/>
      <c r="D805" s="147"/>
      <c r="E805" s="147"/>
      <c r="F805" s="147"/>
      <c r="G805" s="147"/>
    </row>
    <row r="806" spans="3:7" ht="14" x14ac:dyDescent="0.2">
      <c r="C806" s="147"/>
      <c r="D806" s="147"/>
      <c r="E806" s="147"/>
      <c r="F806" s="147"/>
      <c r="G806" s="147"/>
    </row>
    <row r="807" spans="3:7" ht="14" x14ac:dyDescent="0.2">
      <c r="C807" s="147"/>
      <c r="D807" s="147"/>
      <c r="E807" s="147"/>
      <c r="F807" s="147"/>
      <c r="G807" s="147"/>
    </row>
    <row r="808" spans="3:7" ht="14" x14ac:dyDescent="0.2">
      <c r="C808" s="147"/>
      <c r="D808" s="147"/>
      <c r="E808" s="147"/>
      <c r="F808" s="147"/>
      <c r="G808" s="147"/>
    </row>
    <row r="809" spans="3:7" ht="14" x14ac:dyDescent="0.2">
      <c r="C809" s="147"/>
      <c r="D809" s="147"/>
      <c r="E809" s="147"/>
      <c r="F809" s="147"/>
      <c r="G809" s="147"/>
    </row>
    <row r="810" spans="3:7" ht="14" x14ac:dyDescent="0.2">
      <c r="C810" s="147"/>
      <c r="D810" s="147"/>
      <c r="E810" s="147"/>
      <c r="F810" s="147"/>
      <c r="G810" s="147"/>
    </row>
    <row r="811" spans="3:7" ht="14" x14ac:dyDescent="0.2">
      <c r="C811" s="147"/>
      <c r="D811" s="147"/>
      <c r="E811" s="147"/>
      <c r="F811" s="147"/>
      <c r="G811" s="147"/>
    </row>
    <row r="812" spans="3:7" ht="14" x14ac:dyDescent="0.2">
      <c r="C812" s="147"/>
      <c r="D812" s="147"/>
      <c r="E812" s="147"/>
      <c r="F812" s="147"/>
      <c r="G812" s="147"/>
    </row>
    <row r="813" spans="3:7" ht="14" x14ac:dyDescent="0.2">
      <c r="C813" s="147"/>
      <c r="D813" s="147"/>
      <c r="E813" s="147"/>
      <c r="F813" s="147"/>
      <c r="G813" s="147"/>
    </row>
    <row r="814" spans="3:7" ht="14" x14ac:dyDescent="0.2">
      <c r="C814" s="147"/>
      <c r="D814" s="147"/>
      <c r="E814" s="147"/>
      <c r="F814" s="147"/>
      <c r="G814" s="147"/>
    </row>
    <row r="815" spans="3:7" ht="14" x14ac:dyDescent="0.2">
      <c r="C815" s="147"/>
      <c r="D815" s="147"/>
      <c r="E815" s="147"/>
      <c r="F815" s="147"/>
      <c r="G815" s="147"/>
    </row>
    <row r="816" spans="3:7" ht="14" x14ac:dyDescent="0.2">
      <c r="C816" s="147"/>
      <c r="D816" s="147"/>
      <c r="E816" s="147"/>
      <c r="F816" s="147"/>
      <c r="G816" s="147"/>
    </row>
    <row r="817" spans="3:7" ht="14" x14ac:dyDescent="0.2">
      <c r="C817" s="147"/>
      <c r="D817" s="147"/>
      <c r="E817" s="147"/>
      <c r="F817" s="147"/>
      <c r="G817" s="147"/>
    </row>
    <row r="818" spans="3:7" ht="14" x14ac:dyDescent="0.2">
      <c r="C818" s="147"/>
      <c r="D818" s="147"/>
      <c r="E818" s="147"/>
      <c r="F818" s="147"/>
      <c r="G818" s="147"/>
    </row>
    <row r="819" spans="3:7" ht="14" x14ac:dyDescent="0.2">
      <c r="C819" s="147"/>
      <c r="D819" s="147"/>
      <c r="E819" s="147"/>
      <c r="F819" s="147"/>
      <c r="G819" s="147"/>
    </row>
    <row r="820" spans="3:7" ht="14" x14ac:dyDescent="0.2">
      <c r="C820" s="147"/>
      <c r="D820" s="147"/>
      <c r="E820" s="147"/>
      <c r="F820" s="147"/>
      <c r="G820" s="147"/>
    </row>
    <row r="821" spans="3:7" ht="14" x14ac:dyDescent="0.2">
      <c r="C821" s="147"/>
      <c r="D821" s="147"/>
      <c r="E821" s="147"/>
      <c r="F821" s="147"/>
      <c r="G821" s="147"/>
    </row>
    <row r="822" spans="3:7" ht="14" x14ac:dyDescent="0.2">
      <c r="C822" s="147"/>
      <c r="D822" s="147"/>
      <c r="E822" s="147"/>
      <c r="F822" s="147"/>
      <c r="G822" s="147"/>
    </row>
    <row r="823" spans="3:7" ht="14" x14ac:dyDescent="0.2">
      <c r="C823" s="147"/>
      <c r="D823" s="147"/>
      <c r="E823" s="147"/>
      <c r="F823" s="147"/>
      <c r="G823" s="147"/>
    </row>
    <row r="824" spans="3:7" ht="14" x14ac:dyDescent="0.2">
      <c r="C824" s="147"/>
      <c r="D824" s="147"/>
      <c r="E824" s="147"/>
      <c r="F824" s="147"/>
      <c r="G824" s="147"/>
    </row>
    <row r="825" spans="3:7" ht="14" x14ac:dyDescent="0.2">
      <c r="C825" s="147"/>
      <c r="D825" s="147"/>
      <c r="E825" s="147"/>
      <c r="F825" s="147"/>
      <c r="G825" s="147"/>
    </row>
    <row r="826" spans="3:7" ht="14" x14ac:dyDescent="0.2">
      <c r="C826" s="147"/>
      <c r="D826" s="147"/>
      <c r="E826" s="147"/>
      <c r="F826" s="147"/>
      <c r="G826" s="147"/>
    </row>
    <row r="827" spans="3:7" ht="14" x14ac:dyDescent="0.2">
      <c r="C827" s="147"/>
      <c r="D827" s="147"/>
      <c r="E827" s="147"/>
      <c r="F827" s="147"/>
      <c r="G827" s="147"/>
    </row>
    <row r="828" spans="3:7" ht="14" x14ac:dyDescent="0.2">
      <c r="C828" s="147"/>
      <c r="D828" s="147"/>
      <c r="E828" s="147"/>
      <c r="F828" s="147"/>
      <c r="G828" s="147"/>
    </row>
    <row r="829" spans="3:7" ht="14" x14ac:dyDescent="0.2">
      <c r="C829" s="147"/>
      <c r="D829" s="147"/>
      <c r="E829" s="147"/>
      <c r="F829" s="147"/>
      <c r="G829" s="147"/>
    </row>
    <row r="830" spans="3:7" ht="14" x14ac:dyDescent="0.2">
      <c r="C830" s="147"/>
      <c r="D830" s="147"/>
      <c r="E830" s="147"/>
      <c r="F830" s="147"/>
      <c r="G830" s="147"/>
    </row>
    <row r="831" spans="3:7" ht="14" x14ac:dyDescent="0.2">
      <c r="C831" s="147"/>
      <c r="D831" s="147"/>
      <c r="E831" s="147"/>
      <c r="F831" s="147"/>
      <c r="G831" s="147"/>
    </row>
    <row r="832" spans="3:7" ht="14" x14ac:dyDescent="0.2">
      <c r="C832" s="147"/>
      <c r="D832" s="147"/>
      <c r="E832" s="147"/>
      <c r="F832" s="147"/>
      <c r="G832" s="147"/>
    </row>
    <row r="833" spans="3:7" ht="14" x14ac:dyDescent="0.2">
      <c r="C833" s="147"/>
      <c r="D833" s="147"/>
      <c r="E833" s="147"/>
      <c r="F833" s="147"/>
      <c r="G833" s="147"/>
    </row>
    <row r="834" spans="3:7" ht="14" x14ac:dyDescent="0.2">
      <c r="C834" s="147"/>
      <c r="D834" s="147"/>
      <c r="E834" s="147"/>
      <c r="F834" s="147"/>
      <c r="G834" s="147"/>
    </row>
    <row r="835" spans="3:7" ht="14" x14ac:dyDescent="0.2">
      <c r="C835" s="147"/>
      <c r="D835" s="147"/>
      <c r="E835" s="147"/>
      <c r="F835" s="147"/>
      <c r="G835" s="147"/>
    </row>
    <row r="836" spans="3:7" ht="14" x14ac:dyDescent="0.2">
      <c r="C836" s="147"/>
      <c r="D836" s="147"/>
      <c r="E836" s="147"/>
      <c r="F836" s="147"/>
      <c r="G836" s="147"/>
    </row>
    <row r="837" spans="3:7" ht="14" x14ac:dyDescent="0.2">
      <c r="C837" s="147"/>
      <c r="D837" s="147"/>
      <c r="E837" s="147"/>
      <c r="F837" s="147"/>
      <c r="G837" s="147"/>
    </row>
    <row r="838" spans="3:7" ht="14" x14ac:dyDescent="0.2">
      <c r="C838" s="147"/>
      <c r="D838" s="147"/>
      <c r="E838" s="147"/>
      <c r="F838" s="147"/>
      <c r="G838" s="147"/>
    </row>
    <row r="839" spans="3:7" ht="14" x14ac:dyDescent="0.2">
      <c r="C839" s="147"/>
      <c r="D839" s="147"/>
      <c r="E839" s="147"/>
      <c r="F839" s="147"/>
      <c r="G839" s="147"/>
    </row>
    <row r="840" spans="3:7" ht="14" x14ac:dyDescent="0.2">
      <c r="C840" s="147"/>
      <c r="D840" s="147"/>
      <c r="E840" s="147"/>
      <c r="F840" s="147"/>
      <c r="G840" s="147"/>
    </row>
    <row r="841" spans="3:7" ht="14" x14ac:dyDescent="0.2">
      <c r="C841" s="147"/>
      <c r="D841" s="147"/>
      <c r="E841" s="147"/>
      <c r="F841" s="147"/>
      <c r="G841" s="147"/>
    </row>
    <row r="842" spans="3:7" ht="14" x14ac:dyDescent="0.2">
      <c r="C842" s="147"/>
      <c r="D842" s="147"/>
      <c r="E842" s="147"/>
      <c r="F842" s="147"/>
      <c r="G842" s="147"/>
    </row>
    <row r="843" spans="3:7" ht="14" x14ac:dyDescent="0.2">
      <c r="C843" s="147"/>
      <c r="D843" s="147"/>
      <c r="E843" s="147"/>
      <c r="F843" s="147"/>
      <c r="G843" s="147"/>
    </row>
    <row r="844" spans="3:7" ht="14" x14ac:dyDescent="0.2">
      <c r="C844" s="147"/>
      <c r="D844" s="147"/>
      <c r="E844" s="147"/>
      <c r="F844" s="147"/>
      <c r="G844" s="147"/>
    </row>
    <row r="845" spans="3:7" ht="14" x14ac:dyDescent="0.2">
      <c r="C845" s="147"/>
      <c r="D845" s="147"/>
      <c r="E845" s="147"/>
      <c r="F845" s="147"/>
      <c r="G845" s="147"/>
    </row>
    <row r="846" spans="3:7" ht="14" x14ac:dyDescent="0.2">
      <c r="C846" s="147"/>
      <c r="D846" s="147"/>
      <c r="E846" s="147"/>
      <c r="F846" s="147"/>
      <c r="G846" s="147"/>
    </row>
    <row r="847" spans="3:7" ht="14" x14ac:dyDescent="0.2">
      <c r="C847" s="147"/>
      <c r="D847" s="147"/>
      <c r="E847" s="147"/>
      <c r="F847" s="147"/>
      <c r="G847" s="147"/>
    </row>
    <row r="848" spans="3:7" ht="14" x14ac:dyDescent="0.2">
      <c r="C848" s="147"/>
      <c r="D848" s="147"/>
      <c r="E848" s="147"/>
      <c r="F848" s="147"/>
      <c r="G848" s="147"/>
    </row>
    <row r="849" spans="3:7" ht="14" x14ac:dyDescent="0.2">
      <c r="C849" s="147"/>
      <c r="D849" s="147"/>
      <c r="E849" s="147"/>
      <c r="F849" s="147"/>
      <c r="G849" s="147"/>
    </row>
    <row r="850" spans="3:7" ht="14" x14ac:dyDescent="0.2">
      <c r="C850" s="147"/>
      <c r="D850" s="147"/>
      <c r="E850" s="147"/>
      <c r="F850" s="147"/>
      <c r="G850" s="147"/>
    </row>
    <row r="851" spans="3:7" ht="14" x14ac:dyDescent="0.2">
      <c r="C851" s="147"/>
      <c r="D851" s="147"/>
      <c r="E851" s="147"/>
      <c r="F851" s="147"/>
      <c r="G851" s="147"/>
    </row>
    <row r="852" spans="3:7" ht="14" x14ac:dyDescent="0.2">
      <c r="C852" s="147"/>
      <c r="D852" s="147"/>
      <c r="E852" s="147"/>
      <c r="F852" s="147"/>
      <c r="G852" s="147"/>
    </row>
    <row r="853" spans="3:7" ht="14" x14ac:dyDescent="0.2">
      <c r="C853" s="147"/>
      <c r="D853" s="147"/>
      <c r="E853" s="147"/>
      <c r="F853" s="147"/>
      <c r="G853" s="147"/>
    </row>
    <row r="854" spans="3:7" ht="14" x14ac:dyDescent="0.2">
      <c r="C854" s="147"/>
      <c r="D854" s="147"/>
      <c r="E854" s="147"/>
      <c r="F854" s="147"/>
      <c r="G854" s="147"/>
    </row>
    <row r="855" spans="3:7" ht="14" x14ac:dyDescent="0.2">
      <c r="C855" s="147"/>
      <c r="D855" s="147"/>
      <c r="E855" s="147"/>
      <c r="F855" s="147"/>
      <c r="G855" s="147"/>
    </row>
    <row r="856" spans="3:7" ht="14" x14ac:dyDescent="0.2">
      <c r="C856" s="147"/>
      <c r="D856" s="147"/>
      <c r="E856" s="147"/>
      <c r="F856" s="147"/>
      <c r="G856" s="147"/>
    </row>
    <row r="857" spans="3:7" ht="14" x14ac:dyDescent="0.2">
      <c r="C857" s="147"/>
      <c r="D857" s="147"/>
      <c r="E857" s="147"/>
      <c r="F857" s="147"/>
      <c r="G857" s="147"/>
    </row>
    <row r="858" spans="3:7" ht="14" x14ac:dyDescent="0.2">
      <c r="C858" s="147"/>
      <c r="D858" s="147"/>
      <c r="E858" s="147"/>
      <c r="F858" s="147"/>
      <c r="G858" s="147"/>
    </row>
    <row r="859" spans="3:7" ht="14" x14ac:dyDescent="0.2">
      <c r="C859" s="147"/>
      <c r="D859" s="147"/>
      <c r="E859" s="147"/>
      <c r="F859" s="147"/>
      <c r="G859" s="147"/>
    </row>
    <row r="860" spans="3:7" ht="14" x14ac:dyDescent="0.2">
      <c r="C860" s="147"/>
      <c r="D860" s="147"/>
      <c r="E860" s="147"/>
      <c r="F860" s="147"/>
      <c r="G860" s="147"/>
    </row>
    <row r="861" spans="3:7" ht="14" x14ac:dyDescent="0.2">
      <c r="C861" s="147"/>
      <c r="D861" s="147"/>
      <c r="E861" s="147"/>
      <c r="F861" s="147"/>
      <c r="G861" s="147"/>
    </row>
    <row r="862" spans="3:7" ht="14" x14ac:dyDescent="0.2">
      <c r="C862" s="147"/>
      <c r="D862" s="147"/>
      <c r="E862" s="147"/>
      <c r="F862" s="147"/>
      <c r="G862" s="147"/>
    </row>
    <row r="863" spans="3:7" ht="14" x14ac:dyDescent="0.2">
      <c r="C863" s="147"/>
      <c r="D863" s="147"/>
      <c r="E863" s="147"/>
      <c r="F863" s="147"/>
      <c r="G863" s="147"/>
    </row>
    <row r="864" spans="3:7" ht="14" x14ac:dyDescent="0.2">
      <c r="C864" s="147"/>
      <c r="D864" s="147"/>
      <c r="E864" s="147"/>
      <c r="F864" s="147"/>
      <c r="G864" s="147"/>
    </row>
    <row r="865" spans="3:7" ht="14" x14ac:dyDescent="0.2">
      <c r="C865" s="147"/>
      <c r="D865" s="147"/>
      <c r="E865" s="147"/>
      <c r="F865" s="147"/>
      <c r="G865" s="147"/>
    </row>
    <row r="866" spans="3:7" ht="14" x14ac:dyDescent="0.2">
      <c r="C866" s="147"/>
      <c r="D866" s="147"/>
      <c r="E866" s="147"/>
      <c r="F866" s="147"/>
      <c r="G866" s="147"/>
    </row>
    <row r="867" spans="3:7" ht="14" x14ac:dyDescent="0.2">
      <c r="C867" s="147"/>
      <c r="D867" s="147"/>
      <c r="E867" s="147"/>
      <c r="F867" s="147"/>
      <c r="G867" s="147"/>
    </row>
    <row r="868" spans="3:7" ht="14" x14ac:dyDescent="0.2">
      <c r="C868" s="147"/>
      <c r="D868" s="147"/>
      <c r="E868" s="147"/>
      <c r="F868" s="147"/>
      <c r="G868" s="147"/>
    </row>
    <row r="869" spans="3:7" ht="14" x14ac:dyDescent="0.2">
      <c r="C869" s="147"/>
      <c r="D869" s="147"/>
      <c r="E869" s="147"/>
      <c r="F869" s="147"/>
      <c r="G869" s="147"/>
    </row>
    <row r="870" spans="3:7" ht="14" x14ac:dyDescent="0.2">
      <c r="C870" s="147"/>
      <c r="D870" s="147"/>
      <c r="E870" s="147"/>
      <c r="F870" s="147"/>
      <c r="G870" s="147"/>
    </row>
    <row r="871" spans="3:7" ht="14" x14ac:dyDescent="0.2">
      <c r="C871" s="147"/>
      <c r="D871" s="147"/>
      <c r="E871" s="147"/>
      <c r="F871" s="147"/>
      <c r="G871" s="147"/>
    </row>
    <row r="872" spans="3:7" ht="14" x14ac:dyDescent="0.2">
      <c r="C872" s="147"/>
      <c r="D872" s="147"/>
      <c r="E872" s="147"/>
      <c r="F872" s="147"/>
      <c r="G872" s="147"/>
    </row>
    <row r="873" spans="3:7" ht="14" x14ac:dyDescent="0.2">
      <c r="C873" s="147"/>
      <c r="D873" s="147"/>
      <c r="E873" s="147"/>
      <c r="F873" s="147"/>
      <c r="G873" s="147"/>
    </row>
    <row r="874" spans="3:7" ht="14" x14ac:dyDescent="0.2">
      <c r="C874" s="147"/>
      <c r="D874" s="147"/>
      <c r="E874" s="147"/>
      <c r="F874" s="147"/>
      <c r="G874" s="147"/>
    </row>
    <row r="875" spans="3:7" ht="14" x14ac:dyDescent="0.2">
      <c r="C875" s="147"/>
      <c r="D875" s="147"/>
      <c r="E875" s="147"/>
      <c r="F875" s="147"/>
      <c r="G875" s="147"/>
    </row>
    <row r="876" spans="3:7" ht="14" x14ac:dyDescent="0.2">
      <c r="C876" s="147"/>
      <c r="D876" s="147"/>
      <c r="E876" s="147"/>
      <c r="F876" s="147"/>
      <c r="G876" s="147"/>
    </row>
    <row r="877" spans="3:7" ht="14" x14ac:dyDescent="0.2">
      <c r="C877" s="147"/>
      <c r="D877" s="147"/>
      <c r="E877" s="147"/>
      <c r="F877" s="147"/>
      <c r="G877" s="147"/>
    </row>
    <row r="878" spans="3:7" ht="14" x14ac:dyDescent="0.2">
      <c r="C878" s="147"/>
      <c r="D878" s="147"/>
      <c r="E878" s="147"/>
      <c r="F878" s="147"/>
      <c r="G878" s="147"/>
    </row>
    <row r="879" spans="3:7" ht="14" x14ac:dyDescent="0.2">
      <c r="C879" s="147"/>
      <c r="D879" s="147"/>
      <c r="E879" s="147"/>
      <c r="F879" s="147"/>
      <c r="G879" s="147"/>
    </row>
    <row r="880" spans="3:7" ht="14" x14ac:dyDescent="0.2">
      <c r="C880" s="147"/>
      <c r="D880" s="147"/>
      <c r="E880" s="147"/>
      <c r="F880" s="147"/>
      <c r="G880" s="147"/>
    </row>
    <row r="881" spans="3:7" ht="14" x14ac:dyDescent="0.2">
      <c r="C881" s="147"/>
      <c r="D881" s="147"/>
      <c r="E881" s="147"/>
      <c r="F881" s="147"/>
      <c r="G881" s="147"/>
    </row>
    <row r="882" spans="3:7" ht="14" x14ac:dyDescent="0.2">
      <c r="C882" s="147"/>
      <c r="D882" s="147"/>
      <c r="E882" s="147"/>
      <c r="F882" s="147"/>
      <c r="G882" s="147"/>
    </row>
    <row r="883" spans="3:7" ht="14" x14ac:dyDescent="0.2">
      <c r="C883" s="147"/>
      <c r="D883" s="147"/>
      <c r="E883" s="147"/>
      <c r="F883" s="147"/>
      <c r="G883" s="147"/>
    </row>
    <row r="884" spans="3:7" ht="14" x14ac:dyDescent="0.2">
      <c r="C884" s="147"/>
      <c r="D884" s="147"/>
      <c r="E884" s="147"/>
      <c r="F884" s="147"/>
      <c r="G884" s="147"/>
    </row>
    <row r="885" spans="3:7" ht="14" x14ac:dyDescent="0.2">
      <c r="C885" s="147"/>
      <c r="D885" s="147"/>
      <c r="E885" s="147"/>
      <c r="F885" s="147"/>
      <c r="G885" s="147"/>
    </row>
    <row r="886" spans="3:7" ht="14" x14ac:dyDescent="0.2">
      <c r="C886" s="147"/>
      <c r="D886" s="147"/>
      <c r="E886" s="147"/>
      <c r="F886" s="147"/>
      <c r="G886" s="147"/>
    </row>
    <row r="887" spans="3:7" ht="14" x14ac:dyDescent="0.2">
      <c r="C887" s="147"/>
      <c r="D887" s="147"/>
      <c r="E887" s="147"/>
      <c r="F887" s="147"/>
      <c r="G887" s="147"/>
    </row>
    <row r="888" spans="3:7" ht="14" x14ac:dyDescent="0.2">
      <c r="C888" s="147"/>
      <c r="D888" s="147"/>
      <c r="E888" s="147"/>
      <c r="F888" s="147"/>
      <c r="G888" s="147"/>
    </row>
    <row r="889" spans="3:7" ht="14" x14ac:dyDescent="0.2">
      <c r="C889" s="147"/>
      <c r="D889" s="147"/>
      <c r="E889" s="147"/>
      <c r="F889" s="147"/>
      <c r="G889" s="147"/>
    </row>
    <row r="890" spans="3:7" ht="14" x14ac:dyDescent="0.2">
      <c r="C890" s="147"/>
      <c r="D890" s="147"/>
      <c r="E890" s="147"/>
      <c r="F890" s="147"/>
      <c r="G890" s="147"/>
    </row>
    <row r="891" spans="3:7" ht="14" x14ac:dyDescent="0.2">
      <c r="C891" s="147"/>
      <c r="D891" s="147"/>
      <c r="E891" s="147"/>
      <c r="F891" s="147"/>
      <c r="G891" s="147"/>
    </row>
    <row r="892" spans="3:7" ht="14" x14ac:dyDescent="0.2">
      <c r="C892" s="147"/>
      <c r="D892" s="147"/>
      <c r="E892" s="147"/>
      <c r="F892" s="147"/>
      <c r="G892" s="147"/>
    </row>
    <row r="893" spans="3:7" ht="14" x14ac:dyDescent="0.2">
      <c r="C893" s="147"/>
      <c r="D893" s="147"/>
      <c r="E893" s="147"/>
      <c r="F893" s="147"/>
      <c r="G893" s="147"/>
    </row>
    <row r="894" spans="3:7" ht="14" x14ac:dyDescent="0.2">
      <c r="C894" s="147"/>
      <c r="D894" s="147"/>
      <c r="E894" s="147"/>
      <c r="F894" s="147"/>
      <c r="G894" s="147"/>
    </row>
    <row r="895" spans="3:7" ht="14" x14ac:dyDescent="0.2">
      <c r="C895" s="147"/>
      <c r="D895" s="147"/>
      <c r="E895" s="147"/>
      <c r="F895" s="147"/>
      <c r="G895" s="147"/>
    </row>
    <row r="896" spans="3:7" ht="14" x14ac:dyDescent="0.2">
      <c r="C896" s="147"/>
      <c r="D896" s="147"/>
      <c r="E896" s="147"/>
      <c r="F896" s="147"/>
      <c r="G896" s="147"/>
    </row>
    <row r="897" spans="3:7" ht="14" x14ac:dyDescent="0.2">
      <c r="C897" s="147"/>
      <c r="D897" s="147"/>
      <c r="E897" s="147"/>
      <c r="F897" s="147"/>
      <c r="G897" s="147"/>
    </row>
    <row r="898" spans="3:7" ht="14" x14ac:dyDescent="0.2">
      <c r="C898" s="147"/>
      <c r="D898" s="147"/>
      <c r="E898" s="147"/>
      <c r="F898" s="147"/>
      <c r="G898" s="147"/>
    </row>
    <row r="899" spans="3:7" ht="14" x14ac:dyDescent="0.2">
      <c r="C899" s="147"/>
      <c r="D899" s="147"/>
      <c r="E899" s="147"/>
      <c r="F899" s="147"/>
      <c r="G899" s="147"/>
    </row>
    <row r="900" spans="3:7" ht="14" x14ac:dyDescent="0.2">
      <c r="C900" s="147"/>
      <c r="D900" s="147"/>
      <c r="E900" s="147"/>
      <c r="F900" s="147"/>
      <c r="G900" s="147"/>
    </row>
    <row r="901" spans="3:7" ht="14" x14ac:dyDescent="0.2">
      <c r="C901" s="147"/>
      <c r="D901" s="147"/>
      <c r="E901" s="147"/>
      <c r="F901" s="147"/>
      <c r="G901" s="147"/>
    </row>
    <row r="902" spans="3:7" ht="14" x14ac:dyDescent="0.2">
      <c r="C902" s="147"/>
      <c r="D902" s="147"/>
      <c r="E902" s="147"/>
      <c r="F902" s="147"/>
      <c r="G902" s="147"/>
    </row>
    <row r="903" spans="3:7" ht="14" x14ac:dyDescent="0.2">
      <c r="C903" s="147"/>
      <c r="D903" s="147"/>
      <c r="E903" s="147"/>
      <c r="F903" s="147"/>
      <c r="G903" s="147"/>
    </row>
    <row r="904" spans="3:7" ht="14" x14ac:dyDescent="0.2">
      <c r="C904" s="147"/>
      <c r="D904" s="147"/>
      <c r="E904" s="147"/>
      <c r="F904" s="147"/>
      <c r="G904" s="147"/>
    </row>
    <row r="905" spans="3:7" ht="14" x14ac:dyDescent="0.2">
      <c r="C905" s="147"/>
      <c r="D905" s="147"/>
      <c r="E905" s="147"/>
      <c r="F905" s="147"/>
      <c r="G905" s="147"/>
    </row>
    <row r="906" spans="3:7" ht="14" x14ac:dyDescent="0.2">
      <c r="C906" s="147"/>
      <c r="D906" s="147"/>
      <c r="E906" s="147"/>
      <c r="F906" s="147"/>
      <c r="G906" s="147"/>
    </row>
    <row r="907" spans="3:7" ht="14" x14ac:dyDescent="0.2">
      <c r="C907" s="147"/>
      <c r="D907" s="147"/>
      <c r="E907" s="147"/>
      <c r="F907" s="147"/>
      <c r="G907" s="147"/>
    </row>
    <row r="908" spans="3:7" ht="14" x14ac:dyDescent="0.2">
      <c r="C908" s="147"/>
      <c r="D908" s="147"/>
      <c r="E908" s="147"/>
      <c r="F908" s="147"/>
      <c r="G908" s="147"/>
    </row>
    <row r="909" spans="3:7" ht="14" x14ac:dyDescent="0.2">
      <c r="C909" s="147"/>
      <c r="D909" s="147"/>
      <c r="E909" s="147"/>
      <c r="F909" s="147"/>
      <c r="G909" s="147"/>
    </row>
    <row r="910" spans="3:7" ht="14" x14ac:dyDescent="0.2">
      <c r="C910" s="147"/>
      <c r="D910" s="147"/>
      <c r="E910" s="147"/>
      <c r="F910" s="147"/>
      <c r="G910" s="147"/>
    </row>
    <row r="911" spans="3:7" ht="14" x14ac:dyDescent="0.2">
      <c r="C911" s="147"/>
      <c r="D911" s="147"/>
      <c r="E911" s="147"/>
      <c r="F911" s="147"/>
      <c r="G911" s="147"/>
    </row>
    <row r="912" spans="3:7" ht="14" x14ac:dyDescent="0.2">
      <c r="C912" s="147"/>
      <c r="D912" s="147"/>
      <c r="E912" s="147"/>
      <c r="F912" s="147"/>
      <c r="G912" s="147"/>
    </row>
    <row r="913" spans="3:7" ht="14" x14ac:dyDescent="0.2">
      <c r="C913" s="147"/>
      <c r="D913" s="147"/>
      <c r="E913" s="147"/>
      <c r="F913" s="147"/>
      <c r="G913" s="147"/>
    </row>
    <row r="914" spans="3:7" ht="14" x14ac:dyDescent="0.2">
      <c r="C914" s="147"/>
      <c r="D914" s="147"/>
      <c r="E914" s="147"/>
      <c r="F914" s="147"/>
      <c r="G914" s="147"/>
    </row>
    <row r="915" spans="3:7" ht="14" x14ac:dyDescent="0.2">
      <c r="C915" s="147"/>
      <c r="D915" s="147"/>
      <c r="E915" s="147"/>
      <c r="F915" s="147"/>
      <c r="G915" s="147"/>
    </row>
    <row r="916" spans="3:7" ht="14" x14ac:dyDescent="0.2">
      <c r="C916" s="147"/>
      <c r="D916" s="147"/>
      <c r="E916" s="147"/>
      <c r="F916" s="147"/>
      <c r="G916" s="147"/>
    </row>
    <row r="917" spans="3:7" ht="14" x14ac:dyDescent="0.2">
      <c r="C917" s="147"/>
      <c r="D917" s="147"/>
      <c r="E917" s="147"/>
      <c r="F917" s="147"/>
      <c r="G917" s="147"/>
    </row>
    <row r="918" spans="3:7" ht="14" x14ac:dyDescent="0.2">
      <c r="C918" s="147"/>
      <c r="D918" s="147"/>
      <c r="E918" s="147"/>
      <c r="F918" s="147"/>
      <c r="G918" s="147"/>
    </row>
    <row r="919" spans="3:7" ht="14" x14ac:dyDescent="0.2">
      <c r="C919" s="147"/>
      <c r="D919" s="147"/>
      <c r="E919" s="147"/>
      <c r="F919" s="147"/>
      <c r="G919" s="147"/>
    </row>
    <row r="920" spans="3:7" ht="14" x14ac:dyDescent="0.2">
      <c r="C920" s="147"/>
      <c r="D920" s="147"/>
      <c r="E920" s="147"/>
      <c r="F920" s="147"/>
      <c r="G920" s="147"/>
    </row>
    <row r="921" spans="3:7" ht="14" x14ac:dyDescent="0.2">
      <c r="C921" s="147"/>
      <c r="D921" s="147"/>
      <c r="E921" s="147"/>
      <c r="F921" s="147"/>
      <c r="G921" s="147"/>
    </row>
    <row r="922" spans="3:7" ht="14" x14ac:dyDescent="0.2">
      <c r="C922" s="147"/>
      <c r="D922" s="147"/>
      <c r="E922" s="147"/>
      <c r="F922" s="147"/>
      <c r="G922" s="147"/>
    </row>
    <row r="923" spans="3:7" ht="14" x14ac:dyDescent="0.2">
      <c r="C923" s="147"/>
      <c r="D923" s="147"/>
      <c r="E923" s="147"/>
      <c r="F923" s="147"/>
      <c r="G923" s="147"/>
    </row>
    <row r="924" spans="3:7" ht="14" x14ac:dyDescent="0.2">
      <c r="C924" s="147"/>
      <c r="D924" s="147"/>
      <c r="E924" s="147"/>
      <c r="F924" s="147"/>
      <c r="G924" s="147"/>
    </row>
    <row r="925" spans="3:7" ht="14" x14ac:dyDescent="0.2">
      <c r="C925" s="147"/>
      <c r="D925" s="147"/>
      <c r="E925" s="147"/>
      <c r="F925" s="147"/>
      <c r="G925" s="147"/>
    </row>
    <row r="926" spans="3:7" ht="14" x14ac:dyDescent="0.2">
      <c r="C926" s="147"/>
      <c r="D926" s="147"/>
      <c r="E926" s="147"/>
      <c r="F926" s="147"/>
      <c r="G926" s="147"/>
    </row>
    <row r="927" spans="3:7" ht="14" x14ac:dyDescent="0.2">
      <c r="C927" s="147"/>
      <c r="D927" s="147"/>
      <c r="E927" s="147"/>
      <c r="F927" s="147"/>
      <c r="G927" s="147"/>
    </row>
    <row r="928" spans="3:7" ht="14" x14ac:dyDescent="0.2">
      <c r="C928" s="147"/>
      <c r="D928" s="147"/>
      <c r="E928" s="147"/>
      <c r="F928" s="147"/>
      <c r="G928" s="147"/>
    </row>
    <row r="929" spans="3:7" ht="14" x14ac:dyDescent="0.2">
      <c r="C929" s="147"/>
      <c r="D929" s="147"/>
      <c r="E929" s="147"/>
      <c r="F929" s="147"/>
      <c r="G929" s="147"/>
    </row>
    <row r="930" spans="3:7" ht="14" x14ac:dyDescent="0.2">
      <c r="C930" s="147"/>
      <c r="D930" s="147"/>
      <c r="E930" s="147"/>
      <c r="F930" s="147"/>
      <c r="G930" s="147"/>
    </row>
    <row r="931" spans="3:7" ht="14" x14ac:dyDescent="0.2">
      <c r="C931" s="147"/>
      <c r="D931" s="147"/>
      <c r="E931" s="147"/>
      <c r="F931" s="147"/>
      <c r="G931" s="147"/>
    </row>
    <row r="932" spans="3:7" ht="14" x14ac:dyDescent="0.2">
      <c r="C932" s="147"/>
      <c r="D932" s="147"/>
      <c r="E932" s="147"/>
      <c r="F932" s="147"/>
      <c r="G932" s="147"/>
    </row>
    <row r="933" spans="3:7" ht="14" x14ac:dyDescent="0.2">
      <c r="C933" s="147"/>
      <c r="D933" s="147"/>
      <c r="E933" s="147"/>
      <c r="F933" s="147"/>
      <c r="G933" s="147"/>
    </row>
    <row r="934" spans="3:7" ht="14" x14ac:dyDescent="0.2">
      <c r="C934" s="147"/>
      <c r="D934" s="147"/>
      <c r="E934" s="147"/>
      <c r="F934" s="147"/>
      <c r="G934" s="147"/>
    </row>
    <row r="935" spans="3:7" ht="14" x14ac:dyDescent="0.2">
      <c r="C935" s="147"/>
      <c r="D935" s="147"/>
      <c r="E935" s="147"/>
      <c r="F935" s="147"/>
      <c r="G935" s="147"/>
    </row>
    <row r="936" spans="3:7" ht="14" x14ac:dyDescent="0.2">
      <c r="C936" s="147"/>
      <c r="D936" s="147"/>
      <c r="E936" s="147"/>
      <c r="F936" s="147"/>
      <c r="G936" s="147"/>
    </row>
    <row r="937" spans="3:7" ht="14" x14ac:dyDescent="0.2">
      <c r="C937" s="147"/>
      <c r="D937" s="147"/>
      <c r="E937" s="147"/>
      <c r="F937" s="147"/>
      <c r="G937" s="147"/>
    </row>
    <row r="938" spans="3:7" ht="14" x14ac:dyDescent="0.2">
      <c r="C938" s="147"/>
      <c r="D938" s="147"/>
      <c r="E938" s="147"/>
      <c r="F938" s="147"/>
      <c r="G938" s="147"/>
    </row>
    <row r="939" spans="3:7" ht="14" x14ac:dyDescent="0.2">
      <c r="C939" s="147"/>
      <c r="D939" s="147"/>
      <c r="E939" s="147"/>
      <c r="F939" s="147"/>
      <c r="G939" s="147"/>
    </row>
    <row r="940" spans="3:7" ht="14" x14ac:dyDescent="0.2">
      <c r="C940" s="147"/>
      <c r="D940" s="147"/>
      <c r="E940" s="147"/>
      <c r="F940" s="147"/>
      <c r="G940" s="147"/>
    </row>
    <row r="941" spans="3:7" ht="14" x14ac:dyDescent="0.2">
      <c r="C941" s="147"/>
      <c r="D941" s="147"/>
      <c r="E941" s="147"/>
      <c r="F941" s="147"/>
      <c r="G941" s="147"/>
    </row>
    <row r="942" spans="3:7" ht="14" x14ac:dyDescent="0.2">
      <c r="C942" s="147"/>
      <c r="D942" s="147"/>
      <c r="E942" s="147"/>
      <c r="F942" s="147"/>
      <c r="G942" s="147"/>
    </row>
    <row r="943" spans="3:7" ht="14" x14ac:dyDescent="0.2">
      <c r="C943" s="147"/>
      <c r="D943" s="147"/>
      <c r="E943" s="147"/>
      <c r="F943" s="147"/>
      <c r="G943" s="147"/>
    </row>
    <row r="944" spans="3:7" ht="14" x14ac:dyDescent="0.2">
      <c r="C944" s="147"/>
      <c r="D944" s="147"/>
      <c r="E944" s="147"/>
      <c r="F944" s="147"/>
      <c r="G944" s="147"/>
    </row>
    <row r="945" spans="3:7" ht="14" x14ac:dyDescent="0.2">
      <c r="C945" s="147"/>
      <c r="D945" s="147"/>
      <c r="E945" s="147"/>
      <c r="F945" s="147"/>
      <c r="G945" s="147"/>
    </row>
    <row r="946" spans="3:7" ht="14" x14ac:dyDescent="0.2">
      <c r="C946" s="147"/>
      <c r="D946" s="147"/>
      <c r="E946" s="147"/>
      <c r="F946" s="147"/>
      <c r="G946" s="147"/>
    </row>
    <row r="947" spans="3:7" ht="14" x14ac:dyDescent="0.2">
      <c r="C947" s="147"/>
      <c r="D947" s="147"/>
      <c r="E947" s="147"/>
      <c r="F947" s="147"/>
      <c r="G947" s="147"/>
    </row>
    <row r="948" spans="3:7" ht="14" x14ac:dyDescent="0.2">
      <c r="C948" s="147"/>
      <c r="D948" s="147"/>
      <c r="E948" s="147"/>
      <c r="F948" s="147"/>
      <c r="G948" s="147"/>
    </row>
    <row r="949" spans="3:7" ht="14" x14ac:dyDescent="0.2">
      <c r="C949" s="147"/>
      <c r="D949" s="147"/>
      <c r="E949" s="147"/>
      <c r="F949" s="147"/>
      <c r="G949" s="147"/>
    </row>
    <row r="950" spans="3:7" ht="14" x14ac:dyDescent="0.2">
      <c r="C950" s="147"/>
      <c r="D950" s="147"/>
      <c r="E950" s="147"/>
      <c r="F950" s="147"/>
      <c r="G950" s="147"/>
    </row>
    <row r="951" spans="3:7" ht="14" x14ac:dyDescent="0.2">
      <c r="C951" s="147"/>
      <c r="D951" s="147"/>
      <c r="E951" s="147"/>
      <c r="F951" s="147"/>
      <c r="G951" s="147"/>
    </row>
    <row r="952" spans="3:7" ht="14" x14ac:dyDescent="0.2">
      <c r="C952" s="147"/>
      <c r="D952" s="147"/>
      <c r="E952" s="147"/>
      <c r="F952" s="147"/>
      <c r="G952" s="147"/>
    </row>
    <row r="953" spans="3:7" ht="14" x14ac:dyDescent="0.2">
      <c r="C953" s="147"/>
      <c r="D953" s="147"/>
      <c r="E953" s="147"/>
      <c r="F953" s="147"/>
      <c r="G953" s="147"/>
    </row>
    <row r="954" spans="3:7" ht="14" x14ac:dyDescent="0.2">
      <c r="C954" s="147"/>
      <c r="D954" s="147"/>
      <c r="E954" s="147"/>
      <c r="F954" s="147"/>
      <c r="G954" s="147"/>
    </row>
    <row r="955" spans="3:7" ht="14" x14ac:dyDescent="0.2">
      <c r="C955" s="147"/>
      <c r="D955" s="147"/>
      <c r="E955" s="147"/>
      <c r="F955" s="147"/>
      <c r="G955" s="147"/>
    </row>
    <row r="956" spans="3:7" ht="14" x14ac:dyDescent="0.2">
      <c r="C956" s="147"/>
      <c r="D956" s="147"/>
      <c r="E956" s="147"/>
      <c r="F956" s="147"/>
      <c r="G956" s="147"/>
    </row>
    <row r="957" spans="3:7" ht="14" x14ac:dyDescent="0.2">
      <c r="C957" s="147"/>
      <c r="D957" s="147"/>
      <c r="E957" s="147"/>
      <c r="F957" s="147"/>
      <c r="G957" s="147"/>
    </row>
    <row r="958" spans="3:7" ht="14" x14ac:dyDescent="0.2">
      <c r="C958" s="147"/>
      <c r="D958" s="147"/>
      <c r="E958" s="147"/>
      <c r="F958" s="147"/>
      <c r="G958" s="147"/>
    </row>
    <row r="959" spans="3:7" ht="14" x14ac:dyDescent="0.2">
      <c r="C959" s="147"/>
      <c r="D959" s="147"/>
      <c r="E959" s="147"/>
      <c r="F959" s="147"/>
      <c r="G959" s="147"/>
    </row>
    <row r="960" spans="3:7" ht="14" x14ac:dyDescent="0.2">
      <c r="C960" s="147"/>
      <c r="D960" s="147"/>
      <c r="E960" s="147"/>
      <c r="F960" s="147"/>
      <c r="G960" s="147"/>
    </row>
    <row r="961" spans="3:7" ht="14" x14ac:dyDescent="0.2">
      <c r="C961" s="147"/>
      <c r="D961" s="147"/>
      <c r="E961" s="147"/>
      <c r="F961" s="147"/>
      <c r="G961" s="147"/>
    </row>
    <row r="962" spans="3:7" ht="14" x14ac:dyDescent="0.2">
      <c r="C962" s="147"/>
      <c r="D962" s="147"/>
      <c r="E962" s="147"/>
      <c r="F962" s="147"/>
      <c r="G962" s="147"/>
    </row>
    <row r="963" spans="3:7" ht="14" x14ac:dyDescent="0.2">
      <c r="C963" s="147"/>
      <c r="D963" s="147"/>
      <c r="E963" s="147"/>
      <c r="F963" s="147"/>
      <c r="G963" s="147"/>
    </row>
    <row r="964" spans="3:7" ht="14" x14ac:dyDescent="0.2">
      <c r="C964" s="147"/>
      <c r="D964" s="147"/>
      <c r="E964" s="147"/>
      <c r="F964" s="147"/>
      <c r="G964" s="147"/>
    </row>
    <row r="965" spans="3:7" ht="14" x14ac:dyDescent="0.2">
      <c r="C965" s="147"/>
      <c r="D965" s="147"/>
      <c r="E965" s="147"/>
      <c r="F965" s="147"/>
      <c r="G965" s="147"/>
    </row>
    <row r="966" spans="3:7" ht="14" x14ac:dyDescent="0.2">
      <c r="C966" s="147"/>
      <c r="D966" s="147"/>
      <c r="E966" s="147"/>
      <c r="F966" s="147"/>
      <c r="G966" s="147"/>
    </row>
    <row r="967" spans="3:7" ht="14" x14ac:dyDescent="0.2">
      <c r="C967" s="147"/>
      <c r="D967" s="147"/>
      <c r="E967" s="147"/>
      <c r="F967" s="147"/>
      <c r="G967" s="147"/>
    </row>
    <row r="968" spans="3:7" ht="14" x14ac:dyDescent="0.2">
      <c r="C968" s="147"/>
      <c r="D968" s="147"/>
      <c r="E968" s="147"/>
      <c r="F968" s="147"/>
      <c r="G968" s="147"/>
    </row>
    <row r="969" spans="3:7" ht="14" x14ac:dyDescent="0.2">
      <c r="C969" s="147"/>
      <c r="D969" s="147"/>
      <c r="E969" s="147"/>
      <c r="F969" s="147"/>
      <c r="G969" s="147"/>
    </row>
    <row r="970" spans="3:7" ht="14" x14ac:dyDescent="0.2">
      <c r="C970" s="147"/>
      <c r="D970" s="147"/>
      <c r="E970" s="147"/>
      <c r="F970" s="147"/>
      <c r="G970" s="147"/>
    </row>
    <row r="971" spans="3:7" ht="14" x14ac:dyDescent="0.2">
      <c r="C971" s="147"/>
      <c r="D971" s="147"/>
      <c r="E971" s="147"/>
      <c r="F971" s="147"/>
      <c r="G971" s="147"/>
    </row>
    <row r="972" spans="3:7" ht="14" x14ac:dyDescent="0.2">
      <c r="C972" s="147"/>
      <c r="D972" s="147"/>
      <c r="E972" s="147"/>
      <c r="F972" s="147"/>
      <c r="G972" s="147"/>
    </row>
    <row r="973" spans="3:7" ht="14" x14ac:dyDescent="0.2">
      <c r="C973" s="147"/>
      <c r="D973" s="147"/>
      <c r="E973" s="147"/>
      <c r="F973" s="147"/>
      <c r="G973" s="147"/>
    </row>
    <row r="974" spans="3:7" ht="14" x14ac:dyDescent="0.2">
      <c r="C974" s="147"/>
      <c r="D974" s="147"/>
      <c r="E974" s="147"/>
      <c r="F974" s="147"/>
      <c r="G974" s="147"/>
    </row>
    <row r="975" spans="3:7" ht="14" x14ac:dyDescent="0.2">
      <c r="C975" s="147"/>
      <c r="D975" s="147"/>
      <c r="E975" s="147"/>
      <c r="F975" s="147"/>
      <c r="G975" s="147"/>
    </row>
    <row r="976" spans="3:7" ht="14" x14ac:dyDescent="0.2">
      <c r="C976" s="147"/>
      <c r="D976" s="147"/>
      <c r="E976" s="147"/>
      <c r="F976" s="147"/>
      <c r="G976" s="147"/>
    </row>
    <row r="977" spans="3:7" ht="14" x14ac:dyDescent="0.2">
      <c r="C977" s="147"/>
      <c r="D977" s="147"/>
      <c r="E977" s="147"/>
      <c r="F977" s="147"/>
      <c r="G977" s="147"/>
    </row>
    <row r="978" spans="3:7" ht="14" x14ac:dyDescent="0.2">
      <c r="C978" s="147"/>
      <c r="D978" s="147"/>
      <c r="E978" s="147"/>
      <c r="F978" s="147"/>
      <c r="G978" s="147"/>
    </row>
    <row r="979" spans="3:7" ht="14" x14ac:dyDescent="0.2">
      <c r="C979" s="147"/>
      <c r="D979" s="147"/>
      <c r="E979" s="147"/>
      <c r="F979" s="147"/>
      <c r="G979" s="147"/>
    </row>
    <row r="980" spans="3:7" ht="14" x14ac:dyDescent="0.2">
      <c r="C980" s="147"/>
      <c r="D980" s="147"/>
      <c r="E980" s="147"/>
      <c r="F980" s="147"/>
      <c r="G980" s="147"/>
    </row>
    <row r="981" spans="3:7" ht="14" x14ac:dyDescent="0.2">
      <c r="C981" s="147"/>
      <c r="D981" s="147"/>
      <c r="E981" s="147"/>
      <c r="F981" s="147"/>
      <c r="G981" s="147"/>
    </row>
    <row r="982" spans="3:7" ht="14" x14ac:dyDescent="0.2">
      <c r="C982" s="147"/>
      <c r="D982" s="147"/>
      <c r="E982" s="147"/>
      <c r="F982" s="147"/>
      <c r="G982" s="147"/>
    </row>
    <row r="983" spans="3:7" ht="14" x14ac:dyDescent="0.2">
      <c r="C983" s="147"/>
      <c r="D983" s="147"/>
      <c r="E983" s="147"/>
      <c r="F983" s="147"/>
      <c r="G983" s="147"/>
    </row>
    <row r="984" spans="3:7" ht="14" x14ac:dyDescent="0.2">
      <c r="C984" s="147"/>
      <c r="D984" s="147"/>
      <c r="E984" s="147"/>
      <c r="F984" s="147"/>
      <c r="G984" s="147"/>
    </row>
    <row r="985" spans="3:7" ht="14" x14ac:dyDescent="0.2">
      <c r="C985" s="147"/>
      <c r="D985" s="147"/>
      <c r="E985" s="147"/>
      <c r="F985" s="147"/>
      <c r="G985" s="147"/>
    </row>
    <row r="986" spans="3:7" ht="14" x14ac:dyDescent="0.2">
      <c r="C986" s="147"/>
      <c r="D986" s="147"/>
      <c r="E986" s="147"/>
      <c r="F986" s="147"/>
      <c r="G986" s="147"/>
    </row>
    <row r="987" spans="3:7" ht="14" x14ac:dyDescent="0.2">
      <c r="C987" s="147"/>
      <c r="D987" s="147"/>
      <c r="E987" s="147"/>
      <c r="F987" s="147"/>
      <c r="G987" s="147"/>
    </row>
    <row r="988" spans="3:7" ht="14" x14ac:dyDescent="0.2">
      <c r="C988" s="147"/>
      <c r="D988" s="147"/>
      <c r="E988" s="147"/>
      <c r="F988" s="147"/>
      <c r="G988" s="147"/>
    </row>
    <row r="989" spans="3:7" ht="14" x14ac:dyDescent="0.2">
      <c r="C989" s="147"/>
      <c r="D989" s="147"/>
      <c r="E989" s="147"/>
      <c r="F989" s="147"/>
      <c r="G989" s="147"/>
    </row>
    <row r="990" spans="3:7" ht="14" x14ac:dyDescent="0.2">
      <c r="C990" s="147"/>
      <c r="D990" s="147"/>
      <c r="E990" s="147"/>
      <c r="F990" s="147"/>
      <c r="G990" s="147"/>
    </row>
    <row r="991" spans="3:7" ht="14" x14ac:dyDescent="0.2">
      <c r="C991" s="147"/>
      <c r="D991" s="147"/>
      <c r="E991" s="147"/>
      <c r="F991" s="147"/>
      <c r="G991" s="147"/>
    </row>
    <row r="992" spans="3:7" ht="14" x14ac:dyDescent="0.2">
      <c r="C992" s="147"/>
      <c r="D992" s="147"/>
      <c r="E992" s="147"/>
      <c r="F992" s="147"/>
      <c r="G992" s="147"/>
    </row>
    <row r="993" spans="3:7" ht="14" x14ac:dyDescent="0.2">
      <c r="C993" s="147"/>
      <c r="D993" s="147"/>
      <c r="E993" s="147"/>
      <c r="F993" s="147"/>
      <c r="G993" s="147"/>
    </row>
  </sheetData>
  <mergeCells count="8">
    <mergeCell ref="A23:B23"/>
    <mergeCell ref="A43:B43"/>
    <mergeCell ref="A28:B28"/>
    <mergeCell ref="A1:G1"/>
    <mergeCell ref="A2:G2"/>
    <mergeCell ref="A3:B3"/>
    <mergeCell ref="A4:B4"/>
    <mergeCell ref="A10:B10"/>
  </mergeCells>
  <conditionalFormatting sqref="J11:J21">
    <cfRule type="iconSet" priority="12">
      <iconSet iconSet="3Arrows">
        <cfvo type="percent" val="0"/>
        <cfvo type="num" val="0" gte="0"/>
        <cfvo type="num" val="0"/>
      </iconSet>
    </cfRule>
  </conditionalFormatting>
  <conditionalFormatting sqref="J24">
    <cfRule type="iconSet" priority="10">
      <iconSet iconSet="3Arrows">
        <cfvo type="percent" val="0"/>
        <cfvo type="num" val="0" gte="0"/>
        <cfvo type="num" val="0"/>
      </iconSet>
    </cfRule>
  </conditionalFormatting>
  <conditionalFormatting sqref="J25">
    <cfRule type="iconSet" priority="9">
      <iconSet iconSet="3Arrows">
        <cfvo type="percent" val="0"/>
        <cfvo type="num" val="0" gte="0"/>
        <cfvo type="num" val="0"/>
      </iconSet>
    </cfRule>
  </conditionalFormatting>
  <conditionalFormatting sqref="J26">
    <cfRule type="iconSet" priority="8">
      <iconSet iconSet="3Arrows">
        <cfvo type="percent" val="0"/>
        <cfvo type="num" val="0" gte="0"/>
        <cfvo type="num" val="0"/>
      </iconSet>
    </cfRule>
  </conditionalFormatting>
  <conditionalFormatting sqref="J29">
    <cfRule type="iconSet" priority="7">
      <iconSet iconSet="3Arrows">
        <cfvo type="percent" val="0"/>
        <cfvo type="num" val="0" gte="0"/>
        <cfvo type="num" val="0"/>
      </iconSet>
    </cfRule>
  </conditionalFormatting>
  <conditionalFormatting sqref="J30">
    <cfRule type="iconSet" priority="6">
      <iconSet iconSet="3Arrows">
        <cfvo type="percent" val="0"/>
        <cfvo type="num" val="0" gte="0"/>
        <cfvo type="num" val="0"/>
      </iconSet>
    </cfRule>
  </conditionalFormatting>
  <conditionalFormatting sqref="J31">
    <cfRule type="iconSet" priority="5">
      <iconSet iconSet="3Arrows">
        <cfvo type="percent" val="0"/>
        <cfvo type="num" val="0" gte="0"/>
        <cfvo type="num" val="0"/>
      </iconSet>
    </cfRule>
  </conditionalFormatting>
  <conditionalFormatting sqref="J32">
    <cfRule type="iconSet" priority="4">
      <iconSet iconSet="3Arrows">
        <cfvo type="percent" val="0"/>
        <cfvo type="num" val="0" gte="0"/>
        <cfvo type="num" val="0"/>
      </iconSet>
    </cfRule>
  </conditionalFormatting>
  <conditionalFormatting sqref="J33">
    <cfRule type="iconSet" priority="3">
      <iconSet iconSet="3Arrows">
        <cfvo type="percent" val="0"/>
        <cfvo type="num" val="0" gte="0"/>
        <cfvo type="num" val="0"/>
      </iconSet>
    </cfRule>
  </conditionalFormatting>
  <conditionalFormatting sqref="J34">
    <cfRule type="iconSet" priority="2">
      <iconSet iconSet="3Arrows">
        <cfvo type="percent" val="0"/>
        <cfvo type="num" val="0" gte="0"/>
        <cfvo type="num" val="0"/>
      </iconSet>
    </cfRule>
  </conditionalFormatting>
  <conditionalFormatting sqref="J35">
    <cfRule type="iconSet" priority="1">
      <iconSet iconSet="3Arrows">
        <cfvo type="percent" val="0"/>
        <cfvo type="num" val="0" gte="0"/>
        <cfvo type="num" val="0"/>
      </iconSet>
    </cfRule>
  </conditionalFormatting>
  <pageMargins left="0.25" right="0.25" top="0.75" bottom="0.75" header="0.3" footer="0.3"/>
  <pageSetup scale="94" orientation="portrait" r:id="rId1"/>
  <ignoredErrors>
    <ignoredError sqref="E22:F23 E27:F28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265BE-2071-4D20-81D0-EDF9D8ACD190}">
  <sheetPr>
    <outlinePr summaryBelow="0" summaryRight="0"/>
    <pageSetUpPr fitToPage="1"/>
  </sheetPr>
  <dimension ref="A1:R834"/>
  <sheetViews>
    <sheetView showGridLines="0" zoomScale="125" zoomScaleNormal="125" workbookViewId="0">
      <pane ySplit="3" topLeftCell="A81" activePane="bottomLeft" state="frozen"/>
      <selection pane="bottomLeft" sqref="A1:G1"/>
    </sheetView>
  </sheetViews>
  <sheetFormatPr baseColWidth="10" defaultColWidth="11" defaultRowHeight="15.75" customHeight="1" x14ac:dyDescent="0.2"/>
  <cols>
    <col min="1" max="1" width="2.6640625" style="146" customWidth="1"/>
    <col min="2" max="2" width="34.6640625" style="146" customWidth="1"/>
    <col min="3" max="3" width="11.1640625" style="146" customWidth="1"/>
    <col min="4" max="4" width="11.1640625" style="146" hidden="1" customWidth="1"/>
    <col min="5" max="5" width="11.1640625" style="146" customWidth="1"/>
    <col min="6" max="6" width="9" style="146" customWidth="1"/>
    <col min="7" max="7" width="11.1640625" style="146" customWidth="1"/>
    <col min="8" max="8" width="0.83203125" style="146" customWidth="1"/>
    <col min="9" max="9" width="11.1640625" style="146" bestFit="1" customWidth="1"/>
    <col min="10" max="10" width="9.5" style="146" bestFit="1" customWidth="1"/>
    <col min="11" max="11" width="0" style="146" hidden="1" customWidth="1"/>
    <col min="12" max="12" width="4.33203125" style="146" hidden="1" customWidth="1"/>
    <col min="13" max="13" width="10.1640625" style="146" hidden="1" customWidth="1"/>
    <col min="14" max="14" width="12.6640625" style="146" hidden="1" customWidth="1"/>
    <col min="15" max="15" width="12.33203125" style="146" hidden="1" customWidth="1"/>
    <col min="16" max="17" width="0" style="146" hidden="1" customWidth="1"/>
    <col min="18" max="18" width="7.6640625" style="146" hidden="1" customWidth="1"/>
    <col min="19" max="19" width="0" style="146" hidden="1" customWidth="1"/>
    <col min="20" max="20" width="11" style="146"/>
    <col min="21" max="21" width="12.6640625" style="146" bestFit="1" customWidth="1"/>
    <col min="22" max="22" width="12.33203125" style="146" bestFit="1" customWidth="1"/>
    <col min="23" max="16384" width="11" style="146"/>
  </cols>
  <sheetData>
    <row r="1" spans="1:18" ht="16" x14ac:dyDescent="0.2">
      <c r="A1" s="251" t="s">
        <v>371</v>
      </c>
      <c r="B1" s="252"/>
      <c r="C1" s="252"/>
      <c r="D1" s="252"/>
      <c r="E1" s="252"/>
      <c r="F1" s="252"/>
      <c r="G1" s="252"/>
      <c r="H1" s="189"/>
      <c r="I1" s="179"/>
      <c r="K1" s="179"/>
    </row>
    <row r="2" spans="1:18" ht="16" x14ac:dyDescent="0.2">
      <c r="A2" s="251" t="s">
        <v>332</v>
      </c>
      <c r="B2" s="252"/>
      <c r="C2" s="252"/>
      <c r="D2" s="252"/>
      <c r="E2" s="252"/>
      <c r="F2" s="252"/>
      <c r="G2" s="252"/>
      <c r="H2" s="189"/>
      <c r="I2" s="179"/>
      <c r="K2" s="179"/>
    </row>
    <row r="3" spans="1:18" ht="30" x14ac:dyDescent="0.2">
      <c r="A3" s="248" t="s">
        <v>333</v>
      </c>
      <c r="B3" s="249"/>
      <c r="C3" s="148" t="s">
        <v>334</v>
      </c>
      <c r="D3" s="148" t="s">
        <v>335</v>
      </c>
      <c r="E3" s="148" t="s">
        <v>376</v>
      </c>
      <c r="F3" s="148" t="s">
        <v>383</v>
      </c>
      <c r="G3" s="180" t="s">
        <v>384</v>
      </c>
      <c r="H3" s="189"/>
      <c r="I3" s="184" t="s">
        <v>379</v>
      </c>
      <c r="K3" s="192" t="s">
        <v>379</v>
      </c>
      <c r="Q3" s="226">
        <v>21000</v>
      </c>
    </row>
    <row r="4" spans="1:18" ht="15" customHeight="1" x14ac:dyDescent="0.2">
      <c r="A4" s="250" t="s">
        <v>336</v>
      </c>
      <c r="B4" s="243"/>
      <c r="C4" s="150"/>
      <c r="D4" s="147"/>
      <c r="E4" s="147"/>
      <c r="F4" s="147"/>
      <c r="G4" s="181"/>
      <c r="H4" s="189"/>
      <c r="I4" s="185"/>
      <c r="K4" s="193"/>
      <c r="L4" s="231" t="s">
        <v>142</v>
      </c>
      <c r="M4" s="231" t="s">
        <v>401</v>
      </c>
      <c r="N4" s="231" t="s">
        <v>403</v>
      </c>
      <c r="O4" s="231" t="s">
        <v>402</v>
      </c>
      <c r="P4" s="231" t="s">
        <v>47</v>
      </c>
      <c r="Q4" s="231" t="s">
        <v>404</v>
      </c>
      <c r="R4" s="232" t="s">
        <v>406</v>
      </c>
    </row>
    <row r="5" spans="1:18" ht="15" customHeight="1" x14ac:dyDescent="0.2">
      <c r="A5" s="176"/>
      <c r="B5" s="152" t="s">
        <v>337</v>
      </c>
      <c r="C5" s="154">
        <v>80552</v>
      </c>
      <c r="D5" s="154">
        <f>C5/12</f>
        <v>6712.666666666667</v>
      </c>
      <c r="E5" s="154">
        <f>SUM('2024 Actual'!C5:N5)</f>
        <v>83275.199999999997</v>
      </c>
      <c r="F5" s="154">
        <v>0</v>
      </c>
      <c r="G5" s="182">
        <f>E5+F5</f>
        <v>83275.199999999997</v>
      </c>
      <c r="H5" s="189"/>
      <c r="I5" s="186">
        <v>83076.5</v>
      </c>
      <c r="K5" s="227">
        <v>83076.5</v>
      </c>
      <c r="L5" s="151">
        <v>2025</v>
      </c>
      <c r="M5" s="228">
        <v>484</v>
      </c>
      <c r="N5" s="229">
        <f>M5*186</f>
        <v>90024</v>
      </c>
      <c r="O5" s="228">
        <v>87985</v>
      </c>
      <c r="P5" s="229">
        <f>N5-O5</f>
        <v>2039</v>
      </c>
      <c r="Q5" s="229">
        <f>P5+Q3</f>
        <v>23039</v>
      </c>
      <c r="R5" s="230">
        <f>Q5/O5</f>
        <v>0.2618514519520373</v>
      </c>
    </row>
    <row r="6" spans="1:18" ht="15" customHeight="1" x14ac:dyDescent="0.2">
      <c r="A6" s="177"/>
      <c r="B6" s="211" t="s">
        <v>167</v>
      </c>
      <c r="C6" s="154">
        <v>300</v>
      </c>
      <c r="D6" s="154">
        <f>C6/12</f>
        <v>25</v>
      </c>
      <c r="E6" s="154">
        <f>SUM('2024 Actual'!C6:N6)</f>
        <v>600</v>
      </c>
      <c r="F6" s="154">
        <v>0</v>
      </c>
      <c r="G6" s="182">
        <f>E6+F6</f>
        <v>600</v>
      </c>
      <c r="H6" s="189"/>
      <c r="I6" s="186">
        <v>0</v>
      </c>
      <c r="K6" s="227">
        <v>0</v>
      </c>
      <c r="L6" s="151">
        <v>2026</v>
      </c>
      <c r="M6" s="228">
        <f>(M5*10%)+M5</f>
        <v>532.4</v>
      </c>
      <c r="N6" s="229">
        <f>M6*186</f>
        <v>99026.4</v>
      </c>
      <c r="O6" s="228">
        <f>(O5*5%)+O5</f>
        <v>92384.25</v>
      </c>
      <c r="P6" s="229">
        <f>N6-O6</f>
        <v>6642.1499999999942</v>
      </c>
      <c r="Q6" s="229">
        <f>Q5+P6</f>
        <v>29681.149999999994</v>
      </c>
      <c r="R6" s="230">
        <f>Q6/O6</f>
        <v>0.32127933062183212</v>
      </c>
    </row>
    <row r="7" spans="1:18" ht="15" customHeight="1" x14ac:dyDescent="0.2">
      <c r="A7" s="178"/>
      <c r="B7" s="211" t="s">
        <v>338</v>
      </c>
      <c r="C7" s="154">
        <v>0</v>
      </c>
      <c r="D7" s="154">
        <f>C7/12</f>
        <v>0</v>
      </c>
      <c r="E7" s="154">
        <f>SUM('2024 Actual'!C7:N7)</f>
        <v>122.47</v>
      </c>
      <c r="F7" s="154">
        <v>0</v>
      </c>
      <c r="G7" s="182">
        <f>E7+F7</f>
        <v>122.47</v>
      </c>
      <c r="H7" s="189"/>
      <c r="I7" s="186">
        <v>900</v>
      </c>
      <c r="K7" s="227">
        <v>900</v>
      </c>
      <c r="L7" s="151">
        <v>2027</v>
      </c>
      <c r="M7" s="228">
        <f>(M6*10%)+M6</f>
        <v>585.64</v>
      </c>
      <c r="N7" s="229">
        <f>M7*186</f>
        <v>108929.04</v>
      </c>
      <c r="O7" s="228">
        <f>(O6*5%)+O6</f>
        <v>97003.462499999994</v>
      </c>
      <c r="P7" s="229">
        <f>N7-O7</f>
        <v>11925.577499999999</v>
      </c>
      <c r="Q7" s="229">
        <f>Q6+P7</f>
        <v>41606.727499999994</v>
      </c>
      <c r="R7" s="230">
        <f>Q7/O7</f>
        <v>0.42892002437541854</v>
      </c>
    </row>
    <row r="8" spans="1:18" ht="15" customHeight="1" thickBot="1" x14ac:dyDescent="0.25">
      <c r="A8" s="156"/>
      <c r="B8" s="156" t="s">
        <v>339</v>
      </c>
      <c r="C8" s="157">
        <f>SUM(C5:C7)</f>
        <v>80852</v>
      </c>
      <c r="D8" s="157">
        <f>SUM(D5:D7)</f>
        <v>6737.666666666667</v>
      </c>
      <c r="E8" s="157">
        <f>SUM(E5:E7)</f>
        <v>83997.67</v>
      </c>
      <c r="F8" s="157">
        <f>SUM(F5:F7)</f>
        <v>0</v>
      </c>
      <c r="G8" s="157">
        <f>SUM(G5:G7)</f>
        <v>83997.67</v>
      </c>
      <c r="H8" s="189"/>
      <c r="I8" s="157">
        <v>83976.5</v>
      </c>
      <c r="K8" s="157">
        <v>83976.5</v>
      </c>
      <c r="L8" s="151">
        <v>2028</v>
      </c>
      <c r="M8" s="228">
        <f>(M7*10%)+M7</f>
        <v>644.20399999999995</v>
      </c>
      <c r="N8" s="229">
        <f>M8*186</f>
        <v>119821.94399999999</v>
      </c>
      <c r="O8" s="228">
        <f>(O7*5%)+O7</f>
        <v>101853.635625</v>
      </c>
      <c r="P8" s="229">
        <f>N8-O8</f>
        <v>17968.308374999993</v>
      </c>
      <c r="Q8" s="229">
        <f>Q7+P8</f>
        <v>59575.035874999987</v>
      </c>
      <c r="R8" s="230">
        <f>Q8/O8</f>
        <v>0.58490829030728564</v>
      </c>
    </row>
    <row r="9" spans="1:18" ht="15" customHeight="1" thickTop="1" x14ac:dyDescent="0.2">
      <c r="A9" s="149" t="s">
        <v>340</v>
      </c>
      <c r="C9" s="150"/>
      <c r="D9" s="150"/>
      <c r="E9" s="150"/>
      <c r="F9" s="150"/>
      <c r="G9" s="183"/>
      <c r="H9" s="189"/>
      <c r="I9" s="187"/>
      <c r="K9" s="196"/>
      <c r="L9" s="151">
        <v>2029</v>
      </c>
      <c r="M9" s="228">
        <f>(M8*10%)+M8</f>
        <v>708.62439999999992</v>
      </c>
      <c r="N9" s="229">
        <f>M9*186</f>
        <v>131804.1384</v>
      </c>
      <c r="O9" s="228">
        <f>(O8*5%)+O8</f>
        <v>106946.31740624999</v>
      </c>
      <c r="P9" s="229">
        <f>N9-O9</f>
        <v>24857.820993750007</v>
      </c>
      <c r="Q9" s="229">
        <f>Q8+P9</f>
        <v>84432.856868749994</v>
      </c>
      <c r="R9" s="230">
        <f>Q9/O9</f>
        <v>0.78948821162322413</v>
      </c>
    </row>
    <row r="10" spans="1:18" ht="15" customHeight="1" x14ac:dyDescent="0.2">
      <c r="A10" s="244" t="s">
        <v>341</v>
      </c>
      <c r="B10" s="243"/>
      <c r="C10" s="150"/>
      <c r="D10" s="150"/>
      <c r="E10" s="150"/>
      <c r="F10" s="150"/>
      <c r="G10" s="183"/>
      <c r="H10" s="189"/>
      <c r="I10" s="187"/>
      <c r="K10" s="196"/>
    </row>
    <row r="11" spans="1:18" ht="15" customHeight="1" x14ac:dyDescent="0.2">
      <c r="A11" s="176"/>
      <c r="B11" s="152" t="s">
        <v>342</v>
      </c>
      <c r="C11" s="154">
        <v>1451</v>
      </c>
      <c r="D11" s="154" t="e">
        <f>#REF!/12</f>
        <v>#REF!</v>
      </c>
      <c r="E11" s="154">
        <f>SUM('2024 Actual'!C11:N11)</f>
        <v>2487</v>
      </c>
      <c r="F11" s="154">
        <v>0</v>
      </c>
      <c r="G11" s="182">
        <f>E11+F11</f>
        <v>2487</v>
      </c>
      <c r="H11" s="189"/>
      <c r="I11" s="186">
        <v>2195</v>
      </c>
      <c r="J11" s="190">
        <f t="shared" ref="J11:J21" si="0">I11-G11</f>
        <v>-292</v>
      </c>
      <c r="K11" s="194">
        <v>2195</v>
      </c>
      <c r="M11" s="219"/>
      <c r="N11" s="221"/>
      <c r="O11" s="219"/>
      <c r="P11" s="221"/>
      <c r="Q11" s="221"/>
    </row>
    <row r="12" spans="1:18" ht="15" customHeight="1" x14ac:dyDescent="0.2">
      <c r="A12" s="177"/>
      <c r="B12" s="152" t="s">
        <v>343</v>
      </c>
      <c r="C12" s="154">
        <v>1169</v>
      </c>
      <c r="D12" s="154">
        <f t="shared" ref="D12:D21" si="1">C12/12</f>
        <v>97.416666666666671</v>
      </c>
      <c r="E12" s="154">
        <f>SUM('2024 Actual'!C12:N12)</f>
        <v>1168.9000000000001</v>
      </c>
      <c r="F12" s="154">
        <v>0</v>
      </c>
      <c r="G12" s="182">
        <f t="shared" ref="G12:G21" si="2">E12+F12</f>
        <v>1168.9000000000001</v>
      </c>
      <c r="H12" s="189"/>
      <c r="I12" s="186">
        <v>976.5</v>
      </c>
      <c r="J12" s="190">
        <f t="shared" si="0"/>
        <v>-192.40000000000009</v>
      </c>
      <c r="K12" s="194">
        <v>976.5</v>
      </c>
      <c r="M12" s="219"/>
      <c r="N12" s="221"/>
      <c r="O12" s="219"/>
      <c r="P12" s="221"/>
      <c r="Q12" s="221"/>
    </row>
    <row r="13" spans="1:18" ht="15" customHeight="1" x14ac:dyDescent="0.2">
      <c r="A13" s="177"/>
      <c r="B13" s="152" t="s">
        <v>301</v>
      </c>
      <c r="C13" s="154">
        <v>0</v>
      </c>
      <c r="D13" s="154">
        <f t="shared" si="1"/>
        <v>0</v>
      </c>
      <c r="E13" s="154">
        <f>SUM('2024 Actual'!C13:N13)</f>
        <v>100</v>
      </c>
      <c r="F13" s="154">
        <v>0</v>
      </c>
      <c r="G13" s="182">
        <f t="shared" si="2"/>
        <v>100</v>
      </c>
      <c r="H13" s="189"/>
      <c r="I13" s="186">
        <v>100</v>
      </c>
      <c r="J13" s="190">
        <f t="shared" si="0"/>
        <v>0</v>
      </c>
      <c r="K13" s="194">
        <v>100</v>
      </c>
      <c r="M13" s="219"/>
      <c r="N13" s="221"/>
      <c r="O13" s="219"/>
      <c r="P13" s="221"/>
      <c r="Q13" s="221"/>
    </row>
    <row r="14" spans="1:18" ht="15" customHeight="1" x14ac:dyDescent="0.2">
      <c r="A14" s="177"/>
      <c r="B14" s="152" t="s">
        <v>14</v>
      </c>
      <c r="C14" s="154">
        <v>120</v>
      </c>
      <c r="D14" s="154">
        <f t="shared" si="1"/>
        <v>10</v>
      </c>
      <c r="E14" s="154">
        <f>SUM('2024 Actual'!C14:N14)</f>
        <v>60.33</v>
      </c>
      <c r="F14" s="154">
        <v>0</v>
      </c>
      <c r="G14" s="182">
        <f t="shared" si="2"/>
        <v>60.33</v>
      </c>
      <c r="H14" s="189"/>
      <c r="I14" s="186">
        <v>283.93</v>
      </c>
      <c r="J14" s="190">
        <f t="shared" si="0"/>
        <v>223.60000000000002</v>
      </c>
      <c r="K14" s="194">
        <v>283.93</v>
      </c>
      <c r="M14" s="219"/>
      <c r="N14" s="221"/>
      <c r="O14" s="219"/>
      <c r="P14" s="221"/>
      <c r="Q14" s="221"/>
    </row>
    <row r="15" spans="1:18" ht="15" customHeight="1" x14ac:dyDescent="0.2">
      <c r="A15" s="177"/>
      <c r="B15" s="211" t="s">
        <v>344</v>
      </c>
      <c r="C15" s="154">
        <v>0</v>
      </c>
      <c r="D15" s="154">
        <f t="shared" si="1"/>
        <v>0</v>
      </c>
      <c r="E15" s="154">
        <f>SUM('2024 Actual'!C15:N15)</f>
        <v>0</v>
      </c>
      <c r="F15" s="154">
        <v>0</v>
      </c>
      <c r="G15" s="182">
        <f t="shared" si="2"/>
        <v>0</v>
      </c>
      <c r="H15" s="189"/>
      <c r="I15" s="186">
        <v>0</v>
      </c>
      <c r="J15" s="190">
        <f t="shared" si="0"/>
        <v>0</v>
      </c>
      <c r="K15" s="194">
        <v>0</v>
      </c>
    </row>
    <row r="16" spans="1:18" ht="15" customHeight="1" x14ac:dyDescent="0.2">
      <c r="A16" s="177"/>
      <c r="B16" s="211" t="s">
        <v>287</v>
      </c>
      <c r="C16" s="154">
        <v>210</v>
      </c>
      <c r="D16" s="154">
        <f t="shared" si="1"/>
        <v>17.5</v>
      </c>
      <c r="E16" s="154">
        <f>SUM('2024 Actual'!C16:N16)</f>
        <v>216</v>
      </c>
      <c r="F16" s="154">
        <v>0</v>
      </c>
      <c r="G16" s="182">
        <f t="shared" si="2"/>
        <v>216</v>
      </c>
      <c r="H16" s="189"/>
      <c r="I16" s="186">
        <v>235.2</v>
      </c>
      <c r="J16" s="190">
        <f t="shared" si="0"/>
        <v>19.199999999999989</v>
      </c>
      <c r="K16" s="194">
        <v>235.2</v>
      </c>
    </row>
    <row r="17" spans="1:17" ht="15" customHeight="1" x14ac:dyDescent="0.2">
      <c r="A17" s="177"/>
      <c r="B17" s="211" t="s">
        <v>400</v>
      </c>
      <c r="C17" s="154">
        <v>1100</v>
      </c>
      <c r="D17" s="154">
        <f t="shared" si="1"/>
        <v>91.666666666666671</v>
      </c>
      <c r="E17" s="154">
        <f>SUM('2024 Actual'!C17:N17)</f>
        <v>1766.3000000000002</v>
      </c>
      <c r="F17" s="154">
        <v>0</v>
      </c>
      <c r="G17" s="182">
        <f t="shared" si="2"/>
        <v>1766.3000000000002</v>
      </c>
      <c r="H17" s="189"/>
      <c r="I17" s="186">
        <v>214</v>
      </c>
      <c r="J17" s="190">
        <f t="shared" si="0"/>
        <v>-1552.3000000000002</v>
      </c>
      <c r="K17" s="194">
        <v>214</v>
      </c>
    </row>
    <row r="18" spans="1:17" ht="15" customHeight="1" x14ac:dyDescent="0.2">
      <c r="A18" s="177"/>
      <c r="B18" s="152" t="s">
        <v>346</v>
      </c>
      <c r="C18" s="154">
        <v>0</v>
      </c>
      <c r="D18" s="154">
        <f t="shared" si="1"/>
        <v>0</v>
      </c>
      <c r="E18" s="154">
        <f>SUM('2024 Actual'!C18:N18)</f>
        <v>0</v>
      </c>
      <c r="F18" s="154">
        <v>0</v>
      </c>
      <c r="G18" s="182">
        <f t="shared" si="2"/>
        <v>0</v>
      </c>
      <c r="H18" s="189"/>
      <c r="I18" s="186">
        <v>0</v>
      </c>
      <c r="J18" s="190">
        <f t="shared" si="0"/>
        <v>0</v>
      </c>
      <c r="K18" s="194">
        <v>0</v>
      </c>
    </row>
    <row r="19" spans="1:17" ht="15" customHeight="1" x14ac:dyDescent="0.2">
      <c r="A19" s="177"/>
      <c r="B19" s="152" t="s">
        <v>347</v>
      </c>
      <c r="C19" s="154">
        <v>0</v>
      </c>
      <c r="D19" s="154">
        <f t="shared" si="1"/>
        <v>0</v>
      </c>
      <c r="E19" s="154">
        <f>SUM('2024 Actual'!C19:N19)</f>
        <v>0</v>
      </c>
      <c r="F19" s="154">
        <v>0</v>
      </c>
      <c r="G19" s="182">
        <f t="shared" si="2"/>
        <v>0</v>
      </c>
      <c r="H19" s="189"/>
      <c r="I19" s="186">
        <v>452</v>
      </c>
      <c r="J19" s="190">
        <f t="shared" si="0"/>
        <v>452</v>
      </c>
      <c r="K19" s="194">
        <v>452</v>
      </c>
    </row>
    <row r="20" spans="1:17" ht="15" customHeight="1" x14ac:dyDescent="0.2">
      <c r="A20" s="177"/>
      <c r="B20" s="152" t="s">
        <v>348</v>
      </c>
      <c r="C20" s="154">
        <v>360</v>
      </c>
      <c r="D20" s="154">
        <f t="shared" si="1"/>
        <v>30</v>
      </c>
      <c r="E20" s="154">
        <f>SUM('2024 Actual'!C20:N20)</f>
        <v>360</v>
      </c>
      <c r="F20" s="154">
        <v>0</v>
      </c>
      <c r="G20" s="182">
        <f t="shared" si="2"/>
        <v>360</v>
      </c>
      <c r="H20" s="189"/>
      <c r="I20" s="186">
        <v>360</v>
      </c>
      <c r="J20" s="190">
        <f t="shared" si="0"/>
        <v>0</v>
      </c>
      <c r="K20" s="194">
        <v>360</v>
      </c>
    </row>
    <row r="21" spans="1:17" ht="15" customHeight="1" x14ac:dyDescent="0.2">
      <c r="A21" s="178"/>
      <c r="B21" s="152" t="s">
        <v>349</v>
      </c>
      <c r="C21" s="154">
        <v>2018</v>
      </c>
      <c r="D21" s="154">
        <f t="shared" si="1"/>
        <v>168.16666666666666</v>
      </c>
      <c r="E21" s="154">
        <f>SUM('2024 Actual'!C21:N21)</f>
        <v>2367.5</v>
      </c>
      <c r="F21" s="154">
        <v>0</v>
      </c>
      <c r="G21" s="182">
        <f t="shared" si="2"/>
        <v>2367.5</v>
      </c>
      <c r="H21" s="189"/>
      <c r="I21" s="186">
        <v>938</v>
      </c>
      <c r="J21" s="190">
        <f t="shared" si="0"/>
        <v>-1429.5</v>
      </c>
      <c r="K21" s="194">
        <v>938</v>
      </c>
    </row>
    <row r="22" spans="1:17" ht="15" customHeight="1" x14ac:dyDescent="0.2">
      <c r="A22" s="233"/>
      <c r="B22" s="160" t="s">
        <v>350</v>
      </c>
      <c r="C22" s="161">
        <f>SUM(C11:C21)</f>
        <v>6428</v>
      </c>
      <c r="D22" s="161" t="e">
        <f>SUM(D11:D21)</f>
        <v>#REF!</v>
      </c>
      <c r="E22" s="161">
        <f>SUM(E11:E21)</f>
        <v>8526.0300000000007</v>
      </c>
      <c r="F22" s="161">
        <f>SUM(F11:F21)</f>
        <v>0</v>
      </c>
      <c r="G22" s="161">
        <f>SUM(G11:G21)</f>
        <v>8526.0300000000007</v>
      </c>
      <c r="H22" s="189"/>
      <c r="I22" s="161">
        <f>SUM(I11:I21)</f>
        <v>5754.6299999999992</v>
      </c>
      <c r="K22" s="161">
        <f>SUM(K11:K21)</f>
        <v>5754.6299999999992</v>
      </c>
    </row>
    <row r="23" spans="1:17" ht="15" customHeight="1" x14ac:dyDescent="0.2">
      <c r="A23" s="244" t="s">
        <v>351</v>
      </c>
      <c r="B23" s="243"/>
      <c r="C23" s="150"/>
      <c r="D23" s="150"/>
      <c r="E23" s="150"/>
      <c r="F23" s="150"/>
      <c r="G23" s="183"/>
      <c r="H23" s="189"/>
      <c r="I23" s="187"/>
      <c r="K23" s="196"/>
    </row>
    <row r="24" spans="1:17" ht="15" customHeight="1" x14ac:dyDescent="0.2">
      <c r="A24" s="176"/>
      <c r="B24" s="152" t="s">
        <v>15</v>
      </c>
      <c r="C24" s="154">
        <v>13366</v>
      </c>
      <c r="D24" s="154">
        <f t="shared" ref="D24:D26" si="3">C24/12</f>
        <v>1113.8333333333333</v>
      </c>
      <c r="E24" s="154">
        <f>SUM('2024 Actual'!C22:N22)</f>
        <v>14411.339999999998</v>
      </c>
      <c r="F24" s="154">
        <v>0</v>
      </c>
      <c r="G24" s="182">
        <f>E24+F24</f>
        <v>14411.339999999998</v>
      </c>
      <c r="H24" s="189"/>
      <c r="I24" s="186">
        <v>12798.720000000001</v>
      </c>
      <c r="J24" s="190">
        <f>I24-G24</f>
        <v>-1612.6199999999972</v>
      </c>
      <c r="K24" s="194">
        <v>12798.720000000001</v>
      </c>
    </row>
    <row r="25" spans="1:17" ht="15" customHeight="1" x14ac:dyDescent="0.2">
      <c r="A25" s="177"/>
      <c r="B25" s="211" t="s">
        <v>352</v>
      </c>
      <c r="C25" s="154">
        <v>1288</v>
      </c>
      <c r="D25" s="154">
        <f t="shared" si="3"/>
        <v>107.33333333333333</v>
      </c>
      <c r="E25" s="154">
        <f>SUM('2024 Actual'!C23:N23)</f>
        <v>1366.1200000000003</v>
      </c>
      <c r="F25" s="154">
        <f>SUM('2024 Actual'!N23)</f>
        <v>0</v>
      </c>
      <c r="G25" s="182">
        <f t="shared" ref="G25:G26" si="4">E25+F25</f>
        <v>1366.1200000000003</v>
      </c>
      <c r="H25" s="189"/>
      <c r="I25" s="186">
        <v>1248.83</v>
      </c>
      <c r="J25" s="190">
        <f>I25-G25</f>
        <v>-117.29000000000042</v>
      </c>
      <c r="K25" s="194">
        <v>1248.83</v>
      </c>
    </row>
    <row r="26" spans="1:17" ht="15" customHeight="1" x14ac:dyDescent="0.2">
      <c r="A26" s="178"/>
      <c r="B26" s="152" t="s">
        <v>353</v>
      </c>
      <c r="C26" s="154">
        <v>1028</v>
      </c>
      <c r="D26" s="154">
        <f t="shared" si="3"/>
        <v>85.666666666666671</v>
      </c>
      <c r="E26" s="154">
        <f>SUM('2024 Actual'!C24:N24)</f>
        <v>1032.4099999999999</v>
      </c>
      <c r="F26" s="154">
        <v>0</v>
      </c>
      <c r="G26" s="182">
        <f t="shared" si="4"/>
        <v>1032.4099999999999</v>
      </c>
      <c r="H26" s="189"/>
      <c r="I26" s="186">
        <v>1100.7200000000003</v>
      </c>
      <c r="J26" s="190">
        <f>I26-G26</f>
        <v>68.3100000000004</v>
      </c>
      <c r="K26" s="194">
        <v>1100.7200000000003</v>
      </c>
    </row>
    <row r="27" spans="1:17" ht="15" customHeight="1" x14ac:dyDescent="0.2">
      <c r="A27" s="233"/>
      <c r="B27" s="160" t="s">
        <v>354</v>
      </c>
      <c r="C27" s="161">
        <f>SUM(C24:C26)</f>
        <v>15682</v>
      </c>
      <c r="D27" s="161">
        <f>SUM(D24:D26)</f>
        <v>1306.8333333333333</v>
      </c>
      <c r="E27" s="161">
        <f>SUM(E24:E26)</f>
        <v>16809.87</v>
      </c>
      <c r="F27" s="161">
        <f>SUM(F24:F26)</f>
        <v>0</v>
      </c>
      <c r="G27" s="161">
        <f>SUM(G24:G26)</f>
        <v>16809.87</v>
      </c>
      <c r="H27" s="189"/>
      <c r="I27" s="161">
        <f>SUM(I24:I26)</f>
        <v>15148.27</v>
      </c>
      <c r="K27" s="161">
        <f>SUM(K24:K26)</f>
        <v>15148.27</v>
      </c>
    </row>
    <row r="28" spans="1:17" ht="15" customHeight="1" x14ac:dyDescent="0.2">
      <c r="A28" s="244" t="s">
        <v>355</v>
      </c>
      <c r="B28" s="243"/>
      <c r="C28" s="150"/>
      <c r="D28" s="150"/>
      <c r="E28" s="150"/>
      <c r="F28" s="150"/>
      <c r="G28" s="183"/>
      <c r="H28" s="189"/>
      <c r="I28" s="187"/>
      <c r="K28" s="196"/>
      <c r="L28" s="231" t="s">
        <v>142</v>
      </c>
      <c r="M28" s="231" t="s">
        <v>407</v>
      </c>
      <c r="N28" s="231" t="s">
        <v>403</v>
      </c>
      <c r="O28" s="231" t="s">
        <v>402</v>
      </c>
      <c r="P28" s="231" t="s">
        <v>47</v>
      </c>
      <c r="Q28" s="231" t="s">
        <v>404</v>
      </c>
    </row>
    <row r="29" spans="1:17" ht="15" customHeight="1" x14ac:dyDescent="0.2">
      <c r="A29" s="176"/>
      <c r="B29" s="152" t="s">
        <v>356</v>
      </c>
      <c r="C29" s="154">
        <v>38500</v>
      </c>
      <c r="D29" s="154">
        <f>C29/12</f>
        <v>3208.3333333333335</v>
      </c>
      <c r="E29" s="154">
        <f>SUM('2024 Actual'!C25:N25)</f>
        <v>41136.799999999996</v>
      </c>
      <c r="F29" s="154">
        <v>0</v>
      </c>
      <c r="G29" s="182">
        <f t="shared" ref="G29:G35" si="5">E29+F29</f>
        <v>41136.799999999996</v>
      </c>
      <c r="H29" s="189"/>
      <c r="I29" s="186">
        <v>38335.369999999995</v>
      </c>
      <c r="J29" s="190">
        <f t="shared" ref="J29:J35" si="6">I29-G29</f>
        <v>-2801.4300000000003</v>
      </c>
      <c r="K29" s="194">
        <v>38335.369999999995</v>
      </c>
      <c r="L29" s="151">
        <v>2025</v>
      </c>
      <c r="M29" s="234">
        <v>440</v>
      </c>
      <c r="N29" s="234">
        <f t="shared" ref="N29:N34" si="7">M29*186</f>
        <v>81840</v>
      </c>
      <c r="O29" s="234">
        <v>87985</v>
      </c>
      <c r="P29" s="235">
        <f t="shared" ref="P29:P34" si="8">N29-O29</f>
        <v>-6145</v>
      </c>
      <c r="Q29" s="235">
        <f>P29</f>
        <v>-6145</v>
      </c>
    </row>
    <row r="30" spans="1:17" ht="15" customHeight="1" x14ac:dyDescent="0.2">
      <c r="A30" s="177"/>
      <c r="B30" s="152" t="s">
        <v>357</v>
      </c>
      <c r="C30" s="154">
        <v>3000</v>
      </c>
      <c r="D30" s="154">
        <f t="shared" ref="D30:D35" si="9">C30/12</f>
        <v>250</v>
      </c>
      <c r="E30" s="154">
        <f>SUM('2024 Actual'!C26:N26)</f>
        <v>781.13</v>
      </c>
      <c r="F30" s="154">
        <v>0</v>
      </c>
      <c r="G30" s="182">
        <f t="shared" si="5"/>
        <v>781.13</v>
      </c>
      <c r="H30" s="189"/>
      <c r="I30" s="186">
        <v>3441.0699999999997</v>
      </c>
      <c r="J30" s="190">
        <f t="shared" si="6"/>
        <v>2659.9399999999996</v>
      </c>
      <c r="K30" s="194">
        <v>3441.0699999999997</v>
      </c>
      <c r="L30" s="151">
        <v>2026</v>
      </c>
      <c r="M30" s="234">
        <v>440</v>
      </c>
      <c r="N30" s="234">
        <f t="shared" si="7"/>
        <v>81840</v>
      </c>
      <c r="O30" s="234">
        <f>(O29*3%)+O29</f>
        <v>90624.55</v>
      </c>
      <c r="P30" s="235">
        <f t="shared" si="8"/>
        <v>-8784.5500000000029</v>
      </c>
      <c r="Q30" s="235">
        <f>Q29+P30</f>
        <v>-14929.550000000003</v>
      </c>
    </row>
    <row r="31" spans="1:17" ht="15" customHeight="1" x14ac:dyDescent="0.2">
      <c r="A31" s="177"/>
      <c r="B31" s="152" t="s">
        <v>358</v>
      </c>
      <c r="C31" s="154">
        <v>17200</v>
      </c>
      <c r="D31" s="154">
        <f t="shared" si="9"/>
        <v>1433.3333333333333</v>
      </c>
      <c r="E31" s="154">
        <f>SUM('2024 Actual'!C27:N27)</f>
        <v>17200</v>
      </c>
      <c r="F31" s="154">
        <v>0</v>
      </c>
      <c r="G31" s="182">
        <f t="shared" si="5"/>
        <v>17200</v>
      </c>
      <c r="H31" s="189"/>
      <c r="I31" s="186">
        <v>17200</v>
      </c>
      <c r="J31" s="190">
        <f t="shared" si="6"/>
        <v>0</v>
      </c>
      <c r="K31" s="194">
        <v>17200</v>
      </c>
      <c r="L31" s="151">
        <v>2027</v>
      </c>
      <c r="M31" s="234">
        <v>440</v>
      </c>
      <c r="N31" s="234">
        <f t="shared" si="7"/>
        <v>81840</v>
      </c>
      <c r="O31" s="234">
        <f>(O30*3%)+O30</f>
        <v>93343.286500000002</v>
      </c>
      <c r="P31" s="235">
        <f t="shared" si="8"/>
        <v>-11503.286500000002</v>
      </c>
      <c r="Q31" s="235">
        <f>Q30+P31</f>
        <v>-26432.836500000005</v>
      </c>
    </row>
    <row r="32" spans="1:17" ht="15" customHeight="1" x14ac:dyDescent="0.2">
      <c r="A32" s="177"/>
      <c r="B32" s="152" t="s">
        <v>359</v>
      </c>
      <c r="C32" s="154">
        <v>64</v>
      </c>
      <c r="D32" s="154">
        <f t="shared" si="9"/>
        <v>5.333333333333333</v>
      </c>
      <c r="E32" s="154">
        <f>SUM('2024 Actual'!C28:N28)</f>
        <v>0</v>
      </c>
      <c r="F32" s="154">
        <v>0</v>
      </c>
      <c r="G32" s="182">
        <f t="shared" si="5"/>
        <v>0</v>
      </c>
      <c r="H32" s="189"/>
      <c r="I32" s="186">
        <v>64.2</v>
      </c>
      <c r="J32" s="190">
        <f t="shared" si="6"/>
        <v>64.2</v>
      </c>
      <c r="K32" s="194">
        <v>64.2</v>
      </c>
      <c r="L32" s="151">
        <v>2028</v>
      </c>
      <c r="M32" s="234">
        <v>440</v>
      </c>
      <c r="N32" s="234">
        <f t="shared" si="7"/>
        <v>81840</v>
      </c>
      <c r="O32" s="234">
        <f>(O31*3%)+O31</f>
        <v>96143.585095000002</v>
      </c>
      <c r="P32" s="235">
        <f t="shared" si="8"/>
        <v>-14303.585095000002</v>
      </c>
      <c r="Q32" s="235">
        <f>Q31+P32</f>
        <v>-40736.421595000007</v>
      </c>
    </row>
    <row r="33" spans="1:17" ht="15" customHeight="1" x14ac:dyDescent="0.2">
      <c r="A33" s="177"/>
      <c r="B33" s="152" t="s">
        <v>372</v>
      </c>
      <c r="C33" s="154">
        <f>700+165</f>
        <v>865</v>
      </c>
      <c r="D33" s="154">
        <f t="shared" si="9"/>
        <v>72.083333333333329</v>
      </c>
      <c r="E33" s="154">
        <f>SUM('2024 Actual'!C29:N29)</f>
        <v>988.95999999999992</v>
      </c>
      <c r="F33" s="154">
        <v>0</v>
      </c>
      <c r="G33" s="182">
        <f t="shared" si="5"/>
        <v>988.95999999999992</v>
      </c>
      <c r="H33" s="189"/>
      <c r="I33" s="186">
        <v>805.5</v>
      </c>
      <c r="J33" s="190">
        <f t="shared" si="6"/>
        <v>-183.45999999999992</v>
      </c>
      <c r="K33" s="194">
        <v>805.5</v>
      </c>
      <c r="L33" s="151">
        <v>2029</v>
      </c>
      <c r="M33" s="234">
        <v>440</v>
      </c>
      <c r="N33" s="234">
        <f t="shared" si="7"/>
        <v>81840</v>
      </c>
      <c r="O33" s="234">
        <f>(O32*3%)+O32</f>
        <v>99027.892647850007</v>
      </c>
      <c r="P33" s="235">
        <f t="shared" si="8"/>
        <v>-17187.892647850007</v>
      </c>
      <c r="Q33" s="235">
        <f>Q32+P33</f>
        <v>-57924.314242850014</v>
      </c>
    </row>
    <row r="34" spans="1:17" ht="15" customHeight="1" x14ac:dyDescent="0.2">
      <c r="A34" s="177"/>
      <c r="B34" s="211" t="s">
        <v>399</v>
      </c>
      <c r="C34" s="154">
        <v>1500</v>
      </c>
      <c r="D34" s="154">
        <f t="shared" si="9"/>
        <v>125</v>
      </c>
      <c r="E34" s="154">
        <f>SUM('2024 Actual'!C30:N30)</f>
        <v>1750</v>
      </c>
      <c r="F34" s="154">
        <v>0</v>
      </c>
      <c r="G34" s="182">
        <f t="shared" si="5"/>
        <v>1750</v>
      </c>
      <c r="H34" s="189"/>
      <c r="I34" s="186">
        <v>5325.28</v>
      </c>
      <c r="J34" s="190">
        <f t="shared" si="6"/>
        <v>3575.2799999999997</v>
      </c>
      <c r="K34" s="194">
        <v>5325.28</v>
      </c>
      <c r="L34" s="151">
        <v>2030</v>
      </c>
      <c r="M34" s="234">
        <v>440</v>
      </c>
      <c r="N34" s="234">
        <f t="shared" si="7"/>
        <v>81840</v>
      </c>
      <c r="O34" s="234">
        <f>(O33*3%)+O33</f>
        <v>101998.72942728551</v>
      </c>
      <c r="P34" s="235">
        <f t="shared" si="8"/>
        <v>-20158.729427285507</v>
      </c>
      <c r="Q34" s="235">
        <f>Q33+P34</f>
        <v>-78083.043670135521</v>
      </c>
    </row>
    <row r="35" spans="1:17" ht="15" customHeight="1" x14ac:dyDescent="0.2">
      <c r="A35" s="178"/>
      <c r="B35" s="211" t="s">
        <v>361</v>
      </c>
      <c r="C35" s="154">
        <v>0</v>
      </c>
      <c r="D35" s="154">
        <f t="shared" si="9"/>
        <v>0</v>
      </c>
      <c r="E35" s="154">
        <f>SUM('2024 Actual'!C31:N31)</f>
        <v>792.14</v>
      </c>
      <c r="F35" s="154">
        <v>0</v>
      </c>
      <c r="G35" s="182">
        <f t="shared" si="5"/>
        <v>792.14</v>
      </c>
      <c r="H35" s="189"/>
      <c r="I35" s="186">
        <v>674.01</v>
      </c>
      <c r="J35" s="190">
        <f t="shared" si="6"/>
        <v>-118.13</v>
      </c>
      <c r="K35" s="194">
        <v>674.01</v>
      </c>
    </row>
    <row r="36" spans="1:17" ht="15" customHeight="1" x14ac:dyDescent="0.2">
      <c r="A36" s="233"/>
      <c r="B36" s="160" t="s">
        <v>362</v>
      </c>
      <c r="C36" s="161">
        <f>SUM(C29:C35)</f>
        <v>61129</v>
      </c>
      <c r="D36" s="161">
        <f>SUM(D29:D35)</f>
        <v>5094.083333333333</v>
      </c>
      <c r="E36" s="161">
        <f>SUM(E29:E35)</f>
        <v>62649.029999999992</v>
      </c>
      <c r="F36" s="161">
        <f>SUM(F29:F35)</f>
        <v>0</v>
      </c>
      <c r="G36" s="161">
        <f>SUM(G29:G35)</f>
        <v>62649.029999999992</v>
      </c>
      <c r="H36" s="189"/>
      <c r="I36" s="161">
        <f>SUM(I29:I35)</f>
        <v>65845.429999999993</v>
      </c>
      <c r="K36" s="161">
        <f>SUM(K29:K35)</f>
        <v>65845.429999999993</v>
      </c>
    </row>
    <row r="37" spans="1:17" ht="15" customHeight="1" x14ac:dyDescent="0.2">
      <c r="B37" s="158" t="s">
        <v>363</v>
      </c>
      <c r="C37" s="150">
        <v>-2177</v>
      </c>
      <c r="D37" s="150">
        <v>-60.5</v>
      </c>
      <c r="E37" s="150"/>
      <c r="F37" s="150"/>
      <c r="G37" s="183"/>
      <c r="H37" s="189"/>
      <c r="I37" s="187"/>
      <c r="K37" s="196"/>
    </row>
    <row r="38" spans="1:17" ht="5" customHeight="1" x14ac:dyDescent="0.2">
      <c r="C38" s="150"/>
      <c r="D38" s="150"/>
      <c r="E38" s="150"/>
      <c r="F38" s="150"/>
      <c r="G38" s="183"/>
      <c r="H38" s="189"/>
      <c r="I38" s="187"/>
      <c r="K38" s="196"/>
    </row>
    <row r="39" spans="1:17" ht="15" customHeight="1" thickBot="1" x14ac:dyDescent="0.25">
      <c r="A39" s="156"/>
      <c r="B39" s="156" t="s">
        <v>364</v>
      </c>
      <c r="C39" s="157">
        <f>SUM(C22,C27,C36,C37)</f>
        <v>81062</v>
      </c>
      <c r="D39" s="157" t="e">
        <f>SUM(D22,D27,D36,D37)</f>
        <v>#REF!</v>
      </c>
      <c r="E39" s="157">
        <f>SUM(E22,E27,E36,E37)</f>
        <v>87984.93</v>
      </c>
      <c r="F39" s="157">
        <f>SUM(F22,F27,F36,F37)</f>
        <v>0</v>
      </c>
      <c r="G39" s="157">
        <f>SUM(G22,G27,G36,G37)</f>
        <v>87984.93</v>
      </c>
      <c r="H39" s="189"/>
      <c r="I39" s="157">
        <f>I22+I27+I36</f>
        <v>86748.329999999987</v>
      </c>
      <c r="J39" s="222"/>
      <c r="K39" s="157">
        <f>K22+K27+K36</f>
        <v>86748.329999999987</v>
      </c>
    </row>
    <row r="40" spans="1:17" ht="5" customHeight="1" thickTop="1" x14ac:dyDescent="0.2">
      <c r="C40" s="147"/>
      <c r="D40" s="147"/>
      <c r="E40" s="147"/>
      <c r="F40" s="147"/>
      <c r="G40" s="181"/>
      <c r="H40" s="189"/>
      <c r="I40" s="188"/>
      <c r="K40" s="218"/>
    </row>
    <row r="41" spans="1:17" ht="15" customHeight="1" thickBot="1" x14ac:dyDescent="0.25">
      <c r="A41" s="164"/>
      <c r="B41" s="164" t="s">
        <v>365</v>
      </c>
      <c r="C41" s="165">
        <f>C8-C39</f>
        <v>-210</v>
      </c>
      <c r="D41" s="165" t="e">
        <f>D8-D39</f>
        <v>#REF!</v>
      </c>
      <c r="E41" s="165">
        <f>E8-E39</f>
        <v>-3987.2599999999948</v>
      </c>
      <c r="F41" s="165">
        <f>F8-F39</f>
        <v>0</v>
      </c>
      <c r="G41" s="165">
        <f>G8-G39</f>
        <v>-3987.2599999999948</v>
      </c>
      <c r="H41" s="189"/>
      <c r="I41" s="165">
        <f>I8-I39</f>
        <v>-2771.8299999999872</v>
      </c>
      <c r="K41" s="165">
        <f>K8-K39</f>
        <v>-2771.8299999999872</v>
      </c>
    </row>
    <row r="42" spans="1:17" ht="5" customHeight="1" thickTop="1" x14ac:dyDescent="0.2">
      <c r="C42" s="147"/>
      <c r="D42" s="147"/>
      <c r="E42" s="147"/>
      <c r="F42" s="147"/>
      <c r="G42" s="147"/>
    </row>
    <row r="43" spans="1:17" ht="15" customHeight="1" x14ac:dyDescent="0.2">
      <c r="C43" s="147"/>
      <c r="D43" s="147"/>
      <c r="E43" s="147"/>
      <c r="F43" s="147"/>
      <c r="G43" s="147"/>
    </row>
    <row r="44" spans="1:17" ht="15" customHeight="1" x14ac:dyDescent="0.2">
      <c r="C44" s="147"/>
      <c r="D44" s="147"/>
      <c r="E44" s="147"/>
      <c r="F44" s="147"/>
      <c r="G44" s="147"/>
    </row>
    <row r="45" spans="1:17" ht="15" customHeight="1" x14ac:dyDescent="0.2">
      <c r="C45" s="147"/>
      <c r="D45" s="147"/>
      <c r="E45" s="147"/>
      <c r="F45" s="147"/>
      <c r="G45" s="147"/>
    </row>
    <row r="46" spans="1:17" ht="15" customHeight="1" x14ac:dyDescent="0.2">
      <c r="C46" s="147"/>
      <c r="D46" s="147"/>
      <c r="E46" s="147"/>
      <c r="F46" s="147"/>
      <c r="G46" s="147"/>
    </row>
    <row r="47" spans="1:17" ht="15" customHeight="1" x14ac:dyDescent="0.2">
      <c r="C47" s="147"/>
      <c r="D47" s="147"/>
      <c r="E47" s="147"/>
      <c r="F47" s="147"/>
      <c r="G47" s="147"/>
    </row>
    <row r="48" spans="1:17" ht="15" customHeight="1" x14ac:dyDescent="0.2">
      <c r="C48" s="147"/>
      <c r="D48" s="147"/>
      <c r="E48" s="147"/>
      <c r="F48" s="147"/>
      <c r="G48" s="147"/>
    </row>
    <row r="49" spans="3:7" ht="15" customHeight="1" x14ac:dyDescent="0.2">
      <c r="C49" s="147"/>
      <c r="D49" s="147"/>
      <c r="E49" s="147"/>
      <c r="F49" s="147"/>
      <c r="G49" s="147"/>
    </row>
    <row r="50" spans="3:7" ht="15" customHeight="1" x14ac:dyDescent="0.2">
      <c r="C50" s="147"/>
      <c r="D50" s="147"/>
      <c r="E50" s="147"/>
      <c r="F50" s="147"/>
      <c r="G50" s="147"/>
    </row>
    <row r="51" spans="3:7" ht="15" customHeight="1" x14ac:dyDescent="0.2">
      <c r="C51" s="171"/>
      <c r="D51" s="172"/>
      <c r="E51" s="172"/>
      <c r="F51" s="172"/>
      <c r="G51" s="172"/>
    </row>
    <row r="52" spans="3:7" ht="14" x14ac:dyDescent="0.2">
      <c r="C52" s="147"/>
      <c r="D52" s="172"/>
      <c r="E52" s="172"/>
      <c r="F52" s="172"/>
      <c r="G52" s="172"/>
    </row>
    <row r="53" spans="3:7" ht="14" x14ac:dyDescent="0.2">
      <c r="C53" s="147"/>
      <c r="D53" s="147"/>
      <c r="E53" s="147"/>
      <c r="F53" s="147"/>
      <c r="G53" s="147"/>
    </row>
    <row r="54" spans="3:7" ht="14" x14ac:dyDescent="0.2">
      <c r="C54" s="147"/>
      <c r="D54" s="147"/>
      <c r="E54" s="147"/>
      <c r="F54" s="147"/>
      <c r="G54" s="147"/>
    </row>
    <row r="55" spans="3:7" ht="14" x14ac:dyDescent="0.2">
      <c r="C55" s="147"/>
      <c r="D55" s="147"/>
      <c r="E55" s="147"/>
      <c r="F55" s="147"/>
      <c r="G55" s="147"/>
    </row>
    <row r="56" spans="3:7" ht="14" x14ac:dyDescent="0.2">
      <c r="C56" s="171"/>
      <c r="D56" s="172"/>
      <c r="E56" s="172"/>
      <c r="F56" s="172"/>
      <c r="G56" s="172"/>
    </row>
    <row r="57" spans="3:7" ht="14" x14ac:dyDescent="0.2">
      <c r="C57" s="147"/>
      <c r="D57" s="172"/>
      <c r="E57" s="172"/>
      <c r="F57" s="172"/>
      <c r="G57" s="172"/>
    </row>
    <row r="58" spans="3:7" ht="14" x14ac:dyDescent="0.2">
      <c r="C58" s="147"/>
      <c r="D58" s="147"/>
      <c r="E58" s="147"/>
      <c r="F58" s="147"/>
      <c r="G58" s="147"/>
    </row>
    <row r="59" spans="3:7" ht="14" x14ac:dyDescent="0.2">
      <c r="C59" s="147"/>
      <c r="D59" s="147"/>
      <c r="E59" s="147"/>
      <c r="F59" s="147"/>
      <c r="G59" s="147"/>
    </row>
    <row r="60" spans="3:7" ht="14" x14ac:dyDescent="0.2">
      <c r="C60" s="147"/>
      <c r="D60" s="147"/>
      <c r="E60" s="147"/>
      <c r="F60" s="147"/>
      <c r="G60" s="147"/>
    </row>
    <row r="61" spans="3:7" ht="14" x14ac:dyDescent="0.2">
      <c r="C61" s="147"/>
      <c r="D61" s="147"/>
      <c r="E61" s="147"/>
      <c r="F61" s="147"/>
      <c r="G61" s="147"/>
    </row>
    <row r="62" spans="3:7" ht="14" x14ac:dyDescent="0.2">
      <c r="C62" s="147"/>
      <c r="D62" s="147"/>
      <c r="E62" s="147"/>
      <c r="F62" s="147"/>
      <c r="G62" s="147"/>
    </row>
    <row r="63" spans="3:7" ht="14" x14ac:dyDescent="0.2">
      <c r="C63" s="147"/>
      <c r="D63" s="147"/>
      <c r="E63" s="147"/>
      <c r="F63" s="147"/>
      <c r="G63" s="147"/>
    </row>
    <row r="64" spans="3:7" ht="14" x14ac:dyDescent="0.2">
      <c r="C64" s="147"/>
      <c r="D64" s="147"/>
      <c r="E64" s="147"/>
      <c r="F64" s="147"/>
      <c r="G64" s="147"/>
    </row>
    <row r="65" spans="3:7" ht="14" x14ac:dyDescent="0.2">
      <c r="C65" s="147"/>
      <c r="D65" s="147"/>
      <c r="E65" s="147"/>
      <c r="F65" s="147"/>
      <c r="G65" s="147"/>
    </row>
    <row r="66" spans="3:7" ht="14" x14ac:dyDescent="0.2">
      <c r="C66" s="147"/>
      <c r="D66" s="147"/>
      <c r="E66" s="147"/>
      <c r="F66" s="147"/>
      <c r="G66" s="147"/>
    </row>
    <row r="67" spans="3:7" ht="14" x14ac:dyDescent="0.2">
      <c r="C67" s="147"/>
      <c r="D67" s="147"/>
      <c r="E67" s="147"/>
      <c r="F67" s="147"/>
      <c r="G67" s="147"/>
    </row>
    <row r="68" spans="3:7" ht="14" x14ac:dyDescent="0.2">
      <c r="C68" s="147"/>
      <c r="D68" s="147"/>
      <c r="E68" s="147"/>
      <c r="F68" s="147"/>
      <c r="G68" s="147"/>
    </row>
    <row r="69" spans="3:7" ht="14" x14ac:dyDescent="0.2">
      <c r="C69" s="147"/>
      <c r="D69" s="147"/>
      <c r="E69" s="147"/>
      <c r="F69" s="147"/>
      <c r="G69" s="147"/>
    </row>
    <row r="70" spans="3:7" ht="14" x14ac:dyDescent="0.2">
      <c r="C70" s="147"/>
      <c r="D70" s="147"/>
      <c r="E70" s="147"/>
      <c r="F70" s="147"/>
      <c r="G70" s="147"/>
    </row>
    <row r="71" spans="3:7" ht="14" x14ac:dyDescent="0.2">
      <c r="C71" s="147"/>
      <c r="D71" s="147"/>
      <c r="E71" s="147"/>
      <c r="F71" s="147"/>
      <c r="G71" s="147"/>
    </row>
    <row r="72" spans="3:7" ht="14" x14ac:dyDescent="0.2">
      <c r="C72" s="147"/>
      <c r="D72" s="147"/>
      <c r="E72" s="147"/>
      <c r="F72" s="147"/>
      <c r="G72" s="147"/>
    </row>
    <row r="73" spans="3:7" ht="14" x14ac:dyDescent="0.2">
      <c r="C73" s="147"/>
      <c r="D73" s="147"/>
      <c r="E73" s="147"/>
      <c r="F73" s="147"/>
      <c r="G73" s="147"/>
    </row>
    <row r="74" spans="3:7" ht="14" x14ac:dyDescent="0.2">
      <c r="C74" s="147"/>
      <c r="D74" s="147"/>
      <c r="E74" s="147"/>
      <c r="F74" s="147"/>
      <c r="G74" s="147"/>
    </row>
    <row r="75" spans="3:7" ht="14" x14ac:dyDescent="0.2">
      <c r="C75" s="147"/>
      <c r="D75" s="147"/>
      <c r="E75" s="147"/>
      <c r="F75" s="147"/>
      <c r="G75" s="147"/>
    </row>
    <row r="76" spans="3:7" ht="14" x14ac:dyDescent="0.2">
      <c r="C76" s="147"/>
      <c r="D76" s="147"/>
      <c r="E76" s="147"/>
      <c r="F76" s="147"/>
      <c r="G76" s="147"/>
    </row>
    <row r="77" spans="3:7" ht="14" x14ac:dyDescent="0.2">
      <c r="C77" s="147"/>
      <c r="D77" s="147"/>
      <c r="E77" s="147"/>
      <c r="F77" s="147"/>
      <c r="G77" s="147"/>
    </row>
    <row r="78" spans="3:7" ht="14" x14ac:dyDescent="0.2">
      <c r="C78" s="147"/>
      <c r="D78" s="147"/>
      <c r="E78" s="147"/>
      <c r="F78" s="147"/>
      <c r="G78" s="147"/>
    </row>
    <row r="79" spans="3:7" ht="14" x14ac:dyDescent="0.2">
      <c r="C79" s="147"/>
      <c r="D79" s="147"/>
      <c r="E79" s="147"/>
      <c r="F79" s="147"/>
      <c r="G79" s="147"/>
    </row>
    <row r="80" spans="3:7" ht="14" x14ac:dyDescent="0.2">
      <c r="C80" s="147"/>
      <c r="D80" s="147"/>
      <c r="E80" s="147"/>
      <c r="F80" s="147"/>
      <c r="G80" s="147"/>
    </row>
    <row r="81" spans="3:7" ht="14" x14ac:dyDescent="0.2">
      <c r="C81" s="147"/>
      <c r="D81" s="147"/>
      <c r="E81" s="147"/>
      <c r="F81" s="147"/>
      <c r="G81" s="147"/>
    </row>
    <row r="82" spans="3:7" ht="14" x14ac:dyDescent="0.2">
      <c r="C82" s="147"/>
      <c r="D82" s="147"/>
      <c r="E82" s="147"/>
      <c r="F82" s="147"/>
      <c r="G82" s="147"/>
    </row>
    <row r="83" spans="3:7" ht="14" x14ac:dyDescent="0.2">
      <c r="C83" s="147"/>
      <c r="D83" s="147"/>
      <c r="E83" s="147"/>
      <c r="F83" s="147"/>
      <c r="G83" s="147"/>
    </row>
    <row r="84" spans="3:7" ht="14" x14ac:dyDescent="0.2">
      <c r="C84" s="147"/>
      <c r="D84" s="147"/>
      <c r="E84" s="147"/>
      <c r="F84" s="147"/>
      <c r="G84" s="147"/>
    </row>
    <row r="85" spans="3:7" ht="14" x14ac:dyDescent="0.2">
      <c r="C85" s="147"/>
      <c r="D85" s="147"/>
      <c r="E85" s="147"/>
      <c r="F85" s="147"/>
      <c r="G85" s="147"/>
    </row>
    <row r="86" spans="3:7" ht="14" x14ac:dyDescent="0.2">
      <c r="C86" s="147"/>
      <c r="D86" s="147"/>
      <c r="E86" s="147"/>
      <c r="F86" s="147"/>
      <c r="G86" s="147"/>
    </row>
    <row r="87" spans="3:7" ht="14" x14ac:dyDescent="0.2">
      <c r="C87" s="147"/>
      <c r="D87" s="147"/>
      <c r="E87" s="147"/>
      <c r="F87" s="147"/>
      <c r="G87" s="147"/>
    </row>
    <row r="88" spans="3:7" ht="14" x14ac:dyDescent="0.2">
      <c r="C88" s="147"/>
      <c r="D88" s="147"/>
      <c r="E88" s="147"/>
      <c r="F88" s="147"/>
      <c r="G88" s="147"/>
    </row>
    <row r="89" spans="3:7" ht="14" x14ac:dyDescent="0.2">
      <c r="C89" s="147"/>
      <c r="D89" s="147"/>
      <c r="E89" s="147"/>
      <c r="F89" s="147"/>
      <c r="G89" s="147"/>
    </row>
    <row r="90" spans="3:7" ht="14" x14ac:dyDescent="0.2">
      <c r="C90" s="147"/>
      <c r="D90" s="147"/>
      <c r="E90" s="147"/>
      <c r="F90" s="147"/>
      <c r="G90" s="147"/>
    </row>
    <row r="91" spans="3:7" ht="14" x14ac:dyDescent="0.2">
      <c r="C91" s="147"/>
      <c r="D91" s="147"/>
      <c r="E91" s="147"/>
      <c r="F91" s="147"/>
      <c r="G91" s="147"/>
    </row>
    <row r="92" spans="3:7" ht="14" x14ac:dyDescent="0.2">
      <c r="C92" s="147"/>
      <c r="D92" s="147"/>
      <c r="E92" s="147"/>
      <c r="F92" s="147"/>
      <c r="G92" s="147"/>
    </row>
    <row r="93" spans="3:7" ht="14" x14ac:dyDescent="0.2">
      <c r="C93" s="147"/>
      <c r="D93" s="147"/>
      <c r="E93" s="147"/>
      <c r="F93" s="147"/>
      <c r="G93" s="147"/>
    </row>
    <row r="94" spans="3:7" ht="14" x14ac:dyDescent="0.2">
      <c r="C94" s="147"/>
      <c r="D94" s="147"/>
      <c r="E94" s="147"/>
      <c r="F94" s="147"/>
      <c r="G94" s="147"/>
    </row>
    <row r="95" spans="3:7" ht="14" x14ac:dyDescent="0.2">
      <c r="C95" s="147"/>
      <c r="D95" s="147"/>
      <c r="E95" s="147"/>
      <c r="F95" s="147"/>
      <c r="G95" s="147"/>
    </row>
    <row r="96" spans="3:7" ht="14" x14ac:dyDescent="0.2">
      <c r="C96" s="147"/>
      <c r="D96" s="147"/>
      <c r="E96" s="147"/>
      <c r="F96" s="147"/>
      <c r="G96" s="147"/>
    </row>
    <row r="97" spans="3:7" ht="14" x14ac:dyDescent="0.2">
      <c r="C97" s="147"/>
      <c r="D97" s="147"/>
      <c r="E97" s="147"/>
      <c r="F97" s="147"/>
      <c r="G97" s="147"/>
    </row>
    <row r="98" spans="3:7" ht="14" x14ac:dyDescent="0.2">
      <c r="C98" s="147"/>
      <c r="D98" s="147"/>
      <c r="E98" s="147"/>
      <c r="F98" s="147"/>
      <c r="G98" s="147"/>
    </row>
    <row r="99" spans="3:7" ht="14" x14ac:dyDescent="0.2">
      <c r="C99" s="147"/>
      <c r="D99" s="147"/>
      <c r="E99" s="147"/>
      <c r="F99" s="147"/>
      <c r="G99" s="147"/>
    </row>
    <row r="100" spans="3:7" ht="14" x14ac:dyDescent="0.2">
      <c r="C100" s="147"/>
      <c r="D100" s="147"/>
      <c r="E100" s="147"/>
      <c r="F100" s="147"/>
      <c r="G100" s="147"/>
    </row>
    <row r="101" spans="3:7" ht="14" x14ac:dyDescent="0.2">
      <c r="C101" s="147"/>
      <c r="D101" s="147"/>
      <c r="E101" s="147"/>
      <c r="F101" s="147"/>
      <c r="G101" s="147"/>
    </row>
    <row r="102" spans="3:7" ht="14" x14ac:dyDescent="0.2">
      <c r="C102" s="147"/>
      <c r="D102" s="147"/>
      <c r="E102" s="147"/>
      <c r="F102" s="147"/>
      <c r="G102" s="147"/>
    </row>
    <row r="103" spans="3:7" ht="14" x14ac:dyDescent="0.2">
      <c r="C103" s="147"/>
      <c r="D103" s="147"/>
      <c r="E103" s="147"/>
      <c r="F103" s="147"/>
      <c r="G103" s="147"/>
    </row>
    <row r="104" spans="3:7" ht="14" x14ac:dyDescent="0.2">
      <c r="C104" s="147"/>
      <c r="D104" s="147"/>
      <c r="E104" s="147"/>
      <c r="F104" s="147"/>
      <c r="G104" s="147"/>
    </row>
    <row r="105" spans="3:7" ht="14" x14ac:dyDescent="0.2">
      <c r="C105" s="147"/>
      <c r="D105" s="147"/>
      <c r="E105" s="147"/>
      <c r="F105" s="147"/>
      <c r="G105" s="147"/>
    </row>
    <row r="106" spans="3:7" ht="14" x14ac:dyDescent="0.2">
      <c r="C106" s="147"/>
      <c r="D106" s="147"/>
      <c r="E106" s="147"/>
      <c r="F106" s="147"/>
      <c r="G106" s="147"/>
    </row>
    <row r="107" spans="3:7" ht="14" x14ac:dyDescent="0.2">
      <c r="C107" s="147"/>
      <c r="D107" s="147"/>
      <c r="E107" s="147"/>
      <c r="F107" s="147"/>
      <c r="G107" s="147"/>
    </row>
    <row r="108" spans="3:7" ht="14" x14ac:dyDescent="0.2">
      <c r="C108" s="147"/>
      <c r="D108" s="147"/>
      <c r="E108" s="147"/>
      <c r="F108" s="147"/>
      <c r="G108" s="147"/>
    </row>
    <row r="109" spans="3:7" ht="14" x14ac:dyDescent="0.2">
      <c r="C109" s="147"/>
      <c r="D109" s="147"/>
      <c r="E109" s="147"/>
      <c r="F109" s="147"/>
      <c r="G109" s="147"/>
    </row>
    <row r="110" spans="3:7" ht="14" x14ac:dyDescent="0.2">
      <c r="C110" s="147"/>
      <c r="D110" s="147"/>
      <c r="E110" s="147"/>
      <c r="F110" s="147"/>
      <c r="G110" s="147"/>
    </row>
    <row r="111" spans="3:7" ht="14" x14ac:dyDescent="0.2">
      <c r="C111" s="147"/>
      <c r="D111" s="147"/>
      <c r="E111" s="147"/>
      <c r="F111" s="147"/>
      <c r="G111" s="147"/>
    </row>
    <row r="112" spans="3:7" ht="14" x14ac:dyDescent="0.2">
      <c r="C112" s="147"/>
      <c r="D112" s="147"/>
      <c r="E112" s="147"/>
      <c r="F112" s="147"/>
      <c r="G112" s="147"/>
    </row>
    <row r="113" spans="3:7" ht="14" x14ac:dyDescent="0.2">
      <c r="C113" s="147"/>
      <c r="D113" s="147"/>
      <c r="E113" s="147"/>
      <c r="F113" s="147"/>
      <c r="G113" s="147"/>
    </row>
    <row r="114" spans="3:7" ht="14" x14ac:dyDescent="0.2">
      <c r="C114" s="147"/>
      <c r="D114" s="147"/>
      <c r="E114" s="147"/>
      <c r="F114" s="147"/>
      <c r="G114" s="147"/>
    </row>
    <row r="115" spans="3:7" ht="14" x14ac:dyDescent="0.2">
      <c r="C115" s="147"/>
      <c r="D115" s="147"/>
      <c r="E115" s="147"/>
      <c r="F115" s="147"/>
      <c r="G115" s="147"/>
    </row>
    <row r="116" spans="3:7" ht="14" x14ac:dyDescent="0.2">
      <c r="C116" s="147"/>
      <c r="D116" s="147"/>
      <c r="E116" s="147"/>
      <c r="F116" s="147"/>
      <c r="G116" s="147"/>
    </row>
    <row r="117" spans="3:7" ht="14" x14ac:dyDescent="0.2">
      <c r="C117" s="147"/>
      <c r="D117" s="147"/>
      <c r="E117" s="147"/>
      <c r="F117" s="147"/>
      <c r="G117" s="147"/>
    </row>
    <row r="118" spans="3:7" ht="14" x14ac:dyDescent="0.2">
      <c r="C118" s="147"/>
      <c r="D118" s="147"/>
      <c r="E118" s="147"/>
      <c r="F118" s="147"/>
      <c r="G118" s="147"/>
    </row>
    <row r="119" spans="3:7" ht="14" x14ac:dyDescent="0.2">
      <c r="C119" s="147"/>
      <c r="D119" s="147"/>
      <c r="E119" s="147"/>
      <c r="F119" s="147"/>
      <c r="G119" s="147"/>
    </row>
    <row r="120" spans="3:7" ht="14" x14ac:dyDescent="0.2">
      <c r="C120" s="147"/>
      <c r="D120" s="147"/>
      <c r="E120" s="147"/>
      <c r="F120" s="147"/>
      <c r="G120" s="147"/>
    </row>
    <row r="121" spans="3:7" ht="14" x14ac:dyDescent="0.2">
      <c r="C121" s="147"/>
      <c r="D121" s="147"/>
      <c r="E121" s="147"/>
      <c r="F121" s="147"/>
      <c r="G121" s="147"/>
    </row>
    <row r="122" spans="3:7" ht="14" x14ac:dyDescent="0.2">
      <c r="C122" s="147"/>
      <c r="D122" s="147"/>
      <c r="E122" s="147"/>
      <c r="F122" s="147"/>
      <c r="G122" s="147"/>
    </row>
    <row r="123" spans="3:7" ht="14" x14ac:dyDescent="0.2">
      <c r="C123" s="147"/>
      <c r="D123" s="147"/>
      <c r="E123" s="147"/>
      <c r="F123" s="147"/>
      <c r="G123" s="147"/>
    </row>
    <row r="124" spans="3:7" ht="14" x14ac:dyDescent="0.2">
      <c r="C124" s="147"/>
      <c r="D124" s="147"/>
      <c r="E124" s="147"/>
      <c r="F124" s="147"/>
      <c r="G124" s="147"/>
    </row>
    <row r="125" spans="3:7" ht="14" x14ac:dyDescent="0.2">
      <c r="C125" s="147"/>
      <c r="D125" s="147"/>
      <c r="E125" s="147"/>
      <c r="F125" s="147"/>
      <c r="G125" s="147"/>
    </row>
    <row r="126" spans="3:7" ht="14" x14ac:dyDescent="0.2">
      <c r="C126" s="147"/>
      <c r="D126" s="147"/>
      <c r="E126" s="147"/>
      <c r="F126" s="147"/>
      <c r="G126" s="147"/>
    </row>
    <row r="127" spans="3:7" ht="14" x14ac:dyDescent="0.2">
      <c r="C127" s="147"/>
      <c r="D127" s="147"/>
      <c r="E127" s="147"/>
      <c r="F127" s="147"/>
      <c r="G127" s="147"/>
    </row>
    <row r="128" spans="3:7" ht="14" x14ac:dyDescent="0.2">
      <c r="C128" s="147"/>
      <c r="D128" s="147"/>
      <c r="E128" s="147"/>
      <c r="F128" s="147"/>
      <c r="G128" s="147"/>
    </row>
    <row r="129" spans="3:7" ht="14" x14ac:dyDescent="0.2">
      <c r="C129" s="147"/>
      <c r="D129" s="147"/>
      <c r="E129" s="147"/>
      <c r="F129" s="147"/>
      <c r="G129" s="147"/>
    </row>
    <row r="130" spans="3:7" ht="14" x14ac:dyDescent="0.2">
      <c r="C130" s="147"/>
      <c r="D130" s="147"/>
      <c r="E130" s="147"/>
      <c r="F130" s="147"/>
      <c r="G130" s="147"/>
    </row>
    <row r="131" spans="3:7" ht="14" x14ac:dyDescent="0.2">
      <c r="C131" s="147"/>
      <c r="D131" s="147"/>
      <c r="E131" s="147"/>
      <c r="F131" s="147"/>
      <c r="G131" s="147"/>
    </row>
    <row r="132" spans="3:7" ht="14" x14ac:dyDescent="0.2">
      <c r="C132" s="147"/>
      <c r="D132" s="147"/>
      <c r="E132" s="147"/>
      <c r="F132" s="147"/>
      <c r="G132" s="147"/>
    </row>
    <row r="133" spans="3:7" ht="14" x14ac:dyDescent="0.2">
      <c r="C133" s="147"/>
      <c r="D133" s="147"/>
      <c r="E133" s="147"/>
      <c r="F133" s="147"/>
      <c r="G133" s="147"/>
    </row>
    <row r="134" spans="3:7" ht="14" x14ac:dyDescent="0.2">
      <c r="C134" s="147"/>
      <c r="D134" s="147"/>
      <c r="E134" s="147"/>
      <c r="F134" s="147"/>
      <c r="G134" s="147"/>
    </row>
    <row r="135" spans="3:7" ht="14" x14ac:dyDescent="0.2">
      <c r="C135" s="147"/>
      <c r="D135" s="147"/>
      <c r="E135" s="147"/>
      <c r="F135" s="147"/>
      <c r="G135" s="147"/>
    </row>
    <row r="136" spans="3:7" ht="14" x14ac:dyDescent="0.2">
      <c r="C136" s="147"/>
      <c r="D136" s="147"/>
      <c r="E136" s="147"/>
      <c r="F136" s="147"/>
      <c r="G136" s="147"/>
    </row>
    <row r="137" spans="3:7" ht="14" x14ac:dyDescent="0.2">
      <c r="C137" s="147"/>
      <c r="D137" s="147"/>
      <c r="E137" s="147"/>
      <c r="F137" s="147"/>
      <c r="G137" s="147"/>
    </row>
    <row r="138" spans="3:7" ht="14" x14ac:dyDescent="0.2">
      <c r="C138" s="147"/>
      <c r="D138" s="147"/>
      <c r="E138" s="147"/>
      <c r="F138" s="147"/>
      <c r="G138" s="147"/>
    </row>
    <row r="139" spans="3:7" ht="14" x14ac:dyDescent="0.2">
      <c r="C139" s="147"/>
      <c r="D139" s="147"/>
      <c r="E139" s="147"/>
      <c r="F139" s="147"/>
      <c r="G139" s="147"/>
    </row>
    <row r="140" spans="3:7" ht="14" x14ac:dyDescent="0.2">
      <c r="C140" s="147"/>
      <c r="D140" s="147"/>
      <c r="E140" s="147"/>
      <c r="F140" s="147"/>
      <c r="G140" s="147"/>
    </row>
    <row r="141" spans="3:7" ht="14" x14ac:dyDescent="0.2">
      <c r="C141" s="147"/>
      <c r="D141" s="147"/>
      <c r="E141" s="147"/>
      <c r="F141" s="147"/>
      <c r="G141" s="147"/>
    </row>
    <row r="142" spans="3:7" ht="14" x14ac:dyDescent="0.2">
      <c r="C142" s="147"/>
      <c r="D142" s="147"/>
      <c r="E142" s="147"/>
      <c r="F142" s="147"/>
      <c r="G142" s="147"/>
    </row>
    <row r="143" spans="3:7" ht="14" x14ac:dyDescent="0.2">
      <c r="C143" s="147"/>
      <c r="D143" s="147"/>
      <c r="E143" s="147"/>
      <c r="F143" s="147"/>
      <c r="G143" s="147"/>
    </row>
    <row r="144" spans="3:7" ht="14" x14ac:dyDescent="0.2">
      <c r="C144" s="147"/>
      <c r="D144" s="147"/>
      <c r="E144" s="147"/>
      <c r="F144" s="147"/>
      <c r="G144" s="147"/>
    </row>
    <row r="145" spans="3:7" ht="14" x14ac:dyDescent="0.2">
      <c r="C145" s="147"/>
      <c r="D145" s="147"/>
      <c r="E145" s="147"/>
      <c r="F145" s="147"/>
      <c r="G145" s="147"/>
    </row>
    <row r="146" spans="3:7" ht="14" x14ac:dyDescent="0.2">
      <c r="C146" s="147"/>
      <c r="D146" s="147"/>
      <c r="E146" s="147"/>
      <c r="F146" s="147"/>
      <c r="G146" s="147"/>
    </row>
    <row r="147" spans="3:7" ht="14" x14ac:dyDescent="0.2">
      <c r="C147" s="147"/>
      <c r="D147" s="147"/>
      <c r="E147" s="147"/>
      <c r="F147" s="147"/>
      <c r="G147" s="147"/>
    </row>
    <row r="148" spans="3:7" ht="14" x14ac:dyDescent="0.2">
      <c r="C148" s="147"/>
      <c r="D148" s="147"/>
      <c r="E148" s="147"/>
      <c r="F148" s="147"/>
      <c r="G148" s="147"/>
    </row>
    <row r="149" spans="3:7" ht="14" x14ac:dyDescent="0.2">
      <c r="C149" s="147"/>
      <c r="D149" s="147"/>
      <c r="E149" s="147"/>
      <c r="F149" s="147"/>
      <c r="G149" s="147"/>
    </row>
    <row r="150" spans="3:7" ht="14" x14ac:dyDescent="0.2">
      <c r="C150" s="147"/>
      <c r="D150" s="147"/>
      <c r="E150" s="147"/>
      <c r="F150" s="147"/>
      <c r="G150" s="147"/>
    </row>
    <row r="151" spans="3:7" ht="14" x14ac:dyDescent="0.2">
      <c r="C151" s="147"/>
      <c r="D151" s="147"/>
      <c r="E151" s="147"/>
      <c r="F151" s="147"/>
      <c r="G151" s="147"/>
    </row>
    <row r="152" spans="3:7" ht="14" x14ac:dyDescent="0.2">
      <c r="C152" s="147"/>
      <c r="D152" s="147"/>
      <c r="E152" s="147"/>
      <c r="F152" s="147"/>
      <c r="G152" s="147"/>
    </row>
    <row r="153" spans="3:7" ht="14" x14ac:dyDescent="0.2">
      <c r="C153" s="147"/>
      <c r="D153" s="147"/>
      <c r="E153" s="147"/>
      <c r="F153" s="147"/>
      <c r="G153" s="147"/>
    </row>
    <row r="154" spans="3:7" ht="14" x14ac:dyDescent="0.2">
      <c r="C154" s="147"/>
      <c r="D154" s="147"/>
      <c r="E154" s="147"/>
      <c r="F154" s="147"/>
      <c r="G154" s="147"/>
    </row>
    <row r="155" spans="3:7" ht="14" x14ac:dyDescent="0.2">
      <c r="C155" s="147"/>
      <c r="D155" s="147"/>
      <c r="E155" s="147"/>
      <c r="F155" s="147"/>
      <c r="G155" s="147"/>
    </row>
    <row r="156" spans="3:7" ht="14" x14ac:dyDescent="0.2">
      <c r="C156" s="147"/>
      <c r="D156" s="147"/>
      <c r="E156" s="147"/>
      <c r="F156" s="147"/>
      <c r="G156" s="147"/>
    </row>
    <row r="157" spans="3:7" ht="14" x14ac:dyDescent="0.2">
      <c r="C157" s="147"/>
      <c r="D157" s="147"/>
      <c r="E157" s="147"/>
      <c r="F157" s="147"/>
      <c r="G157" s="147"/>
    </row>
    <row r="158" spans="3:7" ht="14" x14ac:dyDescent="0.2">
      <c r="C158" s="147"/>
      <c r="D158" s="147"/>
      <c r="E158" s="147"/>
      <c r="F158" s="147"/>
      <c r="G158" s="147"/>
    </row>
    <row r="159" spans="3:7" ht="14" x14ac:dyDescent="0.2">
      <c r="C159" s="147"/>
      <c r="D159" s="147"/>
      <c r="E159" s="147"/>
      <c r="F159" s="147"/>
      <c r="G159" s="147"/>
    </row>
    <row r="160" spans="3:7" ht="14" x14ac:dyDescent="0.2">
      <c r="C160" s="147"/>
      <c r="D160" s="147"/>
      <c r="E160" s="147"/>
      <c r="F160" s="147"/>
      <c r="G160" s="147"/>
    </row>
    <row r="161" spans="3:7" ht="14" x14ac:dyDescent="0.2">
      <c r="C161" s="147"/>
      <c r="D161" s="147"/>
      <c r="E161" s="147"/>
      <c r="F161" s="147"/>
      <c r="G161" s="147"/>
    </row>
    <row r="162" spans="3:7" ht="14" x14ac:dyDescent="0.2">
      <c r="C162" s="147"/>
      <c r="D162" s="147"/>
      <c r="E162" s="147"/>
      <c r="F162" s="147"/>
      <c r="G162" s="147"/>
    </row>
    <row r="163" spans="3:7" ht="14" x14ac:dyDescent="0.2">
      <c r="C163" s="147"/>
      <c r="D163" s="147"/>
      <c r="E163" s="147"/>
      <c r="F163" s="147"/>
      <c r="G163" s="147"/>
    </row>
    <row r="164" spans="3:7" ht="14" x14ac:dyDescent="0.2">
      <c r="C164" s="147"/>
      <c r="D164" s="147"/>
      <c r="E164" s="147"/>
      <c r="F164" s="147"/>
      <c r="G164" s="147"/>
    </row>
    <row r="165" spans="3:7" ht="14" x14ac:dyDescent="0.2">
      <c r="C165" s="147"/>
      <c r="D165" s="147"/>
      <c r="E165" s="147"/>
      <c r="F165" s="147"/>
      <c r="G165" s="147"/>
    </row>
    <row r="166" spans="3:7" ht="14" x14ac:dyDescent="0.2">
      <c r="C166" s="147"/>
      <c r="D166" s="147"/>
      <c r="E166" s="147"/>
      <c r="F166" s="147"/>
      <c r="G166" s="147"/>
    </row>
    <row r="167" spans="3:7" ht="14" x14ac:dyDescent="0.2">
      <c r="C167" s="147"/>
      <c r="D167" s="147"/>
      <c r="E167" s="147"/>
      <c r="F167" s="147"/>
      <c r="G167" s="147"/>
    </row>
    <row r="168" spans="3:7" ht="14" x14ac:dyDescent="0.2">
      <c r="C168" s="147"/>
      <c r="D168" s="147"/>
      <c r="E168" s="147"/>
      <c r="F168" s="147"/>
      <c r="G168" s="147"/>
    </row>
    <row r="169" spans="3:7" ht="14" x14ac:dyDescent="0.2">
      <c r="C169" s="147"/>
      <c r="D169" s="147"/>
      <c r="E169" s="147"/>
      <c r="F169" s="147"/>
      <c r="G169" s="147"/>
    </row>
    <row r="170" spans="3:7" ht="14" x14ac:dyDescent="0.2">
      <c r="C170" s="147"/>
      <c r="D170" s="147"/>
      <c r="E170" s="147"/>
      <c r="F170" s="147"/>
      <c r="G170" s="147"/>
    </row>
    <row r="171" spans="3:7" ht="14" x14ac:dyDescent="0.2">
      <c r="C171" s="147"/>
      <c r="D171" s="147"/>
      <c r="E171" s="147"/>
      <c r="F171" s="147"/>
      <c r="G171" s="147"/>
    </row>
    <row r="172" spans="3:7" ht="14" x14ac:dyDescent="0.2">
      <c r="C172" s="147"/>
      <c r="D172" s="147"/>
      <c r="E172" s="147"/>
      <c r="F172" s="147"/>
      <c r="G172" s="147"/>
    </row>
    <row r="173" spans="3:7" ht="14" x14ac:dyDescent="0.2">
      <c r="C173" s="147"/>
      <c r="D173" s="147"/>
      <c r="E173" s="147"/>
      <c r="F173" s="147"/>
      <c r="G173" s="147"/>
    </row>
    <row r="174" spans="3:7" ht="14" x14ac:dyDescent="0.2">
      <c r="C174" s="147"/>
      <c r="D174" s="147"/>
      <c r="E174" s="147"/>
      <c r="F174" s="147"/>
      <c r="G174" s="147"/>
    </row>
    <row r="175" spans="3:7" ht="14" x14ac:dyDescent="0.2">
      <c r="C175" s="147"/>
      <c r="D175" s="147"/>
      <c r="E175" s="147"/>
      <c r="F175" s="147"/>
      <c r="G175" s="147"/>
    </row>
    <row r="176" spans="3:7" ht="14" x14ac:dyDescent="0.2">
      <c r="C176" s="147"/>
      <c r="D176" s="147"/>
      <c r="E176" s="147"/>
      <c r="F176" s="147"/>
      <c r="G176" s="147"/>
    </row>
    <row r="177" spans="3:7" ht="14" x14ac:dyDescent="0.2">
      <c r="C177" s="147"/>
      <c r="D177" s="147"/>
      <c r="E177" s="147"/>
      <c r="F177" s="147"/>
      <c r="G177" s="147"/>
    </row>
    <row r="178" spans="3:7" ht="14" x14ac:dyDescent="0.2">
      <c r="C178" s="147"/>
      <c r="D178" s="147"/>
      <c r="E178" s="147"/>
      <c r="F178" s="147"/>
      <c r="G178" s="147"/>
    </row>
    <row r="179" spans="3:7" ht="14" x14ac:dyDescent="0.2">
      <c r="C179" s="147"/>
      <c r="D179" s="147"/>
      <c r="E179" s="147"/>
      <c r="F179" s="147"/>
      <c r="G179" s="147"/>
    </row>
    <row r="180" spans="3:7" ht="14" x14ac:dyDescent="0.2">
      <c r="C180" s="147"/>
      <c r="D180" s="147"/>
      <c r="E180" s="147"/>
      <c r="F180" s="147"/>
      <c r="G180" s="147"/>
    </row>
    <row r="181" spans="3:7" ht="14" x14ac:dyDescent="0.2">
      <c r="C181" s="147"/>
      <c r="D181" s="147"/>
      <c r="E181" s="147"/>
      <c r="F181" s="147"/>
      <c r="G181" s="147"/>
    </row>
    <row r="182" spans="3:7" ht="14" x14ac:dyDescent="0.2">
      <c r="C182" s="147"/>
      <c r="D182" s="147"/>
      <c r="E182" s="147"/>
      <c r="F182" s="147"/>
      <c r="G182" s="147"/>
    </row>
    <row r="183" spans="3:7" ht="14" x14ac:dyDescent="0.2">
      <c r="C183" s="147"/>
      <c r="D183" s="147"/>
      <c r="E183" s="147"/>
      <c r="F183" s="147"/>
      <c r="G183" s="147"/>
    </row>
    <row r="184" spans="3:7" ht="14" x14ac:dyDescent="0.2">
      <c r="C184" s="147"/>
      <c r="D184" s="147"/>
      <c r="E184" s="147"/>
      <c r="F184" s="147"/>
      <c r="G184" s="147"/>
    </row>
    <row r="185" spans="3:7" ht="14" x14ac:dyDescent="0.2">
      <c r="C185" s="147"/>
      <c r="D185" s="147"/>
      <c r="E185" s="147"/>
      <c r="F185" s="147"/>
      <c r="G185" s="147"/>
    </row>
    <row r="186" spans="3:7" ht="14" x14ac:dyDescent="0.2">
      <c r="C186" s="147"/>
      <c r="D186" s="147"/>
      <c r="E186" s="147"/>
      <c r="F186" s="147"/>
      <c r="G186" s="147"/>
    </row>
    <row r="187" spans="3:7" ht="14" x14ac:dyDescent="0.2">
      <c r="C187" s="147"/>
      <c r="D187" s="147"/>
      <c r="E187" s="147"/>
      <c r="F187" s="147"/>
      <c r="G187" s="147"/>
    </row>
    <row r="188" spans="3:7" ht="14" x14ac:dyDescent="0.2">
      <c r="C188" s="147"/>
      <c r="D188" s="147"/>
      <c r="E188" s="147"/>
      <c r="F188" s="147"/>
      <c r="G188" s="147"/>
    </row>
    <row r="189" spans="3:7" ht="14" x14ac:dyDescent="0.2">
      <c r="C189" s="147"/>
      <c r="D189" s="147"/>
      <c r="E189" s="147"/>
      <c r="F189" s="147"/>
      <c r="G189" s="147"/>
    </row>
    <row r="190" spans="3:7" ht="14" x14ac:dyDescent="0.2">
      <c r="C190" s="147"/>
      <c r="D190" s="147"/>
      <c r="E190" s="147"/>
      <c r="F190" s="147"/>
      <c r="G190" s="147"/>
    </row>
    <row r="191" spans="3:7" ht="14" x14ac:dyDescent="0.2">
      <c r="C191" s="147"/>
      <c r="D191" s="147"/>
      <c r="E191" s="147"/>
      <c r="F191" s="147"/>
      <c r="G191" s="147"/>
    </row>
    <row r="192" spans="3:7" ht="14" x14ac:dyDescent="0.2">
      <c r="C192" s="147"/>
      <c r="D192" s="147"/>
      <c r="E192" s="147"/>
      <c r="F192" s="147"/>
      <c r="G192" s="147"/>
    </row>
    <row r="193" spans="3:7" ht="14" x14ac:dyDescent="0.2">
      <c r="C193" s="147"/>
      <c r="D193" s="147"/>
      <c r="E193" s="147"/>
      <c r="F193" s="147"/>
      <c r="G193" s="147"/>
    </row>
    <row r="194" spans="3:7" ht="14" x14ac:dyDescent="0.2">
      <c r="C194" s="147"/>
      <c r="D194" s="147"/>
      <c r="E194" s="147"/>
      <c r="F194" s="147"/>
      <c r="G194" s="147"/>
    </row>
    <row r="195" spans="3:7" ht="14" x14ac:dyDescent="0.2">
      <c r="C195" s="147"/>
      <c r="D195" s="147"/>
      <c r="E195" s="147"/>
      <c r="F195" s="147"/>
      <c r="G195" s="147"/>
    </row>
    <row r="196" spans="3:7" ht="14" x14ac:dyDescent="0.2">
      <c r="C196" s="147"/>
      <c r="D196" s="147"/>
      <c r="E196" s="147"/>
      <c r="F196" s="147"/>
      <c r="G196" s="147"/>
    </row>
    <row r="197" spans="3:7" ht="14" x14ac:dyDescent="0.2">
      <c r="C197" s="147"/>
      <c r="D197" s="147"/>
      <c r="E197" s="147"/>
      <c r="F197" s="147"/>
      <c r="G197" s="147"/>
    </row>
    <row r="198" spans="3:7" ht="14" x14ac:dyDescent="0.2">
      <c r="C198" s="147"/>
      <c r="D198" s="147"/>
      <c r="E198" s="147"/>
      <c r="F198" s="147"/>
      <c r="G198" s="147"/>
    </row>
    <row r="199" spans="3:7" ht="14" x14ac:dyDescent="0.2">
      <c r="C199" s="147"/>
      <c r="D199" s="147"/>
      <c r="E199" s="147"/>
      <c r="F199" s="147"/>
      <c r="G199" s="147"/>
    </row>
    <row r="200" spans="3:7" ht="14" x14ac:dyDescent="0.2">
      <c r="C200" s="147"/>
      <c r="D200" s="147"/>
      <c r="E200" s="147"/>
      <c r="F200" s="147"/>
      <c r="G200" s="147"/>
    </row>
    <row r="201" spans="3:7" ht="14" x14ac:dyDescent="0.2">
      <c r="C201" s="147"/>
      <c r="D201" s="147"/>
      <c r="E201" s="147"/>
      <c r="F201" s="147"/>
      <c r="G201" s="147"/>
    </row>
    <row r="202" spans="3:7" ht="14" x14ac:dyDescent="0.2">
      <c r="C202" s="147"/>
      <c r="D202" s="147"/>
      <c r="E202" s="147"/>
      <c r="F202" s="147"/>
      <c r="G202" s="147"/>
    </row>
    <row r="203" spans="3:7" ht="14" x14ac:dyDescent="0.2">
      <c r="C203" s="147"/>
      <c r="D203" s="147"/>
      <c r="E203" s="147"/>
      <c r="F203" s="147"/>
      <c r="G203" s="147"/>
    </row>
    <row r="204" spans="3:7" ht="14" x14ac:dyDescent="0.2">
      <c r="C204" s="147"/>
      <c r="D204" s="147"/>
      <c r="E204" s="147"/>
      <c r="F204" s="147"/>
      <c r="G204" s="147"/>
    </row>
    <row r="205" spans="3:7" ht="14" x14ac:dyDescent="0.2">
      <c r="C205" s="147"/>
      <c r="D205" s="147"/>
      <c r="E205" s="147"/>
      <c r="F205" s="147"/>
      <c r="G205" s="147"/>
    </row>
    <row r="206" spans="3:7" ht="14" x14ac:dyDescent="0.2">
      <c r="C206" s="147"/>
      <c r="D206" s="147"/>
      <c r="E206" s="147"/>
      <c r="F206" s="147"/>
      <c r="G206" s="147"/>
    </row>
    <row r="207" spans="3:7" ht="14" x14ac:dyDescent="0.2">
      <c r="C207" s="147"/>
      <c r="D207" s="147"/>
      <c r="E207" s="147"/>
      <c r="F207" s="147"/>
      <c r="G207" s="147"/>
    </row>
    <row r="208" spans="3:7" ht="14" x14ac:dyDescent="0.2">
      <c r="C208" s="147"/>
      <c r="D208" s="147"/>
      <c r="E208" s="147"/>
      <c r="F208" s="147"/>
      <c r="G208" s="147"/>
    </row>
    <row r="209" spans="3:7" ht="14" x14ac:dyDescent="0.2">
      <c r="C209" s="147"/>
      <c r="D209" s="147"/>
      <c r="E209" s="147"/>
      <c r="F209" s="147"/>
      <c r="G209" s="147"/>
    </row>
    <row r="210" spans="3:7" ht="14" x14ac:dyDescent="0.2">
      <c r="C210" s="147"/>
      <c r="D210" s="147"/>
      <c r="E210" s="147"/>
      <c r="F210" s="147"/>
      <c r="G210" s="147"/>
    </row>
    <row r="211" spans="3:7" ht="14" x14ac:dyDescent="0.2">
      <c r="C211" s="147"/>
      <c r="D211" s="147"/>
      <c r="E211" s="147"/>
      <c r="F211" s="147"/>
      <c r="G211" s="147"/>
    </row>
    <row r="212" spans="3:7" ht="14" x14ac:dyDescent="0.2">
      <c r="C212" s="147"/>
      <c r="D212" s="147"/>
      <c r="E212" s="147"/>
      <c r="F212" s="147"/>
      <c r="G212" s="147"/>
    </row>
    <row r="213" spans="3:7" ht="14" x14ac:dyDescent="0.2">
      <c r="C213" s="147"/>
      <c r="D213" s="147"/>
      <c r="E213" s="147"/>
      <c r="F213" s="147"/>
      <c r="G213" s="147"/>
    </row>
    <row r="214" spans="3:7" ht="14" x14ac:dyDescent="0.2">
      <c r="C214" s="147"/>
      <c r="D214" s="147"/>
      <c r="E214" s="147"/>
      <c r="F214" s="147"/>
      <c r="G214" s="147"/>
    </row>
    <row r="215" spans="3:7" ht="14" x14ac:dyDescent="0.2">
      <c r="C215" s="147"/>
      <c r="D215" s="147"/>
      <c r="E215" s="147"/>
      <c r="F215" s="147"/>
      <c r="G215" s="147"/>
    </row>
    <row r="216" spans="3:7" ht="14" x14ac:dyDescent="0.2">
      <c r="C216" s="147"/>
      <c r="D216" s="147"/>
      <c r="E216" s="147"/>
      <c r="F216" s="147"/>
      <c r="G216" s="147"/>
    </row>
    <row r="217" spans="3:7" ht="14" x14ac:dyDescent="0.2">
      <c r="C217" s="147"/>
      <c r="D217" s="147"/>
      <c r="E217" s="147"/>
      <c r="F217" s="147"/>
      <c r="G217" s="147"/>
    </row>
    <row r="218" spans="3:7" ht="14" x14ac:dyDescent="0.2">
      <c r="C218" s="147"/>
      <c r="D218" s="147"/>
      <c r="E218" s="147"/>
      <c r="F218" s="147"/>
      <c r="G218" s="147"/>
    </row>
    <row r="219" spans="3:7" ht="14" x14ac:dyDescent="0.2">
      <c r="C219" s="147"/>
      <c r="D219" s="147"/>
      <c r="E219" s="147"/>
      <c r="F219" s="147"/>
      <c r="G219" s="147"/>
    </row>
    <row r="220" spans="3:7" ht="14" x14ac:dyDescent="0.2">
      <c r="C220" s="147"/>
      <c r="D220" s="147"/>
      <c r="E220" s="147"/>
      <c r="F220" s="147"/>
      <c r="G220" s="147"/>
    </row>
    <row r="221" spans="3:7" ht="14" x14ac:dyDescent="0.2">
      <c r="C221" s="147"/>
      <c r="D221" s="147"/>
      <c r="E221" s="147"/>
      <c r="F221" s="147"/>
      <c r="G221" s="147"/>
    </row>
    <row r="222" spans="3:7" ht="14" x14ac:dyDescent="0.2">
      <c r="C222" s="147"/>
      <c r="D222" s="147"/>
      <c r="E222" s="147"/>
      <c r="F222" s="147"/>
      <c r="G222" s="147"/>
    </row>
    <row r="223" spans="3:7" ht="14" x14ac:dyDescent="0.2">
      <c r="C223" s="147"/>
      <c r="D223" s="147"/>
      <c r="E223" s="147"/>
      <c r="F223" s="147"/>
      <c r="G223" s="147"/>
    </row>
    <row r="224" spans="3:7" ht="14" x14ac:dyDescent="0.2">
      <c r="C224" s="147"/>
      <c r="D224" s="147"/>
      <c r="E224" s="147"/>
      <c r="F224" s="147"/>
      <c r="G224" s="147"/>
    </row>
    <row r="225" spans="3:7" ht="14" x14ac:dyDescent="0.2">
      <c r="C225" s="147"/>
      <c r="D225" s="147"/>
      <c r="E225" s="147"/>
      <c r="F225" s="147"/>
      <c r="G225" s="147"/>
    </row>
    <row r="226" spans="3:7" ht="14" x14ac:dyDescent="0.2">
      <c r="C226" s="147"/>
      <c r="D226" s="147"/>
      <c r="E226" s="147"/>
      <c r="F226" s="147"/>
      <c r="G226" s="147"/>
    </row>
    <row r="227" spans="3:7" ht="14" x14ac:dyDescent="0.2">
      <c r="C227" s="147"/>
      <c r="D227" s="147"/>
      <c r="E227" s="147"/>
      <c r="F227" s="147"/>
      <c r="G227" s="147"/>
    </row>
    <row r="228" spans="3:7" ht="14" x14ac:dyDescent="0.2">
      <c r="C228" s="147"/>
      <c r="D228" s="147"/>
      <c r="E228" s="147"/>
      <c r="F228" s="147"/>
      <c r="G228" s="147"/>
    </row>
    <row r="229" spans="3:7" ht="14" x14ac:dyDescent="0.2">
      <c r="C229" s="147"/>
      <c r="D229" s="147"/>
      <c r="E229" s="147"/>
      <c r="F229" s="147"/>
      <c r="G229" s="147"/>
    </row>
    <row r="230" spans="3:7" ht="14" x14ac:dyDescent="0.2">
      <c r="C230" s="147"/>
      <c r="D230" s="147"/>
      <c r="E230" s="147"/>
      <c r="F230" s="147"/>
      <c r="G230" s="147"/>
    </row>
    <row r="231" spans="3:7" ht="14" x14ac:dyDescent="0.2">
      <c r="C231" s="147"/>
      <c r="D231" s="147"/>
      <c r="E231" s="147"/>
      <c r="F231" s="147"/>
      <c r="G231" s="147"/>
    </row>
    <row r="232" spans="3:7" ht="14" x14ac:dyDescent="0.2">
      <c r="C232" s="147"/>
      <c r="D232" s="147"/>
      <c r="E232" s="147"/>
      <c r="F232" s="147"/>
      <c r="G232" s="147"/>
    </row>
    <row r="233" spans="3:7" ht="14" x14ac:dyDescent="0.2">
      <c r="C233" s="147"/>
      <c r="D233" s="147"/>
      <c r="E233" s="147"/>
      <c r="F233" s="147"/>
      <c r="G233" s="147"/>
    </row>
    <row r="234" spans="3:7" ht="14" x14ac:dyDescent="0.2">
      <c r="C234" s="147"/>
      <c r="D234" s="147"/>
      <c r="E234" s="147"/>
      <c r="F234" s="147"/>
      <c r="G234" s="147"/>
    </row>
    <row r="235" spans="3:7" ht="14" x14ac:dyDescent="0.2">
      <c r="C235" s="147"/>
      <c r="D235" s="147"/>
      <c r="E235" s="147"/>
      <c r="F235" s="147"/>
      <c r="G235" s="147"/>
    </row>
    <row r="236" spans="3:7" ht="14" x14ac:dyDescent="0.2">
      <c r="C236" s="147"/>
      <c r="D236" s="147"/>
      <c r="E236" s="147"/>
      <c r="F236" s="147"/>
      <c r="G236" s="147"/>
    </row>
    <row r="237" spans="3:7" ht="14" x14ac:dyDescent="0.2">
      <c r="C237" s="147"/>
      <c r="D237" s="147"/>
      <c r="E237" s="147"/>
      <c r="F237" s="147"/>
      <c r="G237" s="147"/>
    </row>
    <row r="238" spans="3:7" ht="14" x14ac:dyDescent="0.2">
      <c r="C238" s="147"/>
      <c r="D238" s="147"/>
      <c r="E238" s="147"/>
      <c r="F238" s="147"/>
      <c r="G238" s="147"/>
    </row>
    <row r="239" spans="3:7" ht="14" x14ac:dyDescent="0.2">
      <c r="C239" s="147"/>
      <c r="D239" s="147"/>
      <c r="E239" s="147"/>
      <c r="F239" s="147"/>
      <c r="G239" s="147"/>
    </row>
    <row r="240" spans="3:7" ht="14" x14ac:dyDescent="0.2">
      <c r="C240" s="147"/>
      <c r="D240" s="147"/>
      <c r="E240" s="147"/>
      <c r="F240" s="147"/>
      <c r="G240" s="147"/>
    </row>
    <row r="241" spans="3:7" ht="14" x14ac:dyDescent="0.2">
      <c r="C241" s="147"/>
      <c r="D241" s="147"/>
      <c r="E241" s="147"/>
      <c r="F241" s="147"/>
      <c r="G241" s="147"/>
    </row>
    <row r="242" spans="3:7" ht="14" x14ac:dyDescent="0.2">
      <c r="C242" s="147"/>
      <c r="D242" s="147"/>
      <c r="E242" s="147"/>
      <c r="F242" s="147"/>
      <c r="G242" s="147"/>
    </row>
    <row r="243" spans="3:7" ht="14" x14ac:dyDescent="0.2">
      <c r="C243" s="147"/>
      <c r="D243" s="147"/>
      <c r="E243" s="147"/>
      <c r="F243" s="147"/>
      <c r="G243" s="147"/>
    </row>
    <row r="244" spans="3:7" ht="14" x14ac:dyDescent="0.2">
      <c r="C244" s="147"/>
      <c r="D244" s="147"/>
      <c r="E244" s="147"/>
      <c r="F244" s="147"/>
      <c r="G244" s="147"/>
    </row>
    <row r="245" spans="3:7" ht="14" x14ac:dyDescent="0.2">
      <c r="C245" s="147"/>
      <c r="D245" s="147"/>
      <c r="E245" s="147"/>
      <c r="F245" s="147"/>
      <c r="G245" s="147"/>
    </row>
    <row r="246" spans="3:7" ht="14" x14ac:dyDescent="0.2">
      <c r="C246" s="147"/>
      <c r="D246" s="147"/>
      <c r="E246" s="147"/>
      <c r="F246" s="147"/>
      <c r="G246" s="147"/>
    </row>
    <row r="247" spans="3:7" ht="14" x14ac:dyDescent="0.2">
      <c r="C247" s="147"/>
      <c r="D247" s="147"/>
      <c r="E247" s="147"/>
      <c r="F247" s="147"/>
      <c r="G247" s="147"/>
    </row>
    <row r="248" spans="3:7" ht="14" x14ac:dyDescent="0.2">
      <c r="C248" s="147"/>
      <c r="D248" s="147"/>
      <c r="E248" s="147"/>
      <c r="F248" s="147"/>
      <c r="G248" s="147"/>
    </row>
    <row r="249" spans="3:7" ht="14" x14ac:dyDescent="0.2">
      <c r="C249" s="147"/>
      <c r="D249" s="147"/>
      <c r="E249" s="147"/>
      <c r="F249" s="147"/>
      <c r="G249" s="147"/>
    </row>
    <row r="250" spans="3:7" ht="14" x14ac:dyDescent="0.2">
      <c r="C250" s="147"/>
      <c r="D250" s="147"/>
      <c r="E250" s="147"/>
      <c r="F250" s="147"/>
      <c r="G250" s="147"/>
    </row>
    <row r="251" spans="3:7" ht="14" x14ac:dyDescent="0.2">
      <c r="C251" s="147"/>
      <c r="D251" s="147"/>
      <c r="E251" s="147"/>
      <c r="F251" s="147"/>
      <c r="G251" s="147"/>
    </row>
    <row r="252" spans="3:7" ht="14" x14ac:dyDescent="0.2">
      <c r="C252" s="147"/>
      <c r="D252" s="147"/>
      <c r="E252" s="147"/>
      <c r="F252" s="147"/>
      <c r="G252" s="147"/>
    </row>
    <row r="253" spans="3:7" ht="14" x14ac:dyDescent="0.2">
      <c r="C253" s="147"/>
      <c r="D253" s="147"/>
      <c r="E253" s="147"/>
      <c r="F253" s="147"/>
      <c r="G253" s="147"/>
    </row>
    <row r="254" spans="3:7" ht="14" x14ac:dyDescent="0.2">
      <c r="C254" s="147"/>
      <c r="D254" s="147"/>
      <c r="E254" s="147"/>
      <c r="F254" s="147"/>
      <c r="G254" s="147"/>
    </row>
    <row r="255" spans="3:7" ht="14" x14ac:dyDescent="0.2">
      <c r="C255" s="147"/>
      <c r="D255" s="147"/>
      <c r="E255" s="147"/>
      <c r="F255" s="147"/>
      <c r="G255" s="147"/>
    </row>
    <row r="256" spans="3:7" ht="14" x14ac:dyDescent="0.2">
      <c r="C256" s="147"/>
      <c r="D256" s="147"/>
      <c r="E256" s="147"/>
      <c r="F256" s="147"/>
      <c r="G256" s="147"/>
    </row>
    <row r="257" spans="3:7" ht="14" x14ac:dyDescent="0.2">
      <c r="C257" s="147"/>
      <c r="D257" s="147"/>
      <c r="E257" s="147"/>
      <c r="F257" s="147"/>
      <c r="G257" s="147"/>
    </row>
    <row r="258" spans="3:7" ht="14" x14ac:dyDescent="0.2">
      <c r="C258" s="147"/>
      <c r="D258" s="147"/>
      <c r="E258" s="147"/>
      <c r="F258" s="147"/>
      <c r="G258" s="147"/>
    </row>
    <row r="259" spans="3:7" ht="14" x14ac:dyDescent="0.2">
      <c r="C259" s="147"/>
      <c r="D259" s="147"/>
      <c r="E259" s="147"/>
      <c r="F259" s="147"/>
      <c r="G259" s="147"/>
    </row>
    <row r="260" spans="3:7" ht="14" x14ac:dyDescent="0.2">
      <c r="C260" s="147"/>
      <c r="D260" s="147"/>
      <c r="E260" s="147"/>
      <c r="F260" s="147"/>
      <c r="G260" s="147"/>
    </row>
    <row r="261" spans="3:7" ht="14" x14ac:dyDescent="0.2">
      <c r="C261" s="147"/>
      <c r="D261" s="147"/>
      <c r="E261" s="147"/>
      <c r="F261" s="147"/>
      <c r="G261" s="147"/>
    </row>
    <row r="262" spans="3:7" ht="14" x14ac:dyDescent="0.2">
      <c r="C262" s="147"/>
      <c r="D262" s="147"/>
      <c r="E262" s="147"/>
      <c r="F262" s="147"/>
      <c r="G262" s="147"/>
    </row>
    <row r="263" spans="3:7" ht="14" x14ac:dyDescent="0.2">
      <c r="C263" s="147"/>
      <c r="D263" s="147"/>
      <c r="E263" s="147"/>
      <c r="F263" s="147"/>
      <c r="G263" s="147"/>
    </row>
    <row r="264" spans="3:7" ht="14" x14ac:dyDescent="0.2">
      <c r="C264" s="147"/>
      <c r="D264" s="147"/>
      <c r="E264" s="147"/>
      <c r="F264" s="147"/>
      <c r="G264" s="147"/>
    </row>
    <row r="265" spans="3:7" ht="14" x14ac:dyDescent="0.2">
      <c r="C265" s="147"/>
      <c r="D265" s="147"/>
      <c r="E265" s="147"/>
      <c r="F265" s="147"/>
      <c r="G265" s="147"/>
    </row>
    <row r="266" spans="3:7" ht="14" x14ac:dyDescent="0.2">
      <c r="C266" s="147"/>
      <c r="D266" s="147"/>
      <c r="E266" s="147"/>
      <c r="F266" s="147"/>
      <c r="G266" s="147"/>
    </row>
    <row r="267" spans="3:7" ht="14" x14ac:dyDescent="0.2">
      <c r="C267" s="147"/>
      <c r="D267" s="147"/>
      <c r="E267" s="147"/>
      <c r="F267" s="147"/>
      <c r="G267" s="147"/>
    </row>
    <row r="268" spans="3:7" ht="14" x14ac:dyDescent="0.2">
      <c r="C268" s="147"/>
      <c r="D268" s="147"/>
      <c r="E268" s="147"/>
      <c r="F268" s="147"/>
      <c r="G268" s="147"/>
    </row>
    <row r="269" spans="3:7" ht="14" x14ac:dyDescent="0.2">
      <c r="C269" s="147"/>
      <c r="D269" s="147"/>
      <c r="E269" s="147"/>
      <c r="F269" s="147"/>
      <c r="G269" s="147"/>
    </row>
    <row r="270" spans="3:7" ht="14" x14ac:dyDescent="0.2">
      <c r="C270" s="147"/>
      <c r="D270" s="147"/>
      <c r="E270" s="147"/>
      <c r="F270" s="147"/>
      <c r="G270" s="147"/>
    </row>
    <row r="271" spans="3:7" ht="14" x14ac:dyDescent="0.2">
      <c r="C271" s="147"/>
      <c r="D271" s="147"/>
      <c r="E271" s="147"/>
      <c r="F271" s="147"/>
      <c r="G271" s="147"/>
    </row>
    <row r="272" spans="3:7" ht="14" x14ac:dyDescent="0.2">
      <c r="C272" s="147"/>
      <c r="D272" s="147"/>
      <c r="E272" s="147"/>
      <c r="F272" s="147"/>
      <c r="G272" s="147"/>
    </row>
    <row r="273" spans="3:7" ht="14" x14ac:dyDescent="0.2">
      <c r="C273" s="147"/>
      <c r="D273" s="147"/>
      <c r="E273" s="147"/>
      <c r="F273" s="147"/>
      <c r="G273" s="147"/>
    </row>
    <row r="274" spans="3:7" ht="14" x14ac:dyDescent="0.2">
      <c r="C274" s="147"/>
      <c r="D274" s="147"/>
      <c r="E274" s="147"/>
      <c r="F274" s="147"/>
      <c r="G274" s="147"/>
    </row>
    <row r="275" spans="3:7" ht="14" x14ac:dyDescent="0.2">
      <c r="C275" s="147"/>
      <c r="D275" s="147"/>
      <c r="E275" s="147"/>
      <c r="F275" s="147"/>
      <c r="G275" s="147"/>
    </row>
    <row r="276" spans="3:7" ht="14" x14ac:dyDescent="0.2">
      <c r="C276" s="147"/>
      <c r="D276" s="147"/>
      <c r="E276" s="147"/>
      <c r="F276" s="147"/>
      <c r="G276" s="147"/>
    </row>
    <row r="277" spans="3:7" ht="14" x14ac:dyDescent="0.2">
      <c r="C277" s="147"/>
      <c r="D277" s="147"/>
      <c r="E277" s="147"/>
      <c r="F277" s="147"/>
      <c r="G277" s="147"/>
    </row>
    <row r="278" spans="3:7" ht="14" x14ac:dyDescent="0.2">
      <c r="C278" s="147"/>
      <c r="D278" s="147"/>
      <c r="E278" s="147"/>
      <c r="F278" s="147"/>
      <c r="G278" s="147"/>
    </row>
    <row r="279" spans="3:7" ht="14" x14ac:dyDescent="0.2">
      <c r="C279" s="147"/>
      <c r="D279" s="147"/>
      <c r="E279" s="147"/>
      <c r="F279" s="147"/>
      <c r="G279" s="147"/>
    </row>
    <row r="280" spans="3:7" ht="14" x14ac:dyDescent="0.2">
      <c r="C280" s="147"/>
      <c r="D280" s="147"/>
      <c r="E280" s="147"/>
      <c r="F280" s="147"/>
      <c r="G280" s="147"/>
    </row>
    <row r="281" spans="3:7" ht="14" x14ac:dyDescent="0.2">
      <c r="C281" s="147"/>
      <c r="D281" s="147"/>
      <c r="E281" s="147"/>
      <c r="F281" s="147"/>
      <c r="G281" s="147"/>
    </row>
    <row r="282" spans="3:7" ht="14" x14ac:dyDescent="0.2">
      <c r="C282" s="147"/>
      <c r="D282" s="147"/>
      <c r="E282" s="147"/>
      <c r="F282" s="147"/>
      <c r="G282" s="147"/>
    </row>
    <row r="283" spans="3:7" ht="14" x14ac:dyDescent="0.2">
      <c r="C283" s="147"/>
      <c r="D283" s="147"/>
      <c r="E283" s="147"/>
      <c r="F283" s="147"/>
      <c r="G283" s="147"/>
    </row>
    <row r="284" spans="3:7" ht="14" x14ac:dyDescent="0.2">
      <c r="C284" s="147"/>
      <c r="D284" s="147"/>
      <c r="E284" s="147"/>
      <c r="F284" s="147"/>
      <c r="G284" s="147"/>
    </row>
    <row r="285" spans="3:7" ht="14" x14ac:dyDescent="0.2">
      <c r="C285" s="147"/>
      <c r="D285" s="147"/>
      <c r="E285" s="147"/>
      <c r="F285" s="147"/>
      <c r="G285" s="147"/>
    </row>
    <row r="286" spans="3:7" ht="14" x14ac:dyDescent="0.2">
      <c r="C286" s="147"/>
      <c r="D286" s="147"/>
      <c r="E286" s="147"/>
      <c r="F286" s="147"/>
      <c r="G286" s="147"/>
    </row>
    <row r="287" spans="3:7" ht="14" x14ac:dyDescent="0.2">
      <c r="C287" s="147"/>
      <c r="D287" s="147"/>
      <c r="E287" s="147"/>
      <c r="F287" s="147"/>
      <c r="G287" s="147"/>
    </row>
    <row r="288" spans="3:7" ht="14" x14ac:dyDescent="0.2">
      <c r="C288" s="147"/>
      <c r="D288" s="147"/>
      <c r="E288" s="147"/>
      <c r="F288" s="147"/>
      <c r="G288" s="147"/>
    </row>
    <row r="289" spans="3:7" ht="14" x14ac:dyDescent="0.2">
      <c r="C289" s="147"/>
      <c r="D289" s="147"/>
      <c r="E289" s="147"/>
      <c r="F289" s="147"/>
      <c r="G289" s="147"/>
    </row>
    <row r="290" spans="3:7" ht="14" x14ac:dyDescent="0.2">
      <c r="C290" s="147"/>
      <c r="D290" s="147"/>
      <c r="E290" s="147"/>
      <c r="F290" s="147"/>
      <c r="G290" s="147"/>
    </row>
    <row r="291" spans="3:7" ht="14" x14ac:dyDescent="0.2">
      <c r="C291" s="147"/>
      <c r="D291" s="147"/>
      <c r="E291" s="147"/>
      <c r="F291" s="147"/>
      <c r="G291" s="147"/>
    </row>
    <row r="292" spans="3:7" ht="14" x14ac:dyDescent="0.2">
      <c r="C292" s="147"/>
      <c r="D292" s="147"/>
      <c r="E292" s="147"/>
      <c r="F292" s="147"/>
      <c r="G292" s="147"/>
    </row>
    <row r="293" spans="3:7" ht="14" x14ac:dyDescent="0.2">
      <c r="C293" s="147"/>
      <c r="D293" s="147"/>
      <c r="E293" s="147"/>
      <c r="F293" s="147"/>
      <c r="G293" s="147"/>
    </row>
    <row r="294" spans="3:7" ht="14" x14ac:dyDescent="0.2">
      <c r="C294" s="147"/>
      <c r="D294" s="147"/>
      <c r="E294" s="147"/>
      <c r="F294" s="147"/>
      <c r="G294" s="147"/>
    </row>
    <row r="295" spans="3:7" ht="14" x14ac:dyDescent="0.2">
      <c r="C295" s="147"/>
      <c r="D295" s="147"/>
      <c r="E295" s="147"/>
      <c r="F295" s="147"/>
      <c r="G295" s="147"/>
    </row>
    <row r="296" spans="3:7" ht="14" x14ac:dyDescent="0.2">
      <c r="C296" s="147"/>
      <c r="D296" s="147"/>
      <c r="E296" s="147"/>
      <c r="F296" s="147"/>
      <c r="G296" s="147"/>
    </row>
    <row r="297" spans="3:7" ht="14" x14ac:dyDescent="0.2">
      <c r="C297" s="147"/>
      <c r="D297" s="147"/>
      <c r="E297" s="147"/>
      <c r="F297" s="147"/>
      <c r="G297" s="147"/>
    </row>
    <row r="298" spans="3:7" ht="14" x14ac:dyDescent="0.2">
      <c r="C298" s="147"/>
      <c r="D298" s="147"/>
      <c r="E298" s="147"/>
      <c r="F298" s="147"/>
      <c r="G298" s="147"/>
    </row>
    <row r="299" spans="3:7" ht="14" x14ac:dyDescent="0.2">
      <c r="C299" s="147"/>
      <c r="D299" s="147"/>
      <c r="E299" s="147"/>
      <c r="F299" s="147"/>
      <c r="G299" s="147"/>
    </row>
    <row r="300" spans="3:7" ht="14" x14ac:dyDescent="0.2">
      <c r="C300" s="147"/>
      <c r="D300" s="147"/>
      <c r="E300" s="147"/>
      <c r="F300" s="147"/>
      <c r="G300" s="147"/>
    </row>
    <row r="301" spans="3:7" ht="14" x14ac:dyDescent="0.2">
      <c r="C301" s="147"/>
      <c r="D301" s="147"/>
      <c r="E301" s="147"/>
      <c r="F301" s="147"/>
      <c r="G301" s="147"/>
    </row>
    <row r="302" spans="3:7" ht="14" x14ac:dyDescent="0.2">
      <c r="C302" s="147"/>
      <c r="D302" s="147"/>
      <c r="E302" s="147"/>
      <c r="F302" s="147"/>
      <c r="G302" s="147"/>
    </row>
    <row r="303" spans="3:7" ht="14" x14ac:dyDescent="0.2">
      <c r="C303" s="147"/>
      <c r="D303" s="147"/>
      <c r="E303" s="147"/>
      <c r="F303" s="147"/>
      <c r="G303" s="147"/>
    </row>
    <row r="304" spans="3:7" ht="14" x14ac:dyDescent="0.2">
      <c r="C304" s="147"/>
      <c r="D304" s="147"/>
      <c r="E304" s="147"/>
      <c r="F304" s="147"/>
      <c r="G304" s="147"/>
    </row>
    <row r="305" spans="3:7" ht="14" x14ac:dyDescent="0.2">
      <c r="C305" s="147"/>
      <c r="D305" s="147"/>
      <c r="E305" s="147"/>
      <c r="F305" s="147"/>
      <c r="G305" s="147"/>
    </row>
    <row r="306" spans="3:7" ht="14" x14ac:dyDescent="0.2">
      <c r="C306" s="147"/>
      <c r="D306" s="147"/>
      <c r="E306" s="147"/>
      <c r="F306" s="147"/>
      <c r="G306" s="147"/>
    </row>
    <row r="307" spans="3:7" ht="14" x14ac:dyDescent="0.2">
      <c r="C307" s="147"/>
      <c r="D307" s="147"/>
      <c r="E307" s="147"/>
      <c r="F307" s="147"/>
      <c r="G307" s="147"/>
    </row>
    <row r="308" spans="3:7" ht="14" x14ac:dyDescent="0.2">
      <c r="C308" s="147"/>
      <c r="D308" s="147"/>
      <c r="E308" s="147"/>
      <c r="F308" s="147"/>
      <c r="G308" s="147"/>
    </row>
    <row r="309" spans="3:7" ht="14" x14ac:dyDescent="0.2">
      <c r="C309" s="147"/>
      <c r="D309" s="147"/>
      <c r="E309" s="147"/>
      <c r="F309" s="147"/>
      <c r="G309" s="147"/>
    </row>
    <row r="310" spans="3:7" ht="14" x14ac:dyDescent="0.2">
      <c r="C310" s="147"/>
      <c r="D310" s="147"/>
      <c r="E310" s="147"/>
      <c r="F310" s="147"/>
      <c r="G310" s="147"/>
    </row>
    <row r="311" spans="3:7" ht="14" x14ac:dyDescent="0.2">
      <c r="C311" s="147"/>
      <c r="D311" s="147"/>
      <c r="E311" s="147"/>
      <c r="F311" s="147"/>
      <c r="G311" s="147"/>
    </row>
    <row r="312" spans="3:7" ht="14" x14ac:dyDescent="0.2">
      <c r="C312" s="147"/>
      <c r="D312" s="147"/>
      <c r="E312" s="147"/>
      <c r="F312" s="147"/>
      <c r="G312" s="147"/>
    </row>
    <row r="313" spans="3:7" ht="14" x14ac:dyDescent="0.2">
      <c r="C313" s="147"/>
      <c r="D313" s="147"/>
      <c r="E313" s="147"/>
      <c r="F313" s="147"/>
      <c r="G313" s="147"/>
    </row>
    <row r="314" spans="3:7" ht="14" x14ac:dyDescent="0.2">
      <c r="C314" s="147"/>
      <c r="D314" s="147"/>
      <c r="E314" s="147"/>
      <c r="F314" s="147"/>
      <c r="G314" s="147"/>
    </row>
    <row r="315" spans="3:7" ht="14" x14ac:dyDescent="0.2">
      <c r="C315" s="147"/>
      <c r="D315" s="147"/>
      <c r="E315" s="147"/>
      <c r="F315" s="147"/>
      <c r="G315" s="147"/>
    </row>
    <row r="316" spans="3:7" ht="14" x14ac:dyDescent="0.2">
      <c r="C316" s="147"/>
      <c r="D316" s="147"/>
      <c r="E316" s="147"/>
      <c r="F316" s="147"/>
      <c r="G316" s="147"/>
    </row>
    <row r="317" spans="3:7" ht="14" x14ac:dyDescent="0.2">
      <c r="C317" s="147"/>
      <c r="D317" s="147"/>
      <c r="E317" s="147"/>
      <c r="F317" s="147"/>
      <c r="G317" s="147"/>
    </row>
    <row r="318" spans="3:7" ht="14" x14ac:dyDescent="0.2">
      <c r="C318" s="147"/>
      <c r="D318" s="147"/>
      <c r="E318" s="147"/>
      <c r="F318" s="147"/>
      <c r="G318" s="147"/>
    </row>
    <row r="319" spans="3:7" ht="14" x14ac:dyDescent="0.2">
      <c r="C319" s="147"/>
      <c r="D319" s="147"/>
      <c r="E319" s="147"/>
      <c r="F319" s="147"/>
      <c r="G319" s="147"/>
    </row>
    <row r="320" spans="3:7" ht="14" x14ac:dyDescent="0.2">
      <c r="C320" s="147"/>
      <c r="D320" s="147"/>
      <c r="E320" s="147"/>
      <c r="F320" s="147"/>
      <c r="G320" s="147"/>
    </row>
    <row r="321" spans="3:7" ht="14" x14ac:dyDescent="0.2">
      <c r="C321" s="147"/>
      <c r="D321" s="147"/>
      <c r="E321" s="147"/>
      <c r="F321" s="147"/>
      <c r="G321" s="147"/>
    </row>
    <row r="322" spans="3:7" ht="14" x14ac:dyDescent="0.2">
      <c r="C322" s="147"/>
      <c r="D322" s="147"/>
      <c r="E322" s="147"/>
      <c r="F322" s="147"/>
      <c r="G322" s="147"/>
    </row>
    <row r="323" spans="3:7" ht="14" x14ac:dyDescent="0.2">
      <c r="C323" s="147"/>
      <c r="D323" s="147"/>
      <c r="E323" s="147"/>
      <c r="F323" s="147"/>
      <c r="G323" s="147"/>
    </row>
    <row r="324" spans="3:7" ht="14" x14ac:dyDescent="0.2">
      <c r="C324" s="147"/>
      <c r="D324" s="147"/>
      <c r="E324" s="147"/>
      <c r="F324" s="147"/>
      <c r="G324" s="147"/>
    </row>
    <row r="325" spans="3:7" ht="14" x14ac:dyDescent="0.2">
      <c r="C325" s="147"/>
      <c r="D325" s="147"/>
      <c r="E325" s="147"/>
      <c r="F325" s="147"/>
      <c r="G325" s="147"/>
    </row>
    <row r="326" spans="3:7" ht="14" x14ac:dyDescent="0.2">
      <c r="C326" s="147"/>
      <c r="D326" s="147"/>
      <c r="E326" s="147"/>
      <c r="F326" s="147"/>
      <c r="G326" s="147"/>
    </row>
    <row r="327" spans="3:7" ht="14" x14ac:dyDescent="0.2">
      <c r="C327" s="147"/>
      <c r="D327" s="147"/>
      <c r="E327" s="147"/>
      <c r="F327" s="147"/>
      <c r="G327" s="147"/>
    </row>
    <row r="328" spans="3:7" ht="14" x14ac:dyDescent="0.2">
      <c r="C328" s="147"/>
      <c r="D328" s="147"/>
      <c r="E328" s="147"/>
      <c r="F328" s="147"/>
      <c r="G328" s="147"/>
    </row>
    <row r="329" spans="3:7" ht="14" x14ac:dyDescent="0.2">
      <c r="C329" s="147"/>
      <c r="D329" s="147"/>
      <c r="E329" s="147"/>
      <c r="F329" s="147"/>
      <c r="G329" s="147"/>
    </row>
    <row r="330" spans="3:7" ht="14" x14ac:dyDescent="0.2">
      <c r="C330" s="147"/>
      <c r="D330" s="147"/>
      <c r="E330" s="147"/>
      <c r="F330" s="147"/>
      <c r="G330" s="147"/>
    </row>
    <row r="331" spans="3:7" ht="14" x14ac:dyDescent="0.2">
      <c r="C331" s="147"/>
      <c r="D331" s="147"/>
      <c r="E331" s="147"/>
      <c r="F331" s="147"/>
      <c r="G331" s="147"/>
    </row>
    <row r="332" spans="3:7" ht="14" x14ac:dyDescent="0.2">
      <c r="C332" s="147"/>
      <c r="D332" s="147"/>
      <c r="E332" s="147"/>
      <c r="F332" s="147"/>
      <c r="G332" s="147"/>
    </row>
    <row r="333" spans="3:7" ht="14" x14ac:dyDescent="0.2">
      <c r="C333" s="147"/>
      <c r="D333" s="147"/>
      <c r="E333" s="147"/>
      <c r="F333" s="147"/>
      <c r="G333" s="147"/>
    </row>
    <row r="334" spans="3:7" ht="14" x14ac:dyDescent="0.2">
      <c r="C334" s="147"/>
      <c r="D334" s="147"/>
      <c r="E334" s="147"/>
      <c r="F334" s="147"/>
      <c r="G334" s="147"/>
    </row>
    <row r="335" spans="3:7" ht="14" x14ac:dyDescent="0.2">
      <c r="C335" s="147"/>
      <c r="D335" s="147"/>
      <c r="E335" s="147"/>
      <c r="F335" s="147"/>
      <c r="G335" s="147"/>
    </row>
    <row r="336" spans="3:7" ht="14" x14ac:dyDescent="0.2">
      <c r="C336" s="147"/>
      <c r="D336" s="147"/>
      <c r="E336" s="147"/>
      <c r="F336" s="147"/>
      <c r="G336" s="147"/>
    </row>
    <row r="337" spans="3:7" ht="14" x14ac:dyDescent="0.2">
      <c r="C337" s="147"/>
      <c r="D337" s="147"/>
      <c r="E337" s="147"/>
      <c r="F337" s="147"/>
      <c r="G337" s="147"/>
    </row>
    <row r="338" spans="3:7" ht="14" x14ac:dyDescent="0.2">
      <c r="C338" s="147"/>
      <c r="D338" s="147"/>
      <c r="E338" s="147"/>
      <c r="F338" s="147"/>
      <c r="G338" s="147"/>
    </row>
    <row r="339" spans="3:7" ht="14" x14ac:dyDescent="0.2">
      <c r="C339" s="147"/>
      <c r="D339" s="147"/>
      <c r="E339" s="147"/>
      <c r="F339" s="147"/>
      <c r="G339" s="147"/>
    </row>
    <row r="340" spans="3:7" ht="14" x14ac:dyDescent="0.2">
      <c r="C340" s="147"/>
      <c r="D340" s="147"/>
      <c r="E340" s="147"/>
      <c r="F340" s="147"/>
      <c r="G340" s="147"/>
    </row>
    <row r="341" spans="3:7" ht="14" x14ac:dyDescent="0.2">
      <c r="C341" s="147"/>
      <c r="D341" s="147"/>
      <c r="E341" s="147"/>
      <c r="F341" s="147"/>
      <c r="G341" s="147"/>
    </row>
    <row r="342" spans="3:7" ht="14" x14ac:dyDescent="0.2">
      <c r="C342" s="147"/>
      <c r="D342" s="147"/>
      <c r="E342" s="147"/>
      <c r="F342" s="147"/>
      <c r="G342" s="147"/>
    </row>
    <row r="343" spans="3:7" ht="14" x14ac:dyDescent="0.2">
      <c r="C343" s="147"/>
      <c r="D343" s="147"/>
      <c r="E343" s="147"/>
      <c r="F343" s="147"/>
      <c r="G343" s="147"/>
    </row>
    <row r="344" spans="3:7" ht="14" x14ac:dyDescent="0.2">
      <c r="C344" s="147"/>
      <c r="D344" s="147"/>
      <c r="E344" s="147"/>
      <c r="F344" s="147"/>
      <c r="G344" s="147"/>
    </row>
    <row r="345" spans="3:7" ht="14" x14ac:dyDescent="0.2">
      <c r="C345" s="147"/>
      <c r="D345" s="147"/>
      <c r="E345" s="147"/>
      <c r="F345" s="147"/>
      <c r="G345" s="147"/>
    </row>
    <row r="346" spans="3:7" ht="14" x14ac:dyDescent="0.2">
      <c r="C346" s="147"/>
      <c r="D346" s="147"/>
      <c r="E346" s="147"/>
      <c r="F346" s="147"/>
      <c r="G346" s="147"/>
    </row>
    <row r="347" spans="3:7" ht="14" x14ac:dyDescent="0.2">
      <c r="C347" s="147"/>
      <c r="D347" s="147"/>
      <c r="E347" s="147"/>
      <c r="F347" s="147"/>
      <c r="G347" s="147"/>
    </row>
    <row r="348" spans="3:7" ht="14" x14ac:dyDescent="0.2">
      <c r="C348" s="147"/>
      <c r="D348" s="147"/>
      <c r="E348" s="147"/>
      <c r="F348" s="147"/>
      <c r="G348" s="147"/>
    </row>
    <row r="349" spans="3:7" ht="14" x14ac:dyDescent="0.2">
      <c r="C349" s="147"/>
      <c r="D349" s="147"/>
      <c r="E349" s="147"/>
      <c r="F349" s="147"/>
      <c r="G349" s="147"/>
    </row>
    <row r="350" spans="3:7" ht="14" x14ac:dyDescent="0.2">
      <c r="C350" s="147"/>
      <c r="D350" s="147"/>
      <c r="E350" s="147"/>
      <c r="F350" s="147"/>
      <c r="G350" s="147"/>
    </row>
    <row r="351" spans="3:7" ht="14" x14ac:dyDescent="0.2">
      <c r="C351" s="147"/>
      <c r="D351" s="147"/>
      <c r="E351" s="147"/>
      <c r="F351" s="147"/>
      <c r="G351" s="147"/>
    </row>
    <row r="352" spans="3:7" ht="14" x14ac:dyDescent="0.2">
      <c r="C352" s="147"/>
      <c r="D352" s="147"/>
      <c r="E352" s="147"/>
      <c r="F352" s="147"/>
      <c r="G352" s="147"/>
    </row>
    <row r="353" spans="3:7" ht="14" x14ac:dyDescent="0.2">
      <c r="C353" s="147"/>
      <c r="D353" s="147"/>
      <c r="E353" s="147"/>
      <c r="F353" s="147"/>
      <c r="G353" s="147"/>
    </row>
    <row r="354" spans="3:7" ht="14" x14ac:dyDescent="0.2">
      <c r="C354" s="147"/>
      <c r="D354" s="147"/>
      <c r="E354" s="147"/>
      <c r="F354" s="147"/>
      <c r="G354" s="147"/>
    </row>
    <row r="355" spans="3:7" ht="14" x14ac:dyDescent="0.2">
      <c r="C355" s="147"/>
      <c r="D355" s="147"/>
      <c r="E355" s="147"/>
      <c r="F355" s="147"/>
      <c r="G355" s="147"/>
    </row>
    <row r="356" spans="3:7" ht="14" x14ac:dyDescent="0.2">
      <c r="C356" s="147"/>
      <c r="D356" s="147"/>
      <c r="E356" s="147"/>
      <c r="F356" s="147"/>
      <c r="G356" s="147"/>
    </row>
    <row r="357" spans="3:7" ht="14" x14ac:dyDescent="0.2">
      <c r="C357" s="147"/>
      <c r="D357" s="147"/>
      <c r="E357" s="147"/>
      <c r="F357" s="147"/>
      <c r="G357" s="147"/>
    </row>
    <row r="358" spans="3:7" ht="14" x14ac:dyDescent="0.2">
      <c r="C358" s="147"/>
      <c r="D358" s="147"/>
      <c r="E358" s="147"/>
      <c r="F358" s="147"/>
      <c r="G358" s="147"/>
    </row>
    <row r="359" spans="3:7" ht="14" x14ac:dyDescent="0.2">
      <c r="C359" s="147"/>
      <c r="D359" s="147"/>
      <c r="E359" s="147"/>
      <c r="F359" s="147"/>
      <c r="G359" s="147"/>
    </row>
    <row r="360" spans="3:7" ht="14" x14ac:dyDescent="0.2">
      <c r="C360" s="147"/>
      <c r="D360" s="147"/>
      <c r="E360" s="147"/>
      <c r="F360" s="147"/>
      <c r="G360" s="147"/>
    </row>
    <row r="361" spans="3:7" ht="14" x14ac:dyDescent="0.2">
      <c r="C361" s="147"/>
      <c r="D361" s="147"/>
      <c r="E361" s="147"/>
      <c r="F361" s="147"/>
      <c r="G361" s="147"/>
    </row>
    <row r="362" spans="3:7" ht="14" x14ac:dyDescent="0.2">
      <c r="C362" s="147"/>
      <c r="D362" s="147"/>
      <c r="E362" s="147"/>
      <c r="F362" s="147"/>
      <c r="G362" s="147"/>
    </row>
    <row r="363" spans="3:7" ht="14" x14ac:dyDescent="0.2">
      <c r="C363" s="147"/>
      <c r="D363" s="147"/>
      <c r="E363" s="147"/>
      <c r="F363" s="147"/>
      <c r="G363" s="147"/>
    </row>
    <row r="364" spans="3:7" ht="14" x14ac:dyDescent="0.2">
      <c r="C364" s="147"/>
      <c r="D364" s="147"/>
      <c r="E364" s="147"/>
      <c r="F364" s="147"/>
      <c r="G364" s="147"/>
    </row>
    <row r="365" spans="3:7" ht="14" x14ac:dyDescent="0.2">
      <c r="C365" s="147"/>
      <c r="D365" s="147"/>
      <c r="E365" s="147"/>
      <c r="F365" s="147"/>
      <c r="G365" s="147"/>
    </row>
    <row r="366" spans="3:7" ht="14" x14ac:dyDescent="0.2">
      <c r="C366" s="147"/>
      <c r="D366" s="147"/>
      <c r="E366" s="147"/>
      <c r="F366" s="147"/>
      <c r="G366" s="147"/>
    </row>
    <row r="367" spans="3:7" ht="14" x14ac:dyDescent="0.2">
      <c r="C367" s="147"/>
      <c r="D367" s="147"/>
      <c r="E367" s="147"/>
      <c r="F367" s="147"/>
      <c r="G367" s="147"/>
    </row>
    <row r="368" spans="3:7" ht="14" x14ac:dyDescent="0.2">
      <c r="C368" s="147"/>
      <c r="D368" s="147"/>
      <c r="E368" s="147"/>
      <c r="F368" s="147"/>
      <c r="G368" s="147"/>
    </row>
    <row r="369" spans="3:7" ht="14" x14ac:dyDescent="0.2">
      <c r="C369" s="147"/>
      <c r="D369" s="147"/>
      <c r="E369" s="147"/>
      <c r="F369" s="147"/>
      <c r="G369" s="147"/>
    </row>
    <row r="370" spans="3:7" ht="14" x14ac:dyDescent="0.2">
      <c r="C370" s="147"/>
      <c r="D370" s="147"/>
      <c r="E370" s="147"/>
      <c r="F370" s="147"/>
      <c r="G370" s="147"/>
    </row>
    <row r="371" spans="3:7" ht="14" x14ac:dyDescent="0.2">
      <c r="C371" s="147"/>
      <c r="D371" s="147"/>
      <c r="E371" s="147"/>
      <c r="F371" s="147"/>
      <c r="G371" s="147"/>
    </row>
    <row r="372" spans="3:7" ht="14" x14ac:dyDescent="0.2">
      <c r="C372" s="147"/>
      <c r="D372" s="147"/>
      <c r="E372" s="147"/>
      <c r="F372" s="147"/>
      <c r="G372" s="147"/>
    </row>
    <row r="373" spans="3:7" ht="14" x14ac:dyDescent="0.2">
      <c r="C373" s="147"/>
      <c r="D373" s="147"/>
      <c r="E373" s="147"/>
      <c r="F373" s="147"/>
      <c r="G373" s="147"/>
    </row>
    <row r="374" spans="3:7" ht="14" x14ac:dyDescent="0.2">
      <c r="C374" s="147"/>
      <c r="D374" s="147"/>
      <c r="E374" s="147"/>
      <c r="F374" s="147"/>
      <c r="G374" s="147"/>
    </row>
    <row r="375" spans="3:7" ht="14" x14ac:dyDescent="0.2">
      <c r="C375" s="147"/>
      <c r="D375" s="147"/>
      <c r="E375" s="147"/>
      <c r="F375" s="147"/>
      <c r="G375" s="147"/>
    </row>
    <row r="376" spans="3:7" ht="14" x14ac:dyDescent="0.2">
      <c r="C376" s="147"/>
      <c r="D376" s="147"/>
      <c r="E376" s="147"/>
      <c r="F376" s="147"/>
      <c r="G376" s="147"/>
    </row>
    <row r="377" spans="3:7" ht="14" x14ac:dyDescent="0.2">
      <c r="C377" s="147"/>
      <c r="D377" s="147"/>
      <c r="E377" s="147"/>
      <c r="F377" s="147"/>
      <c r="G377" s="147"/>
    </row>
    <row r="378" spans="3:7" ht="14" x14ac:dyDescent="0.2">
      <c r="C378" s="147"/>
      <c r="D378" s="147"/>
      <c r="E378" s="147"/>
      <c r="F378" s="147"/>
      <c r="G378" s="147"/>
    </row>
    <row r="379" spans="3:7" ht="14" x14ac:dyDescent="0.2">
      <c r="C379" s="147"/>
      <c r="D379" s="147"/>
      <c r="E379" s="147"/>
      <c r="F379" s="147"/>
      <c r="G379" s="147"/>
    </row>
    <row r="380" spans="3:7" ht="14" x14ac:dyDescent="0.2">
      <c r="C380" s="147"/>
      <c r="D380" s="147"/>
      <c r="E380" s="147"/>
      <c r="F380" s="147"/>
      <c r="G380" s="147"/>
    </row>
    <row r="381" spans="3:7" ht="14" x14ac:dyDescent="0.2">
      <c r="C381" s="147"/>
      <c r="D381" s="147"/>
      <c r="E381" s="147"/>
      <c r="F381" s="147"/>
      <c r="G381" s="147"/>
    </row>
    <row r="382" spans="3:7" ht="14" x14ac:dyDescent="0.2">
      <c r="C382" s="147"/>
      <c r="D382" s="147"/>
      <c r="E382" s="147"/>
      <c r="F382" s="147"/>
      <c r="G382" s="147"/>
    </row>
    <row r="383" spans="3:7" ht="14" x14ac:dyDescent="0.2">
      <c r="C383" s="147"/>
      <c r="D383" s="147"/>
      <c r="E383" s="147"/>
      <c r="F383" s="147"/>
      <c r="G383" s="147"/>
    </row>
    <row r="384" spans="3:7" ht="14" x14ac:dyDescent="0.2">
      <c r="C384" s="147"/>
      <c r="D384" s="147"/>
      <c r="E384" s="147"/>
      <c r="F384" s="147"/>
      <c r="G384" s="147"/>
    </row>
    <row r="385" spans="3:7" ht="14" x14ac:dyDescent="0.2">
      <c r="C385" s="147"/>
      <c r="D385" s="147"/>
      <c r="E385" s="147"/>
      <c r="F385" s="147"/>
      <c r="G385" s="147"/>
    </row>
    <row r="386" spans="3:7" ht="14" x14ac:dyDescent="0.2">
      <c r="C386" s="147"/>
      <c r="D386" s="147"/>
      <c r="E386" s="147"/>
      <c r="F386" s="147"/>
      <c r="G386" s="147"/>
    </row>
    <row r="387" spans="3:7" ht="14" x14ac:dyDescent="0.2">
      <c r="C387" s="147"/>
      <c r="D387" s="147"/>
      <c r="E387" s="147"/>
      <c r="F387" s="147"/>
      <c r="G387" s="147"/>
    </row>
    <row r="388" spans="3:7" ht="14" x14ac:dyDescent="0.2">
      <c r="C388" s="147"/>
      <c r="D388" s="147"/>
      <c r="E388" s="147"/>
      <c r="F388" s="147"/>
      <c r="G388" s="147"/>
    </row>
    <row r="389" spans="3:7" ht="14" x14ac:dyDescent="0.2">
      <c r="C389" s="147"/>
      <c r="D389" s="147"/>
      <c r="E389" s="147"/>
      <c r="F389" s="147"/>
      <c r="G389" s="147"/>
    </row>
    <row r="390" spans="3:7" ht="14" x14ac:dyDescent="0.2">
      <c r="C390" s="147"/>
      <c r="D390" s="147"/>
      <c r="E390" s="147"/>
      <c r="F390" s="147"/>
      <c r="G390" s="147"/>
    </row>
    <row r="391" spans="3:7" ht="14" x14ac:dyDescent="0.2">
      <c r="C391" s="147"/>
      <c r="D391" s="147"/>
      <c r="E391" s="147"/>
      <c r="F391" s="147"/>
      <c r="G391" s="147"/>
    </row>
    <row r="392" spans="3:7" ht="14" x14ac:dyDescent="0.2">
      <c r="C392" s="147"/>
      <c r="D392" s="147"/>
      <c r="E392" s="147"/>
      <c r="F392" s="147"/>
      <c r="G392" s="147"/>
    </row>
    <row r="393" spans="3:7" ht="14" x14ac:dyDescent="0.2">
      <c r="C393" s="147"/>
      <c r="D393" s="147"/>
      <c r="E393" s="147"/>
      <c r="F393" s="147"/>
      <c r="G393" s="147"/>
    </row>
    <row r="394" spans="3:7" ht="14" x14ac:dyDescent="0.2">
      <c r="C394" s="147"/>
      <c r="D394" s="147"/>
      <c r="E394" s="147"/>
      <c r="F394" s="147"/>
      <c r="G394" s="147"/>
    </row>
    <row r="395" spans="3:7" ht="14" x14ac:dyDescent="0.2">
      <c r="C395" s="147"/>
      <c r="D395" s="147"/>
      <c r="E395" s="147"/>
      <c r="F395" s="147"/>
      <c r="G395" s="147"/>
    </row>
    <row r="396" spans="3:7" ht="14" x14ac:dyDescent="0.2">
      <c r="C396" s="147"/>
      <c r="D396" s="147"/>
      <c r="E396" s="147"/>
      <c r="F396" s="147"/>
      <c r="G396" s="147"/>
    </row>
    <row r="397" spans="3:7" ht="14" x14ac:dyDescent="0.2">
      <c r="C397" s="147"/>
      <c r="D397" s="147"/>
      <c r="E397" s="147"/>
      <c r="F397" s="147"/>
      <c r="G397" s="147"/>
    </row>
    <row r="398" spans="3:7" ht="14" x14ac:dyDescent="0.2">
      <c r="C398" s="147"/>
      <c r="D398" s="147"/>
      <c r="E398" s="147"/>
      <c r="F398" s="147"/>
      <c r="G398" s="147"/>
    </row>
    <row r="399" spans="3:7" ht="14" x14ac:dyDescent="0.2">
      <c r="C399" s="147"/>
      <c r="D399" s="147"/>
      <c r="E399" s="147"/>
      <c r="F399" s="147"/>
      <c r="G399" s="147"/>
    </row>
    <row r="400" spans="3:7" ht="14" x14ac:dyDescent="0.2">
      <c r="C400" s="147"/>
      <c r="D400" s="147"/>
      <c r="E400" s="147"/>
      <c r="F400" s="147"/>
      <c r="G400" s="147"/>
    </row>
    <row r="401" spans="3:7" ht="14" x14ac:dyDescent="0.2">
      <c r="C401" s="147"/>
      <c r="D401" s="147"/>
      <c r="E401" s="147"/>
      <c r="F401" s="147"/>
      <c r="G401" s="147"/>
    </row>
    <row r="402" spans="3:7" ht="14" x14ac:dyDescent="0.2">
      <c r="C402" s="147"/>
      <c r="D402" s="147"/>
      <c r="E402" s="147"/>
      <c r="F402" s="147"/>
      <c r="G402" s="147"/>
    </row>
    <row r="403" spans="3:7" ht="14" x14ac:dyDescent="0.2">
      <c r="C403" s="147"/>
      <c r="D403" s="147"/>
      <c r="E403" s="147"/>
      <c r="F403" s="147"/>
      <c r="G403" s="147"/>
    </row>
    <row r="404" spans="3:7" ht="14" x14ac:dyDescent="0.2">
      <c r="C404" s="147"/>
      <c r="D404" s="147"/>
      <c r="E404" s="147"/>
      <c r="F404" s="147"/>
      <c r="G404" s="147"/>
    </row>
    <row r="405" spans="3:7" ht="14" x14ac:dyDescent="0.2">
      <c r="C405" s="147"/>
      <c r="D405" s="147"/>
      <c r="E405" s="147"/>
      <c r="F405" s="147"/>
      <c r="G405" s="147"/>
    </row>
    <row r="406" spans="3:7" ht="14" x14ac:dyDescent="0.2">
      <c r="C406" s="147"/>
      <c r="D406" s="147"/>
      <c r="E406" s="147"/>
      <c r="F406" s="147"/>
      <c r="G406" s="147"/>
    </row>
    <row r="407" spans="3:7" ht="14" x14ac:dyDescent="0.2">
      <c r="C407" s="147"/>
      <c r="D407" s="147"/>
      <c r="E407" s="147"/>
      <c r="F407" s="147"/>
      <c r="G407" s="147"/>
    </row>
    <row r="408" spans="3:7" ht="14" x14ac:dyDescent="0.2">
      <c r="C408" s="147"/>
      <c r="D408" s="147"/>
      <c r="E408" s="147"/>
      <c r="F408" s="147"/>
      <c r="G408" s="147"/>
    </row>
    <row r="409" spans="3:7" ht="14" x14ac:dyDescent="0.2">
      <c r="C409" s="147"/>
      <c r="D409" s="147"/>
      <c r="E409" s="147"/>
      <c r="F409" s="147"/>
      <c r="G409" s="147"/>
    </row>
    <row r="410" spans="3:7" ht="14" x14ac:dyDescent="0.2">
      <c r="C410" s="147"/>
      <c r="D410" s="147"/>
      <c r="E410" s="147"/>
      <c r="F410" s="147"/>
      <c r="G410" s="147"/>
    </row>
    <row r="411" spans="3:7" ht="14" x14ac:dyDescent="0.2">
      <c r="C411" s="147"/>
      <c r="D411" s="147"/>
      <c r="E411" s="147"/>
      <c r="F411" s="147"/>
      <c r="G411" s="147"/>
    </row>
    <row r="412" spans="3:7" ht="14" x14ac:dyDescent="0.2">
      <c r="C412" s="147"/>
      <c r="D412" s="147"/>
      <c r="E412" s="147"/>
      <c r="F412" s="147"/>
      <c r="G412" s="147"/>
    </row>
    <row r="413" spans="3:7" ht="14" x14ac:dyDescent="0.2">
      <c r="C413" s="147"/>
      <c r="D413" s="147"/>
      <c r="E413" s="147"/>
      <c r="F413" s="147"/>
      <c r="G413" s="147"/>
    </row>
    <row r="414" spans="3:7" ht="14" x14ac:dyDescent="0.2">
      <c r="C414" s="147"/>
      <c r="D414" s="147"/>
      <c r="E414" s="147"/>
      <c r="F414" s="147"/>
      <c r="G414" s="147"/>
    </row>
    <row r="415" spans="3:7" ht="14" x14ac:dyDescent="0.2">
      <c r="C415" s="147"/>
      <c r="D415" s="147"/>
      <c r="E415" s="147"/>
      <c r="F415" s="147"/>
      <c r="G415" s="147"/>
    </row>
    <row r="416" spans="3:7" ht="14" x14ac:dyDescent="0.2">
      <c r="C416" s="147"/>
      <c r="D416" s="147"/>
      <c r="E416" s="147"/>
      <c r="F416" s="147"/>
      <c r="G416" s="147"/>
    </row>
    <row r="417" spans="3:7" ht="14" x14ac:dyDescent="0.2">
      <c r="C417" s="147"/>
      <c r="D417" s="147"/>
      <c r="E417" s="147"/>
      <c r="F417" s="147"/>
      <c r="G417" s="147"/>
    </row>
    <row r="418" spans="3:7" ht="14" x14ac:dyDescent="0.2">
      <c r="C418" s="147"/>
      <c r="D418" s="147"/>
      <c r="E418" s="147"/>
      <c r="F418" s="147"/>
      <c r="G418" s="147"/>
    </row>
    <row r="419" spans="3:7" ht="14" x14ac:dyDescent="0.2">
      <c r="C419" s="147"/>
      <c r="D419" s="147"/>
      <c r="E419" s="147"/>
      <c r="F419" s="147"/>
      <c r="G419" s="147"/>
    </row>
    <row r="420" spans="3:7" ht="14" x14ac:dyDescent="0.2">
      <c r="C420" s="147"/>
      <c r="D420" s="147"/>
      <c r="E420" s="147"/>
      <c r="F420" s="147"/>
      <c r="G420" s="147"/>
    </row>
    <row r="421" spans="3:7" ht="14" x14ac:dyDescent="0.2">
      <c r="C421" s="147"/>
      <c r="D421" s="147"/>
      <c r="E421" s="147"/>
      <c r="F421" s="147"/>
      <c r="G421" s="147"/>
    </row>
    <row r="422" spans="3:7" ht="14" x14ac:dyDescent="0.2">
      <c r="C422" s="147"/>
      <c r="D422" s="147"/>
      <c r="E422" s="147"/>
      <c r="F422" s="147"/>
      <c r="G422" s="147"/>
    </row>
    <row r="423" spans="3:7" ht="14" x14ac:dyDescent="0.2">
      <c r="C423" s="147"/>
      <c r="D423" s="147"/>
      <c r="E423" s="147"/>
      <c r="F423" s="147"/>
      <c r="G423" s="147"/>
    </row>
    <row r="424" spans="3:7" ht="14" x14ac:dyDescent="0.2">
      <c r="C424" s="147"/>
      <c r="D424" s="147"/>
      <c r="E424" s="147"/>
      <c r="F424" s="147"/>
      <c r="G424" s="147"/>
    </row>
    <row r="425" spans="3:7" ht="14" x14ac:dyDescent="0.2">
      <c r="C425" s="147"/>
      <c r="D425" s="147"/>
      <c r="E425" s="147"/>
      <c r="F425" s="147"/>
      <c r="G425" s="147"/>
    </row>
    <row r="426" spans="3:7" ht="14" x14ac:dyDescent="0.2">
      <c r="C426" s="147"/>
      <c r="D426" s="147"/>
      <c r="E426" s="147"/>
      <c r="F426" s="147"/>
      <c r="G426" s="147"/>
    </row>
    <row r="427" spans="3:7" ht="14" x14ac:dyDescent="0.2">
      <c r="C427" s="147"/>
      <c r="D427" s="147"/>
      <c r="E427" s="147"/>
      <c r="F427" s="147"/>
      <c r="G427" s="147"/>
    </row>
    <row r="428" spans="3:7" ht="14" x14ac:dyDescent="0.2">
      <c r="C428" s="147"/>
      <c r="D428" s="147"/>
      <c r="E428" s="147"/>
      <c r="F428" s="147"/>
      <c r="G428" s="147"/>
    </row>
    <row r="429" spans="3:7" ht="14" x14ac:dyDescent="0.2">
      <c r="C429" s="147"/>
      <c r="D429" s="147"/>
      <c r="E429" s="147"/>
      <c r="F429" s="147"/>
      <c r="G429" s="147"/>
    </row>
    <row r="430" spans="3:7" ht="14" x14ac:dyDescent="0.2">
      <c r="C430" s="147"/>
      <c r="D430" s="147"/>
      <c r="E430" s="147"/>
      <c r="F430" s="147"/>
      <c r="G430" s="147"/>
    </row>
    <row r="431" spans="3:7" ht="14" x14ac:dyDescent="0.2">
      <c r="C431" s="147"/>
      <c r="D431" s="147"/>
      <c r="E431" s="147"/>
      <c r="F431" s="147"/>
      <c r="G431" s="147"/>
    </row>
    <row r="432" spans="3:7" ht="14" x14ac:dyDescent="0.2">
      <c r="C432" s="147"/>
      <c r="D432" s="147"/>
      <c r="E432" s="147"/>
      <c r="F432" s="147"/>
      <c r="G432" s="147"/>
    </row>
    <row r="433" spans="3:7" ht="14" x14ac:dyDescent="0.2">
      <c r="C433" s="147"/>
      <c r="D433" s="147"/>
      <c r="E433" s="147"/>
      <c r="F433" s="147"/>
      <c r="G433" s="147"/>
    </row>
    <row r="434" spans="3:7" ht="14" x14ac:dyDescent="0.2">
      <c r="C434" s="147"/>
      <c r="D434" s="147"/>
      <c r="E434" s="147"/>
      <c r="F434" s="147"/>
      <c r="G434" s="147"/>
    </row>
    <row r="435" spans="3:7" ht="14" x14ac:dyDescent="0.2">
      <c r="C435" s="147"/>
      <c r="D435" s="147"/>
      <c r="E435" s="147"/>
      <c r="F435" s="147"/>
      <c r="G435" s="147"/>
    </row>
    <row r="436" spans="3:7" ht="14" x14ac:dyDescent="0.2">
      <c r="C436" s="147"/>
      <c r="D436" s="147"/>
      <c r="E436" s="147"/>
      <c r="F436" s="147"/>
      <c r="G436" s="147"/>
    </row>
    <row r="437" spans="3:7" ht="14" x14ac:dyDescent="0.2">
      <c r="C437" s="147"/>
      <c r="D437" s="147"/>
      <c r="E437" s="147"/>
      <c r="F437" s="147"/>
      <c r="G437" s="147"/>
    </row>
    <row r="438" spans="3:7" ht="14" x14ac:dyDescent="0.2">
      <c r="C438" s="147"/>
      <c r="D438" s="147"/>
      <c r="E438" s="147"/>
      <c r="F438" s="147"/>
      <c r="G438" s="147"/>
    </row>
    <row r="439" spans="3:7" ht="14" x14ac:dyDescent="0.2">
      <c r="C439" s="147"/>
      <c r="D439" s="147"/>
      <c r="E439" s="147"/>
      <c r="F439" s="147"/>
      <c r="G439" s="147"/>
    </row>
    <row r="440" spans="3:7" ht="14" x14ac:dyDescent="0.2">
      <c r="C440" s="147"/>
      <c r="D440" s="147"/>
      <c r="E440" s="147"/>
      <c r="F440" s="147"/>
      <c r="G440" s="147"/>
    </row>
    <row r="441" spans="3:7" ht="14" x14ac:dyDescent="0.2">
      <c r="C441" s="147"/>
      <c r="D441" s="147"/>
      <c r="E441" s="147"/>
      <c r="F441" s="147"/>
      <c r="G441" s="147"/>
    </row>
    <row r="442" spans="3:7" ht="14" x14ac:dyDescent="0.2">
      <c r="C442" s="147"/>
      <c r="D442" s="147"/>
      <c r="E442" s="147"/>
      <c r="F442" s="147"/>
      <c r="G442" s="147"/>
    </row>
    <row r="443" spans="3:7" ht="14" x14ac:dyDescent="0.2">
      <c r="C443" s="147"/>
      <c r="D443" s="147"/>
      <c r="E443" s="147"/>
      <c r="F443" s="147"/>
      <c r="G443" s="147"/>
    </row>
    <row r="444" spans="3:7" ht="14" x14ac:dyDescent="0.2">
      <c r="C444" s="147"/>
      <c r="D444" s="147"/>
      <c r="E444" s="147"/>
      <c r="F444" s="147"/>
      <c r="G444" s="147"/>
    </row>
    <row r="445" spans="3:7" ht="14" x14ac:dyDescent="0.2">
      <c r="C445" s="147"/>
      <c r="D445" s="147"/>
      <c r="E445" s="147"/>
      <c r="F445" s="147"/>
      <c r="G445" s="147"/>
    </row>
    <row r="446" spans="3:7" ht="14" x14ac:dyDescent="0.2">
      <c r="C446" s="147"/>
      <c r="D446" s="147"/>
      <c r="E446" s="147"/>
      <c r="F446" s="147"/>
      <c r="G446" s="147"/>
    </row>
    <row r="447" spans="3:7" ht="14" x14ac:dyDescent="0.2">
      <c r="C447" s="147"/>
      <c r="D447" s="147"/>
      <c r="E447" s="147"/>
      <c r="F447" s="147"/>
      <c r="G447" s="147"/>
    </row>
    <row r="448" spans="3:7" ht="14" x14ac:dyDescent="0.2">
      <c r="C448" s="147"/>
      <c r="D448" s="147"/>
      <c r="E448" s="147"/>
      <c r="F448" s="147"/>
      <c r="G448" s="147"/>
    </row>
    <row r="449" spans="3:7" ht="14" x14ac:dyDescent="0.2">
      <c r="C449" s="147"/>
      <c r="D449" s="147"/>
      <c r="E449" s="147"/>
      <c r="F449" s="147"/>
      <c r="G449" s="147"/>
    </row>
    <row r="450" spans="3:7" ht="14" x14ac:dyDescent="0.2">
      <c r="C450" s="147"/>
      <c r="D450" s="147"/>
      <c r="E450" s="147"/>
      <c r="F450" s="147"/>
      <c r="G450" s="147"/>
    </row>
    <row r="451" spans="3:7" ht="14" x14ac:dyDescent="0.2">
      <c r="C451" s="147"/>
      <c r="D451" s="147"/>
      <c r="E451" s="147"/>
      <c r="F451" s="147"/>
      <c r="G451" s="147"/>
    </row>
    <row r="452" spans="3:7" ht="14" x14ac:dyDescent="0.2">
      <c r="C452" s="147"/>
      <c r="D452" s="147"/>
      <c r="E452" s="147"/>
      <c r="F452" s="147"/>
      <c r="G452" s="147"/>
    </row>
    <row r="453" spans="3:7" ht="14" x14ac:dyDescent="0.2">
      <c r="C453" s="147"/>
      <c r="D453" s="147"/>
      <c r="E453" s="147"/>
      <c r="F453" s="147"/>
      <c r="G453" s="147"/>
    </row>
    <row r="454" spans="3:7" ht="14" x14ac:dyDescent="0.2">
      <c r="C454" s="147"/>
      <c r="D454" s="147"/>
      <c r="E454" s="147"/>
      <c r="F454" s="147"/>
      <c r="G454" s="147"/>
    </row>
    <row r="455" spans="3:7" ht="14" x14ac:dyDescent="0.2">
      <c r="C455" s="147"/>
      <c r="D455" s="147"/>
      <c r="E455" s="147"/>
      <c r="F455" s="147"/>
      <c r="G455" s="147"/>
    </row>
    <row r="456" spans="3:7" ht="14" x14ac:dyDescent="0.2">
      <c r="C456" s="147"/>
      <c r="D456" s="147"/>
      <c r="E456" s="147"/>
      <c r="F456" s="147"/>
      <c r="G456" s="147"/>
    </row>
    <row r="457" spans="3:7" ht="14" x14ac:dyDescent="0.2">
      <c r="C457" s="147"/>
      <c r="D457" s="147"/>
      <c r="E457" s="147"/>
      <c r="F457" s="147"/>
      <c r="G457" s="147"/>
    </row>
    <row r="458" spans="3:7" ht="14" x14ac:dyDescent="0.2">
      <c r="C458" s="147"/>
      <c r="D458" s="147"/>
      <c r="E458" s="147"/>
      <c r="F458" s="147"/>
      <c r="G458" s="147"/>
    </row>
    <row r="459" spans="3:7" ht="14" x14ac:dyDescent="0.2">
      <c r="C459" s="147"/>
      <c r="D459" s="147"/>
      <c r="E459" s="147"/>
      <c r="F459" s="147"/>
      <c r="G459" s="147"/>
    </row>
    <row r="460" spans="3:7" ht="14" x14ac:dyDescent="0.2">
      <c r="C460" s="147"/>
      <c r="D460" s="147"/>
      <c r="E460" s="147"/>
      <c r="F460" s="147"/>
      <c r="G460" s="147"/>
    </row>
    <row r="461" spans="3:7" ht="14" x14ac:dyDescent="0.2">
      <c r="C461" s="147"/>
      <c r="D461" s="147"/>
      <c r="E461" s="147"/>
      <c r="F461" s="147"/>
      <c r="G461" s="147"/>
    </row>
    <row r="462" spans="3:7" ht="14" x14ac:dyDescent="0.2">
      <c r="C462" s="147"/>
      <c r="D462" s="147"/>
      <c r="E462" s="147"/>
      <c r="F462" s="147"/>
      <c r="G462" s="147"/>
    </row>
    <row r="463" spans="3:7" ht="14" x14ac:dyDescent="0.2">
      <c r="C463" s="147"/>
      <c r="D463" s="147"/>
      <c r="E463" s="147"/>
      <c r="F463" s="147"/>
      <c r="G463" s="147"/>
    </row>
    <row r="464" spans="3:7" ht="14" x14ac:dyDescent="0.2">
      <c r="C464" s="147"/>
      <c r="D464" s="147"/>
      <c r="E464" s="147"/>
      <c r="F464" s="147"/>
      <c r="G464" s="147"/>
    </row>
    <row r="465" spans="3:7" ht="14" x14ac:dyDescent="0.2">
      <c r="C465" s="147"/>
      <c r="D465" s="147"/>
      <c r="E465" s="147"/>
      <c r="F465" s="147"/>
      <c r="G465" s="147"/>
    </row>
    <row r="466" spans="3:7" ht="14" x14ac:dyDescent="0.2">
      <c r="C466" s="147"/>
      <c r="D466" s="147"/>
      <c r="E466" s="147"/>
      <c r="F466" s="147"/>
      <c r="G466" s="147"/>
    </row>
    <row r="467" spans="3:7" ht="14" x14ac:dyDescent="0.2">
      <c r="C467" s="147"/>
      <c r="D467" s="147"/>
      <c r="E467" s="147"/>
      <c r="F467" s="147"/>
      <c r="G467" s="147"/>
    </row>
    <row r="468" spans="3:7" ht="14" x14ac:dyDescent="0.2">
      <c r="C468" s="147"/>
      <c r="D468" s="147"/>
      <c r="E468" s="147"/>
      <c r="F468" s="147"/>
      <c r="G468" s="147"/>
    </row>
    <row r="469" spans="3:7" ht="14" x14ac:dyDescent="0.2">
      <c r="C469" s="147"/>
      <c r="D469" s="147"/>
      <c r="E469" s="147"/>
      <c r="F469" s="147"/>
      <c r="G469" s="147"/>
    </row>
    <row r="470" spans="3:7" ht="14" x14ac:dyDescent="0.2">
      <c r="C470" s="147"/>
      <c r="D470" s="147"/>
      <c r="E470" s="147"/>
      <c r="F470" s="147"/>
      <c r="G470" s="147"/>
    </row>
    <row r="471" spans="3:7" ht="14" x14ac:dyDescent="0.2">
      <c r="C471" s="147"/>
      <c r="D471" s="147"/>
      <c r="E471" s="147"/>
      <c r="F471" s="147"/>
      <c r="G471" s="147"/>
    </row>
    <row r="472" spans="3:7" ht="14" x14ac:dyDescent="0.2">
      <c r="C472" s="147"/>
      <c r="D472" s="147"/>
      <c r="E472" s="147"/>
      <c r="F472" s="147"/>
      <c r="G472" s="147"/>
    </row>
    <row r="473" spans="3:7" ht="14" x14ac:dyDescent="0.2">
      <c r="C473" s="147"/>
      <c r="D473" s="147"/>
      <c r="E473" s="147"/>
      <c r="F473" s="147"/>
      <c r="G473" s="147"/>
    </row>
    <row r="474" spans="3:7" ht="14" x14ac:dyDescent="0.2">
      <c r="C474" s="147"/>
      <c r="D474" s="147"/>
      <c r="E474" s="147"/>
      <c r="F474" s="147"/>
      <c r="G474" s="147"/>
    </row>
    <row r="475" spans="3:7" ht="14" x14ac:dyDescent="0.2">
      <c r="C475" s="147"/>
      <c r="D475" s="147"/>
      <c r="E475" s="147"/>
      <c r="F475" s="147"/>
      <c r="G475" s="147"/>
    </row>
    <row r="476" spans="3:7" ht="14" x14ac:dyDescent="0.2">
      <c r="C476" s="147"/>
      <c r="D476" s="147"/>
      <c r="E476" s="147"/>
      <c r="F476" s="147"/>
      <c r="G476" s="147"/>
    </row>
    <row r="477" spans="3:7" ht="14" x14ac:dyDescent="0.2">
      <c r="C477" s="147"/>
      <c r="D477" s="147"/>
      <c r="E477" s="147"/>
      <c r="F477" s="147"/>
      <c r="G477" s="147"/>
    </row>
    <row r="478" spans="3:7" ht="14" x14ac:dyDescent="0.2">
      <c r="C478" s="147"/>
      <c r="D478" s="147"/>
      <c r="E478" s="147"/>
      <c r="F478" s="147"/>
      <c r="G478" s="147"/>
    </row>
    <row r="479" spans="3:7" ht="14" x14ac:dyDescent="0.2">
      <c r="C479" s="147"/>
      <c r="D479" s="147"/>
      <c r="E479" s="147"/>
      <c r="F479" s="147"/>
      <c r="G479" s="147"/>
    </row>
    <row r="480" spans="3:7" ht="14" x14ac:dyDescent="0.2">
      <c r="C480" s="147"/>
      <c r="D480" s="147"/>
      <c r="E480" s="147"/>
      <c r="F480" s="147"/>
      <c r="G480" s="147"/>
    </row>
    <row r="481" spans="3:7" ht="14" x14ac:dyDescent="0.2">
      <c r="C481" s="147"/>
      <c r="D481" s="147"/>
      <c r="E481" s="147"/>
      <c r="F481" s="147"/>
      <c r="G481" s="147"/>
    </row>
    <row r="482" spans="3:7" ht="14" x14ac:dyDescent="0.2">
      <c r="C482" s="147"/>
      <c r="D482" s="147"/>
      <c r="E482" s="147"/>
      <c r="F482" s="147"/>
      <c r="G482" s="147"/>
    </row>
    <row r="483" spans="3:7" ht="14" x14ac:dyDescent="0.2">
      <c r="C483" s="147"/>
      <c r="D483" s="147"/>
      <c r="E483" s="147"/>
      <c r="F483" s="147"/>
      <c r="G483" s="147"/>
    </row>
    <row r="484" spans="3:7" ht="14" x14ac:dyDescent="0.2">
      <c r="C484" s="147"/>
      <c r="D484" s="147"/>
      <c r="E484" s="147"/>
      <c r="F484" s="147"/>
      <c r="G484" s="147"/>
    </row>
    <row r="485" spans="3:7" ht="14" x14ac:dyDescent="0.2">
      <c r="C485" s="147"/>
      <c r="D485" s="147"/>
      <c r="E485" s="147"/>
      <c r="F485" s="147"/>
      <c r="G485" s="147"/>
    </row>
    <row r="486" spans="3:7" ht="14" x14ac:dyDescent="0.2">
      <c r="C486" s="147"/>
      <c r="D486" s="147"/>
      <c r="E486" s="147"/>
      <c r="F486" s="147"/>
      <c r="G486" s="147"/>
    </row>
    <row r="487" spans="3:7" ht="14" x14ac:dyDescent="0.2">
      <c r="C487" s="147"/>
      <c r="D487" s="147"/>
      <c r="E487" s="147"/>
      <c r="F487" s="147"/>
      <c r="G487" s="147"/>
    </row>
    <row r="488" spans="3:7" ht="14" x14ac:dyDescent="0.2">
      <c r="C488" s="147"/>
      <c r="D488" s="147"/>
      <c r="E488" s="147"/>
      <c r="F488" s="147"/>
      <c r="G488" s="147"/>
    </row>
    <row r="489" spans="3:7" ht="14" x14ac:dyDescent="0.2">
      <c r="C489" s="147"/>
      <c r="D489" s="147"/>
      <c r="E489" s="147"/>
      <c r="F489" s="147"/>
      <c r="G489" s="147"/>
    </row>
    <row r="490" spans="3:7" ht="14" x14ac:dyDescent="0.2">
      <c r="C490" s="147"/>
      <c r="D490" s="147"/>
      <c r="E490" s="147"/>
      <c r="F490" s="147"/>
      <c r="G490" s="147"/>
    </row>
    <row r="491" spans="3:7" ht="14" x14ac:dyDescent="0.2">
      <c r="C491" s="147"/>
      <c r="D491" s="147"/>
      <c r="E491" s="147"/>
      <c r="F491" s="147"/>
      <c r="G491" s="147"/>
    </row>
    <row r="492" spans="3:7" ht="14" x14ac:dyDescent="0.2">
      <c r="C492" s="147"/>
      <c r="D492" s="147"/>
      <c r="E492" s="147"/>
      <c r="F492" s="147"/>
      <c r="G492" s="147"/>
    </row>
    <row r="493" spans="3:7" ht="14" x14ac:dyDescent="0.2">
      <c r="C493" s="147"/>
      <c r="D493" s="147"/>
      <c r="E493" s="147"/>
      <c r="F493" s="147"/>
      <c r="G493" s="147"/>
    </row>
    <row r="494" spans="3:7" ht="14" x14ac:dyDescent="0.2">
      <c r="C494" s="147"/>
      <c r="D494" s="147"/>
      <c r="E494" s="147"/>
      <c r="F494" s="147"/>
      <c r="G494" s="147"/>
    </row>
    <row r="495" spans="3:7" ht="14" x14ac:dyDescent="0.2">
      <c r="C495" s="147"/>
      <c r="D495" s="147"/>
      <c r="E495" s="147"/>
      <c r="F495" s="147"/>
      <c r="G495" s="147"/>
    </row>
    <row r="496" spans="3:7" ht="14" x14ac:dyDescent="0.2">
      <c r="C496" s="147"/>
      <c r="D496" s="147"/>
      <c r="E496" s="147"/>
      <c r="F496" s="147"/>
      <c r="G496" s="147"/>
    </row>
    <row r="497" spans="3:7" ht="14" x14ac:dyDescent="0.2">
      <c r="C497" s="147"/>
      <c r="D497" s="147"/>
      <c r="E497" s="147"/>
      <c r="F497" s="147"/>
      <c r="G497" s="147"/>
    </row>
    <row r="498" spans="3:7" ht="14" x14ac:dyDescent="0.2">
      <c r="C498" s="147"/>
      <c r="D498" s="147"/>
      <c r="E498" s="147"/>
      <c r="F498" s="147"/>
      <c r="G498" s="147"/>
    </row>
    <row r="499" spans="3:7" ht="14" x14ac:dyDescent="0.2">
      <c r="C499" s="147"/>
      <c r="D499" s="147"/>
      <c r="E499" s="147"/>
      <c r="F499" s="147"/>
      <c r="G499" s="147"/>
    </row>
    <row r="500" spans="3:7" ht="14" x14ac:dyDescent="0.2">
      <c r="C500" s="147"/>
      <c r="D500" s="147"/>
      <c r="E500" s="147"/>
      <c r="F500" s="147"/>
      <c r="G500" s="147"/>
    </row>
    <row r="501" spans="3:7" ht="14" x14ac:dyDescent="0.2">
      <c r="C501" s="147"/>
      <c r="D501" s="147"/>
      <c r="E501" s="147"/>
      <c r="F501" s="147"/>
      <c r="G501" s="147"/>
    </row>
    <row r="502" spans="3:7" ht="14" x14ac:dyDescent="0.2">
      <c r="C502" s="147"/>
      <c r="D502" s="147"/>
      <c r="E502" s="147"/>
      <c r="F502" s="147"/>
      <c r="G502" s="147"/>
    </row>
    <row r="503" spans="3:7" ht="14" x14ac:dyDescent="0.2">
      <c r="C503" s="147"/>
      <c r="D503" s="147"/>
      <c r="E503" s="147"/>
      <c r="F503" s="147"/>
      <c r="G503" s="147"/>
    </row>
    <row r="504" spans="3:7" ht="14" x14ac:dyDescent="0.2">
      <c r="C504" s="147"/>
      <c r="D504" s="147"/>
      <c r="E504" s="147"/>
      <c r="F504" s="147"/>
      <c r="G504" s="147"/>
    </row>
    <row r="505" spans="3:7" ht="14" x14ac:dyDescent="0.2">
      <c r="C505" s="147"/>
      <c r="D505" s="147"/>
      <c r="E505" s="147"/>
      <c r="F505" s="147"/>
      <c r="G505" s="147"/>
    </row>
    <row r="506" spans="3:7" ht="14" x14ac:dyDescent="0.2">
      <c r="C506" s="147"/>
      <c r="D506" s="147"/>
      <c r="E506" s="147"/>
      <c r="F506" s="147"/>
      <c r="G506" s="147"/>
    </row>
    <row r="507" spans="3:7" ht="14" x14ac:dyDescent="0.2">
      <c r="C507" s="147"/>
      <c r="D507" s="147"/>
      <c r="E507" s="147"/>
      <c r="F507" s="147"/>
      <c r="G507" s="147"/>
    </row>
    <row r="508" spans="3:7" ht="14" x14ac:dyDescent="0.2">
      <c r="C508" s="147"/>
      <c r="D508" s="147"/>
      <c r="E508" s="147"/>
      <c r="F508" s="147"/>
      <c r="G508" s="147"/>
    </row>
    <row r="509" spans="3:7" ht="14" x14ac:dyDescent="0.2">
      <c r="C509" s="147"/>
      <c r="D509" s="147"/>
      <c r="E509" s="147"/>
      <c r="F509" s="147"/>
      <c r="G509" s="147"/>
    </row>
    <row r="510" spans="3:7" ht="14" x14ac:dyDescent="0.2">
      <c r="C510" s="147"/>
      <c r="D510" s="147"/>
      <c r="E510" s="147"/>
      <c r="F510" s="147"/>
      <c r="G510" s="147"/>
    </row>
    <row r="511" spans="3:7" ht="14" x14ac:dyDescent="0.2">
      <c r="C511" s="147"/>
      <c r="D511" s="147"/>
      <c r="E511" s="147"/>
      <c r="F511" s="147"/>
      <c r="G511" s="147"/>
    </row>
    <row r="512" spans="3:7" ht="14" x14ac:dyDescent="0.2">
      <c r="C512" s="147"/>
      <c r="D512" s="147"/>
      <c r="E512" s="147"/>
      <c r="F512" s="147"/>
      <c r="G512" s="147"/>
    </row>
    <row r="513" spans="3:7" ht="14" x14ac:dyDescent="0.2">
      <c r="C513" s="147"/>
      <c r="D513" s="147"/>
      <c r="E513" s="147"/>
      <c r="F513" s="147"/>
      <c r="G513" s="147"/>
    </row>
    <row r="514" spans="3:7" ht="14" x14ac:dyDescent="0.2">
      <c r="C514" s="147"/>
      <c r="D514" s="147"/>
      <c r="E514" s="147"/>
      <c r="F514" s="147"/>
      <c r="G514" s="147"/>
    </row>
    <row r="515" spans="3:7" ht="14" x14ac:dyDescent="0.2">
      <c r="C515" s="147"/>
      <c r="D515" s="147"/>
      <c r="E515" s="147"/>
      <c r="F515" s="147"/>
      <c r="G515" s="147"/>
    </row>
    <row r="516" spans="3:7" ht="14" x14ac:dyDescent="0.2">
      <c r="C516" s="147"/>
      <c r="D516" s="147"/>
      <c r="E516" s="147"/>
      <c r="F516" s="147"/>
      <c r="G516" s="147"/>
    </row>
    <row r="517" spans="3:7" ht="14" x14ac:dyDescent="0.2">
      <c r="C517" s="147"/>
      <c r="D517" s="147"/>
      <c r="E517" s="147"/>
      <c r="F517" s="147"/>
      <c r="G517" s="147"/>
    </row>
    <row r="518" spans="3:7" ht="14" x14ac:dyDescent="0.2">
      <c r="C518" s="147"/>
      <c r="D518" s="147"/>
      <c r="E518" s="147"/>
      <c r="F518" s="147"/>
      <c r="G518" s="147"/>
    </row>
    <row r="519" spans="3:7" ht="14" x14ac:dyDescent="0.2">
      <c r="C519" s="147"/>
      <c r="D519" s="147"/>
      <c r="E519" s="147"/>
      <c r="F519" s="147"/>
      <c r="G519" s="147"/>
    </row>
    <row r="520" spans="3:7" ht="14" x14ac:dyDescent="0.2">
      <c r="C520" s="147"/>
      <c r="D520" s="147"/>
      <c r="E520" s="147"/>
      <c r="F520" s="147"/>
      <c r="G520" s="147"/>
    </row>
    <row r="521" spans="3:7" ht="14" x14ac:dyDescent="0.2">
      <c r="C521" s="147"/>
      <c r="D521" s="147"/>
      <c r="E521" s="147"/>
      <c r="F521" s="147"/>
      <c r="G521" s="147"/>
    </row>
    <row r="522" spans="3:7" ht="14" x14ac:dyDescent="0.2">
      <c r="C522" s="147"/>
      <c r="D522" s="147"/>
      <c r="E522" s="147"/>
      <c r="F522" s="147"/>
      <c r="G522" s="147"/>
    </row>
    <row r="523" spans="3:7" ht="14" x14ac:dyDescent="0.2">
      <c r="C523" s="147"/>
      <c r="D523" s="147"/>
      <c r="E523" s="147"/>
      <c r="F523" s="147"/>
      <c r="G523" s="147"/>
    </row>
    <row r="524" spans="3:7" ht="14" x14ac:dyDescent="0.2">
      <c r="C524" s="147"/>
      <c r="D524" s="147"/>
      <c r="E524" s="147"/>
      <c r="F524" s="147"/>
      <c r="G524" s="147"/>
    </row>
    <row r="525" spans="3:7" ht="14" x14ac:dyDescent="0.2">
      <c r="C525" s="147"/>
      <c r="D525" s="147"/>
      <c r="E525" s="147"/>
      <c r="F525" s="147"/>
      <c r="G525" s="147"/>
    </row>
    <row r="526" spans="3:7" ht="14" x14ac:dyDescent="0.2">
      <c r="C526" s="147"/>
      <c r="D526" s="147"/>
      <c r="E526" s="147"/>
      <c r="F526" s="147"/>
      <c r="G526" s="147"/>
    </row>
    <row r="527" spans="3:7" ht="14" x14ac:dyDescent="0.2">
      <c r="C527" s="147"/>
      <c r="D527" s="147"/>
      <c r="E527" s="147"/>
      <c r="F527" s="147"/>
      <c r="G527" s="147"/>
    </row>
    <row r="528" spans="3:7" ht="14" x14ac:dyDescent="0.2">
      <c r="C528" s="147"/>
      <c r="D528" s="147"/>
      <c r="E528" s="147"/>
      <c r="F528" s="147"/>
      <c r="G528" s="147"/>
    </row>
    <row r="529" spans="3:7" ht="14" x14ac:dyDescent="0.2">
      <c r="C529" s="147"/>
      <c r="D529" s="147"/>
      <c r="E529" s="147"/>
      <c r="F529" s="147"/>
      <c r="G529" s="147"/>
    </row>
    <row r="530" spans="3:7" ht="14" x14ac:dyDescent="0.2">
      <c r="C530" s="147"/>
      <c r="D530" s="147"/>
      <c r="E530" s="147"/>
      <c r="F530" s="147"/>
      <c r="G530" s="147"/>
    </row>
    <row r="531" spans="3:7" ht="14" x14ac:dyDescent="0.2">
      <c r="C531" s="147"/>
      <c r="D531" s="147"/>
      <c r="E531" s="147"/>
      <c r="F531" s="147"/>
      <c r="G531" s="147"/>
    </row>
    <row r="532" spans="3:7" ht="14" x14ac:dyDescent="0.2">
      <c r="C532" s="147"/>
      <c r="D532" s="147"/>
      <c r="E532" s="147"/>
      <c r="F532" s="147"/>
      <c r="G532" s="147"/>
    </row>
    <row r="533" spans="3:7" ht="14" x14ac:dyDescent="0.2">
      <c r="C533" s="147"/>
      <c r="D533" s="147"/>
      <c r="E533" s="147"/>
      <c r="F533" s="147"/>
      <c r="G533" s="147"/>
    </row>
    <row r="534" spans="3:7" ht="14" x14ac:dyDescent="0.2">
      <c r="C534" s="147"/>
      <c r="D534" s="147"/>
      <c r="E534" s="147"/>
      <c r="F534" s="147"/>
      <c r="G534" s="147"/>
    </row>
    <row r="535" spans="3:7" ht="14" x14ac:dyDescent="0.2">
      <c r="C535" s="147"/>
      <c r="D535" s="147"/>
      <c r="E535" s="147"/>
      <c r="F535" s="147"/>
      <c r="G535" s="147"/>
    </row>
    <row r="536" spans="3:7" ht="14" x14ac:dyDescent="0.2">
      <c r="C536" s="147"/>
      <c r="D536" s="147"/>
      <c r="E536" s="147"/>
      <c r="F536" s="147"/>
      <c r="G536" s="147"/>
    </row>
    <row r="537" spans="3:7" ht="14" x14ac:dyDescent="0.2">
      <c r="C537" s="147"/>
      <c r="D537" s="147"/>
      <c r="E537" s="147"/>
      <c r="F537" s="147"/>
      <c r="G537" s="147"/>
    </row>
    <row r="538" spans="3:7" ht="14" x14ac:dyDescent="0.2">
      <c r="C538" s="147"/>
      <c r="D538" s="147"/>
      <c r="E538" s="147"/>
      <c r="F538" s="147"/>
      <c r="G538" s="147"/>
    </row>
    <row r="539" spans="3:7" ht="14" x14ac:dyDescent="0.2">
      <c r="C539" s="147"/>
      <c r="D539" s="147"/>
      <c r="E539" s="147"/>
      <c r="F539" s="147"/>
      <c r="G539" s="147"/>
    </row>
    <row r="540" spans="3:7" ht="14" x14ac:dyDescent="0.2">
      <c r="C540" s="147"/>
      <c r="D540" s="147"/>
      <c r="E540" s="147"/>
      <c r="F540" s="147"/>
      <c r="G540" s="147"/>
    </row>
    <row r="541" spans="3:7" ht="14" x14ac:dyDescent="0.2">
      <c r="C541" s="147"/>
      <c r="D541" s="147"/>
      <c r="E541" s="147"/>
      <c r="F541" s="147"/>
      <c r="G541" s="147"/>
    </row>
    <row r="542" spans="3:7" ht="14" x14ac:dyDescent="0.2">
      <c r="C542" s="147"/>
      <c r="D542" s="147"/>
      <c r="E542" s="147"/>
      <c r="F542" s="147"/>
      <c r="G542" s="147"/>
    </row>
    <row r="543" spans="3:7" ht="14" x14ac:dyDescent="0.2">
      <c r="C543" s="147"/>
      <c r="D543" s="147"/>
      <c r="E543" s="147"/>
      <c r="F543" s="147"/>
      <c r="G543" s="147"/>
    </row>
    <row r="544" spans="3:7" ht="14" x14ac:dyDescent="0.2">
      <c r="C544" s="147"/>
      <c r="D544" s="147"/>
      <c r="E544" s="147"/>
      <c r="F544" s="147"/>
      <c r="G544" s="147"/>
    </row>
    <row r="545" spans="3:7" ht="14" x14ac:dyDescent="0.2">
      <c r="C545" s="147"/>
      <c r="D545" s="147"/>
      <c r="E545" s="147"/>
      <c r="F545" s="147"/>
      <c r="G545" s="147"/>
    </row>
    <row r="546" spans="3:7" ht="14" x14ac:dyDescent="0.2">
      <c r="C546" s="147"/>
      <c r="D546" s="147"/>
      <c r="E546" s="147"/>
      <c r="F546" s="147"/>
      <c r="G546" s="147"/>
    </row>
    <row r="547" spans="3:7" ht="14" x14ac:dyDescent="0.2">
      <c r="C547" s="147"/>
      <c r="D547" s="147"/>
      <c r="E547" s="147"/>
      <c r="F547" s="147"/>
      <c r="G547" s="147"/>
    </row>
    <row r="548" spans="3:7" ht="14" x14ac:dyDescent="0.2">
      <c r="C548" s="147"/>
      <c r="D548" s="147"/>
      <c r="E548" s="147"/>
      <c r="F548" s="147"/>
      <c r="G548" s="147"/>
    </row>
    <row r="549" spans="3:7" ht="14" x14ac:dyDescent="0.2">
      <c r="C549" s="147"/>
      <c r="D549" s="147"/>
      <c r="E549" s="147"/>
      <c r="F549" s="147"/>
      <c r="G549" s="147"/>
    </row>
    <row r="550" spans="3:7" ht="14" x14ac:dyDescent="0.2">
      <c r="C550" s="147"/>
      <c r="D550" s="147"/>
      <c r="E550" s="147"/>
      <c r="F550" s="147"/>
      <c r="G550" s="147"/>
    </row>
    <row r="551" spans="3:7" ht="14" x14ac:dyDescent="0.2">
      <c r="C551" s="147"/>
      <c r="D551" s="147"/>
      <c r="E551" s="147"/>
      <c r="F551" s="147"/>
      <c r="G551" s="147"/>
    </row>
    <row r="552" spans="3:7" ht="14" x14ac:dyDescent="0.2">
      <c r="C552" s="147"/>
      <c r="D552" s="147"/>
      <c r="E552" s="147"/>
      <c r="F552" s="147"/>
      <c r="G552" s="147"/>
    </row>
    <row r="553" spans="3:7" ht="14" x14ac:dyDescent="0.2">
      <c r="C553" s="147"/>
      <c r="D553" s="147"/>
      <c r="E553" s="147"/>
      <c r="F553" s="147"/>
      <c r="G553" s="147"/>
    </row>
    <row r="554" spans="3:7" ht="14" x14ac:dyDescent="0.2">
      <c r="C554" s="147"/>
      <c r="D554" s="147"/>
      <c r="E554" s="147"/>
      <c r="F554" s="147"/>
      <c r="G554" s="147"/>
    </row>
    <row r="555" spans="3:7" ht="14" x14ac:dyDescent="0.2">
      <c r="C555" s="147"/>
      <c r="D555" s="147"/>
      <c r="E555" s="147"/>
      <c r="F555" s="147"/>
      <c r="G555" s="147"/>
    </row>
    <row r="556" spans="3:7" ht="14" x14ac:dyDescent="0.2">
      <c r="C556" s="147"/>
      <c r="D556" s="147"/>
      <c r="E556" s="147"/>
      <c r="F556" s="147"/>
      <c r="G556" s="147"/>
    </row>
    <row r="557" spans="3:7" ht="14" x14ac:dyDescent="0.2">
      <c r="C557" s="147"/>
      <c r="D557" s="147"/>
      <c r="E557" s="147"/>
      <c r="F557" s="147"/>
      <c r="G557" s="147"/>
    </row>
    <row r="558" spans="3:7" ht="14" x14ac:dyDescent="0.2">
      <c r="C558" s="147"/>
      <c r="D558" s="147"/>
      <c r="E558" s="147"/>
      <c r="F558" s="147"/>
      <c r="G558" s="147"/>
    </row>
    <row r="559" spans="3:7" ht="14" x14ac:dyDescent="0.2">
      <c r="C559" s="147"/>
      <c r="D559" s="147"/>
      <c r="E559" s="147"/>
      <c r="F559" s="147"/>
      <c r="G559" s="147"/>
    </row>
    <row r="560" spans="3:7" ht="14" x14ac:dyDescent="0.2">
      <c r="C560" s="147"/>
      <c r="D560" s="147"/>
      <c r="E560" s="147"/>
      <c r="F560" s="147"/>
      <c r="G560" s="147"/>
    </row>
    <row r="561" spans="3:7" ht="14" x14ac:dyDescent="0.2">
      <c r="C561" s="147"/>
      <c r="D561" s="147"/>
      <c r="E561" s="147"/>
      <c r="F561" s="147"/>
      <c r="G561" s="147"/>
    </row>
    <row r="562" spans="3:7" ht="14" x14ac:dyDescent="0.2">
      <c r="C562" s="147"/>
      <c r="D562" s="147"/>
      <c r="E562" s="147"/>
      <c r="F562" s="147"/>
      <c r="G562" s="147"/>
    </row>
    <row r="563" spans="3:7" ht="14" x14ac:dyDescent="0.2">
      <c r="C563" s="147"/>
      <c r="D563" s="147"/>
      <c r="E563" s="147"/>
      <c r="F563" s="147"/>
      <c r="G563" s="147"/>
    </row>
    <row r="564" spans="3:7" ht="14" x14ac:dyDescent="0.2">
      <c r="C564" s="147"/>
      <c r="D564" s="147"/>
      <c r="E564" s="147"/>
      <c r="F564" s="147"/>
      <c r="G564" s="147"/>
    </row>
    <row r="565" spans="3:7" ht="14" x14ac:dyDescent="0.2">
      <c r="C565" s="147"/>
      <c r="D565" s="147"/>
      <c r="E565" s="147"/>
      <c r="F565" s="147"/>
      <c r="G565" s="147"/>
    </row>
    <row r="566" spans="3:7" ht="14" x14ac:dyDescent="0.2">
      <c r="C566" s="147"/>
      <c r="D566" s="147"/>
      <c r="E566" s="147"/>
      <c r="F566" s="147"/>
      <c r="G566" s="147"/>
    </row>
    <row r="567" spans="3:7" ht="14" x14ac:dyDescent="0.2">
      <c r="C567" s="147"/>
      <c r="D567" s="147"/>
      <c r="E567" s="147"/>
      <c r="F567" s="147"/>
      <c r="G567" s="147"/>
    </row>
    <row r="568" spans="3:7" ht="14" x14ac:dyDescent="0.2">
      <c r="C568" s="147"/>
      <c r="D568" s="147"/>
      <c r="E568" s="147"/>
      <c r="F568" s="147"/>
      <c r="G568" s="147"/>
    </row>
    <row r="569" spans="3:7" ht="14" x14ac:dyDescent="0.2">
      <c r="C569" s="147"/>
      <c r="D569" s="147"/>
      <c r="E569" s="147"/>
      <c r="F569" s="147"/>
      <c r="G569" s="147"/>
    </row>
    <row r="570" spans="3:7" ht="14" x14ac:dyDescent="0.2">
      <c r="C570" s="147"/>
      <c r="D570" s="147"/>
      <c r="E570" s="147"/>
      <c r="F570" s="147"/>
      <c r="G570" s="147"/>
    </row>
    <row r="571" spans="3:7" ht="14" x14ac:dyDescent="0.2">
      <c r="C571" s="147"/>
      <c r="D571" s="147"/>
      <c r="E571" s="147"/>
      <c r="F571" s="147"/>
      <c r="G571" s="147"/>
    </row>
    <row r="572" spans="3:7" ht="14" x14ac:dyDescent="0.2">
      <c r="C572" s="147"/>
      <c r="D572" s="147"/>
      <c r="E572" s="147"/>
      <c r="F572" s="147"/>
      <c r="G572" s="147"/>
    </row>
    <row r="573" spans="3:7" ht="14" x14ac:dyDescent="0.2">
      <c r="C573" s="147"/>
      <c r="D573" s="147"/>
      <c r="E573" s="147"/>
      <c r="F573" s="147"/>
      <c r="G573" s="147"/>
    </row>
    <row r="574" spans="3:7" ht="14" x14ac:dyDescent="0.2">
      <c r="C574" s="147"/>
      <c r="D574" s="147"/>
      <c r="E574" s="147"/>
      <c r="F574" s="147"/>
      <c r="G574" s="147"/>
    </row>
    <row r="575" spans="3:7" ht="14" x14ac:dyDescent="0.2">
      <c r="C575" s="147"/>
      <c r="D575" s="147"/>
      <c r="E575" s="147"/>
      <c r="F575" s="147"/>
      <c r="G575" s="147"/>
    </row>
    <row r="576" spans="3:7" ht="14" x14ac:dyDescent="0.2">
      <c r="C576" s="147"/>
      <c r="D576" s="147"/>
      <c r="E576" s="147"/>
      <c r="F576" s="147"/>
      <c r="G576" s="147"/>
    </row>
    <row r="577" spans="3:7" ht="14" x14ac:dyDescent="0.2">
      <c r="C577" s="147"/>
      <c r="D577" s="147"/>
      <c r="E577" s="147"/>
      <c r="F577" s="147"/>
      <c r="G577" s="147"/>
    </row>
    <row r="578" spans="3:7" ht="14" x14ac:dyDescent="0.2">
      <c r="C578" s="147"/>
      <c r="D578" s="147"/>
      <c r="E578" s="147"/>
      <c r="F578" s="147"/>
      <c r="G578" s="147"/>
    </row>
    <row r="579" spans="3:7" ht="14" x14ac:dyDescent="0.2">
      <c r="C579" s="147"/>
      <c r="D579" s="147"/>
      <c r="E579" s="147"/>
      <c r="F579" s="147"/>
      <c r="G579" s="147"/>
    </row>
    <row r="580" spans="3:7" ht="14" x14ac:dyDescent="0.2">
      <c r="C580" s="147"/>
      <c r="D580" s="147"/>
      <c r="E580" s="147"/>
      <c r="F580" s="147"/>
      <c r="G580" s="147"/>
    </row>
    <row r="581" spans="3:7" ht="14" x14ac:dyDescent="0.2">
      <c r="C581" s="147"/>
      <c r="D581" s="147"/>
      <c r="E581" s="147"/>
      <c r="F581" s="147"/>
      <c r="G581" s="147"/>
    </row>
    <row r="582" spans="3:7" ht="14" x14ac:dyDescent="0.2">
      <c r="C582" s="147"/>
      <c r="D582" s="147"/>
      <c r="E582" s="147"/>
      <c r="F582" s="147"/>
      <c r="G582" s="147"/>
    </row>
    <row r="583" spans="3:7" ht="14" x14ac:dyDescent="0.2">
      <c r="C583" s="147"/>
      <c r="D583" s="147"/>
      <c r="E583" s="147"/>
      <c r="F583" s="147"/>
      <c r="G583" s="147"/>
    </row>
    <row r="584" spans="3:7" ht="14" x14ac:dyDescent="0.2">
      <c r="C584" s="147"/>
      <c r="D584" s="147"/>
      <c r="E584" s="147"/>
      <c r="F584" s="147"/>
      <c r="G584" s="147"/>
    </row>
    <row r="585" spans="3:7" ht="14" x14ac:dyDescent="0.2">
      <c r="C585" s="147"/>
      <c r="D585" s="147"/>
      <c r="E585" s="147"/>
      <c r="F585" s="147"/>
      <c r="G585" s="147"/>
    </row>
    <row r="586" spans="3:7" ht="14" x14ac:dyDescent="0.2">
      <c r="C586" s="147"/>
      <c r="D586" s="147"/>
      <c r="E586" s="147"/>
      <c r="F586" s="147"/>
      <c r="G586" s="147"/>
    </row>
    <row r="587" spans="3:7" ht="14" x14ac:dyDescent="0.2">
      <c r="C587" s="147"/>
      <c r="D587" s="147"/>
      <c r="E587" s="147"/>
      <c r="F587" s="147"/>
      <c r="G587" s="147"/>
    </row>
    <row r="588" spans="3:7" ht="14" x14ac:dyDescent="0.2">
      <c r="C588" s="147"/>
      <c r="D588" s="147"/>
      <c r="E588" s="147"/>
      <c r="F588" s="147"/>
      <c r="G588" s="147"/>
    </row>
    <row r="589" spans="3:7" ht="14" x14ac:dyDescent="0.2">
      <c r="C589" s="147"/>
      <c r="D589" s="147"/>
      <c r="E589" s="147"/>
      <c r="F589" s="147"/>
      <c r="G589" s="147"/>
    </row>
    <row r="590" spans="3:7" ht="14" x14ac:dyDescent="0.2">
      <c r="C590" s="147"/>
      <c r="D590" s="147"/>
      <c r="E590" s="147"/>
      <c r="F590" s="147"/>
      <c r="G590" s="147"/>
    </row>
    <row r="591" spans="3:7" ht="14" x14ac:dyDescent="0.2">
      <c r="C591" s="147"/>
      <c r="D591" s="147"/>
      <c r="E591" s="147"/>
      <c r="F591" s="147"/>
      <c r="G591" s="147"/>
    </row>
    <row r="592" spans="3:7" ht="14" x14ac:dyDescent="0.2">
      <c r="C592" s="147"/>
      <c r="D592" s="147"/>
      <c r="E592" s="147"/>
      <c r="F592" s="147"/>
      <c r="G592" s="147"/>
    </row>
    <row r="593" spans="3:7" ht="14" x14ac:dyDescent="0.2">
      <c r="C593" s="147"/>
      <c r="D593" s="147"/>
      <c r="E593" s="147"/>
      <c r="F593" s="147"/>
      <c r="G593" s="147"/>
    </row>
    <row r="594" spans="3:7" ht="14" x14ac:dyDescent="0.2">
      <c r="C594" s="147"/>
      <c r="D594" s="147"/>
      <c r="E594" s="147"/>
      <c r="F594" s="147"/>
      <c r="G594" s="147"/>
    </row>
    <row r="595" spans="3:7" ht="14" x14ac:dyDescent="0.2">
      <c r="C595" s="147"/>
      <c r="D595" s="147"/>
      <c r="E595" s="147"/>
      <c r="F595" s="147"/>
      <c r="G595" s="147"/>
    </row>
    <row r="596" spans="3:7" ht="14" x14ac:dyDescent="0.2">
      <c r="C596" s="147"/>
      <c r="D596" s="147"/>
      <c r="E596" s="147"/>
      <c r="F596" s="147"/>
      <c r="G596" s="147"/>
    </row>
    <row r="597" spans="3:7" ht="14" x14ac:dyDescent="0.2">
      <c r="C597" s="147"/>
      <c r="D597" s="147"/>
      <c r="E597" s="147"/>
      <c r="F597" s="147"/>
      <c r="G597" s="147"/>
    </row>
    <row r="598" spans="3:7" ht="14" x14ac:dyDescent="0.2">
      <c r="C598" s="147"/>
      <c r="D598" s="147"/>
      <c r="E598" s="147"/>
      <c r="F598" s="147"/>
      <c r="G598" s="147"/>
    </row>
    <row r="599" spans="3:7" ht="14" x14ac:dyDescent="0.2">
      <c r="C599" s="147"/>
      <c r="D599" s="147"/>
      <c r="E599" s="147"/>
      <c r="F599" s="147"/>
      <c r="G599" s="147"/>
    </row>
    <row r="600" spans="3:7" ht="14" x14ac:dyDescent="0.2">
      <c r="C600" s="147"/>
      <c r="D600" s="147"/>
      <c r="E600" s="147"/>
      <c r="F600" s="147"/>
      <c r="G600" s="147"/>
    </row>
    <row r="601" spans="3:7" ht="14" x14ac:dyDescent="0.2">
      <c r="C601" s="147"/>
      <c r="D601" s="147"/>
      <c r="E601" s="147"/>
      <c r="F601" s="147"/>
      <c r="G601" s="147"/>
    </row>
    <row r="602" spans="3:7" ht="14" x14ac:dyDescent="0.2">
      <c r="C602" s="147"/>
      <c r="D602" s="147"/>
      <c r="E602" s="147"/>
      <c r="F602" s="147"/>
      <c r="G602" s="147"/>
    </row>
    <row r="603" spans="3:7" ht="14" x14ac:dyDescent="0.2">
      <c r="C603" s="147"/>
      <c r="D603" s="147"/>
      <c r="E603" s="147"/>
      <c r="F603" s="147"/>
      <c r="G603" s="147"/>
    </row>
    <row r="604" spans="3:7" ht="14" x14ac:dyDescent="0.2">
      <c r="C604" s="147"/>
      <c r="D604" s="147"/>
      <c r="E604" s="147"/>
      <c r="F604" s="147"/>
      <c r="G604" s="147"/>
    </row>
    <row r="605" spans="3:7" ht="14" x14ac:dyDescent="0.2">
      <c r="C605" s="147"/>
      <c r="D605" s="147"/>
      <c r="E605" s="147"/>
      <c r="F605" s="147"/>
      <c r="G605" s="147"/>
    </row>
    <row r="606" spans="3:7" ht="14" x14ac:dyDescent="0.2">
      <c r="C606" s="147"/>
      <c r="D606" s="147"/>
      <c r="E606" s="147"/>
      <c r="F606" s="147"/>
      <c r="G606" s="147"/>
    </row>
    <row r="607" spans="3:7" ht="14" x14ac:dyDescent="0.2">
      <c r="C607" s="147"/>
      <c r="D607" s="147"/>
      <c r="E607" s="147"/>
      <c r="F607" s="147"/>
      <c r="G607" s="147"/>
    </row>
    <row r="608" spans="3:7" ht="14" x14ac:dyDescent="0.2">
      <c r="C608" s="147"/>
      <c r="D608" s="147"/>
      <c r="E608" s="147"/>
      <c r="F608" s="147"/>
      <c r="G608" s="147"/>
    </row>
    <row r="609" spans="3:7" ht="14" x14ac:dyDescent="0.2">
      <c r="C609" s="147"/>
      <c r="D609" s="147"/>
      <c r="E609" s="147"/>
      <c r="F609" s="147"/>
      <c r="G609" s="147"/>
    </row>
    <row r="610" spans="3:7" ht="14" x14ac:dyDescent="0.2">
      <c r="C610" s="147"/>
      <c r="D610" s="147"/>
      <c r="E610" s="147"/>
      <c r="F610" s="147"/>
      <c r="G610" s="147"/>
    </row>
    <row r="611" spans="3:7" ht="14" x14ac:dyDescent="0.2">
      <c r="C611" s="147"/>
      <c r="D611" s="147"/>
      <c r="E611" s="147"/>
      <c r="F611" s="147"/>
      <c r="G611" s="147"/>
    </row>
    <row r="612" spans="3:7" ht="14" x14ac:dyDescent="0.2">
      <c r="C612" s="147"/>
      <c r="D612" s="147"/>
      <c r="E612" s="147"/>
      <c r="F612" s="147"/>
      <c r="G612" s="147"/>
    </row>
    <row r="613" spans="3:7" ht="14" x14ac:dyDescent="0.2">
      <c r="C613" s="147"/>
      <c r="D613" s="147"/>
      <c r="E613" s="147"/>
      <c r="F613" s="147"/>
      <c r="G613" s="147"/>
    </row>
    <row r="614" spans="3:7" ht="14" x14ac:dyDescent="0.2">
      <c r="C614" s="147"/>
      <c r="D614" s="147"/>
      <c r="E614" s="147"/>
      <c r="F614" s="147"/>
      <c r="G614" s="147"/>
    </row>
    <row r="615" spans="3:7" ht="14" x14ac:dyDescent="0.2">
      <c r="C615" s="147"/>
      <c r="D615" s="147"/>
      <c r="E615" s="147"/>
      <c r="F615" s="147"/>
      <c r="G615" s="147"/>
    </row>
    <row r="616" spans="3:7" ht="14" x14ac:dyDescent="0.2">
      <c r="C616" s="147"/>
      <c r="D616" s="147"/>
      <c r="E616" s="147"/>
      <c r="F616" s="147"/>
      <c r="G616" s="147"/>
    </row>
    <row r="617" spans="3:7" ht="14" x14ac:dyDescent="0.2">
      <c r="C617" s="147"/>
      <c r="D617" s="147"/>
      <c r="E617" s="147"/>
      <c r="F617" s="147"/>
      <c r="G617" s="147"/>
    </row>
    <row r="618" spans="3:7" ht="14" x14ac:dyDescent="0.2">
      <c r="C618" s="147"/>
      <c r="D618" s="147"/>
      <c r="E618" s="147"/>
      <c r="F618" s="147"/>
      <c r="G618" s="147"/>
    </row>
    <row r="619" spans="3:7" ht="14" x14ac:dyDescent="0.2">
      <c r="C619" s="147"/>
      <c r="D619" s="147"/>
      <c r="E619" s="147"/>
      <c r="F619" s="147"/>
      <c r="G619" s="147"/>
    </row>
    <row r="620" spans="3:7" ht="14" x14ac:dyDescent="0.2">
      <c r="C620" s="147"/>
      <c r="D620" s="147"/>
      <c r="E620" s="147"/>
      <c r="F620" s="147"/>
      <c r="G620" s="147"/>
    </row>
    <row r="621" spans="3:7" ht="14" x14ac:dyDescent="0.2">
      <c r="C621" s="147"/>
      <c r="D621" s="147"/>
      <c r="E621" s="147"/>
      <c r="F621" s="147"/>
      <c r="G621" s="147"/>
    </row>
    <row r="622" spans="3:7" ht="14" x14ac:dyDescent="0.2">
      <c r="C622" s="147"/>
      <c r="D622" s="147"/>
      <c r="E622" s="147"/>
      <c r="F622" s="147"/>
      <c r="G622" s="147"/>
    </row>
    <row r="623" spans="3:7" ht="14" x14ac:dyDescent="0.2">
      <c r="C623" s="147"/>
      <c r="D623" s="147"/>
      <c r="E623" s="147"/>
      <c r="F623" s="147"/>
      <c r="G623" s="147"/>
    </row>
    <row r="624" spans="3:7" ht="14" x14ac:dyDescent="0.2">
      <c r="C624" s="147"/>
      <c r="D624" s="147"/>
      <c r="E624" s="147"/>
      <c r="F624" s="147"/>
      <c r="G624" s="147"/>
    </row>
    <row r="625" spans="3:7" ht="14" x14ac:dyDescent="0.2">
      <c r="C625" s="147"/>
      <c r="D625" s="147"/>
      <c r="E625" s="147"/>
      <c r="F625" s="147"/>
      <c r="G625" s="147"/>
    </row>
    <row r="626" spans="3:7" ht="14" x14ac:dyDescent="0.2">
      <c r="C626" s="147"/>
      <c r="D626" s="147"/>
      <c r="E626" s="147"/>
      <c r="F626" s="147"/>
      <c r="G626" s="147"/>
    </row>
    <row r="627" spans="3:7" ht="14" x14ac:dyDescent="0.2">
      <c r="C627" s="147"/>
      <c r="D627" s="147"/>
      <c r="E627" s="147"/>
      <c r="F627" s="147"/>
      <c r="G627" s="147"/>
    </row>
    <row r="628" spans="3:7" ht="14" x14ac:dyDescent="0.2">
      <c r="C628" s="147"/>
      <c r="D628" s="147"/>
      <c r="E628" s="147"/>
      <c r="F628" s="147"/>
      <c r="G628" s="147"/>
    </row>
    <row r="629" spans="3:7" ht="14" x14ac:dyDescent="0.2">
      <c r="C629" s="147"/>
      <c r="D629" s="147"/>
      <c r="E629" s="147"/>
      <c r="F629" s="147"/>
      <c r="G629" s="147"/>
    </row>
    <row r="630" spans="3:7" ht="14" x14ac:dyDescent="0.2">
      <c r="C630" s="147"/>
      <c r="D630" s="147"/>
      <c r="E630" s="147"/>
      <c r="F630" s="147"/>
      <c r="G630" s="147"/>
    </row>
    <row r="631" spans="3:7" ht="14" x14ac:dyDescent="0.2">
      <c r="C631" s="147"/>
      <c r="D631" s="147"/>
      <c r="E631" s="147"/>
      <c r="F631" s="147"/>
      <c r="G631" s="147"/>
    </row>
    <row r="632" spans="3:7" ht="14" x14ac:dyDescent="0.2">
      <c r="C632" s="147"/>
      <c r="D632" s="147"/>
      <c r="E632" s="147"/>
      <c r="F632" s="147"/>
      <c r="G632" s="147"/>
    </row>
    <row r="633" spans="3:7" ht="14" x14ac:dyDescent="0.2">
      <c r="C633" s="147"/>
      <c r="D633" s="147"/>
      <c r="E633" s="147"/>
      <c r="F633" s="147"/>
      <c r="G633" s="147"/>
    </row>
    <row r="634" spans="3:7" ht="14" x14ac:dyDescent="0.2">
      <c r="C634" s="147"/>
      <c r="D634" s="147"/>
      <c r="E634" s="147"/>
      <c r="F634" s="147"/>
      <c r="G634" s="147"/>
    </row>
    <row r="635" spans="3:7" ht="14" x14ac:dyDescent="0.2">
      <c r="C635" s="147"/>
      <c r="D635" s="147"/>
      <c r="E635" s="147"/>
      <c r="F635" s="147"/>
      <c r="G635" s="147"/>
    </row>
    <row r="636" spans="3:7" ht="14" x14ac:dyDescent="0.2">
      <c r="C636" s="147"/>
      <c r="D636" s="147"/>
      <c r="E636" s="147"/>
      <c r="F636" s="147"/>
      <c r="G636" s="147"/>
    </row>
    <row r="637" spans="3:7" ht="14" x14ac:dyDescent="0.2">
      <c r="C637" s="147"/>
      <c r="D637" s="147"/>
      <c r="E637" s="147"/>
      <c r="F637" s="147"/>
      <c r="G637" s="147"/>
    </row>
    <row r="638" spans="3:7" ht="14" x14ac:dyDescent="0.2">
      <c r="C638" s="147"/>
      <c r="D638" s="147"/>
      <c r="E638" s="147"/>
      <c r="F638" s="147"/>
      <c r="G638" s="147"/>
    </row>
    <row r="639" spans="3:7" ht="14" x14ac:dyDescent="0.2">
      <c r="C639" s="147"/>
      <c r="D639" s="147"/>
      <c r="E639" s="147"/>
      <c r="F639" s="147"/>
      <c r="G639" s="147"/>
    </row>
    <row r="640" spans="3:7" ht="14" x14ac:dyDescent="0.2">
      <c r="C640" s="147"/>
      <c r="D640" s="147"/>
      <c r="E640" s="147"/>
      <c r="F640" s="147"/>
      <c r="G640" s="147"/>
    </row>
    <row r="641" spans="3:7" ht="14" x14ac:dyDescent="0.2">
      <c r="C641" s="147"/>
      <c r="D641" s="147"/>
      <c r="E641" s="147"/>
      <c r="F641" s="147"/>
      <c r="G641" s="147"/>
    </row>
    <row r="642" spans="3:7" ht="14" x14ac:dyDescent="0.2">
      <c r="C642" s="147"/>
      <c r="D642" s="147"/>
      <c r="E642" s="147"/>
      <c r="F642" s="147"/>
      <c r="G642" s="147"/>
    </row>
    <row r="643" spans="3:7" ht="14" x14ac:dyDescent="0.2">
      <c r="C643" s="147"/>
      <c r="D643" s="147"/>
      <c r="E643" s="147"/>
      <c r="F643" s="147"/>
      <c r="G643" s="147"/>
    </row>
    <row r="644" spans="3:7" ht="14" x14ac:dyDescent="0.2">
      <c r="C644" s="147"/>
      <c r="D644" s="147"/>
      <c r="E644" s="147"/>
      <c r="F644" s="147"/>
      <c r="G644" s="147"/>
    </row>
    <row r="645" spans="3:7" ht="14" x14ac:dyDescent="0.2">
      <c r="C645" s="147"/>
      <c r="D645" s="147"/>
      <c r="E645" s="147"/>
      <c r="F645" s="147"/>
      <c r="G645" s="147"/>
    </row>
    <row r="646" spans="3:7" ht="14" x14ac:dyDescent="0.2">
      <c r="C646" s="147"/>
      <c r="D646" s="147"/>
      <c r="E646" s="147"/>
      <c r="F646" s="147"/>
      <c r="G646" s="147"/>
    </row>
    <row r="647" spans="3:7" ht="14" x14ac:dyDescent="0.2">
      <c r="C647" s="147"/>
      <c r="D647" s="147"/>
      <c r="E647" s="147"/>
      <c r="F647" s="147"/>
      <c r="G647" s="147"/>
    </row>
    <row r="648" spans="3:7" ht="14" x14ac:dyDescent="0.2">
      <c r="C648" s="147"/>
      <c r="D648" s="147"/>
      <c r="E648" s="147"/>
      <c r="F648" s="147"/>
      <c r="G648" s="147"/>
    </row>
    <row r="649" spans="3:7" ht="14" x14ac:dyDescent="0.2">
      <c r="C649" s="147"/>
      <c r="D649" s="147"/>
      <c r="E649" s="147"/>
      <c r="F649" s="147"/>
      <c r="G649" s="147"/>
    </row>
    <row r="650" spans="3:7" ht="14" x14ac:dyDescent="0.2">
      <c r="C650" s="147"/>
      <c r="D650" s="147"/>
      <c r="E650" s="147"/>
      <c r="F650" s="147"/>
      <c r="G650" s="147"/>
    </row>
    <row r="651" spans="3:7" ht="14" x14ac:dyDescent="0.2">
      <c r="C651" s="147"/>
      <c r="D651" s="147"/>
      <c r="E651" s="147"/>
      <c r="F651" s="147"/>
      <c r="G651" s="147"/>
    </row>
    <row r="652" spans="3:7" ht="14" x14ac:dyDescent="0.2">
      <c r="C652" s="147"/>
      <c r="D652" s="147"/>
      <c r="E652" s="147"/>
      <c r="F652" s="147"/>
      <c r="G652" s="147"/>
    </row>
    <row r="653" spans="3:7" ht="14" x14ac:dyDescent="0.2">
      <c r="C653" s="147"/>
      <c r="D653" s="147"/>
      <c r="E653" s="147"/>
      <c r="F653" s="147"/>
      <c r="G653" s="147"/>
    </row>
    <row r="654" spans="3:7" ht="14" x14ac:dyDescent="0.2">
      <c r="C654" s="147"/>
      <c r="D654" s="147"/>
      <c r="E654" s="147"/>
      <c r="F654" s="147"/>
      <c r="G654" s="147"/>
    </row>
    <row r="655" spans="3:7" ht="14" x14ac:dyDescent="0.2">
      <c r="C655" s="147"/>
      <c r="D655" s="147"/>
      <c r="E655" s="147"/>
      <c r="F655" s="147"/>
      <c r="G655" s="147"/>
    </row>
    <row r="656" spans="3:7" ht="14" x14ac:dyDescent="0.2">
      <c r="C656" s="147"/>
      <c r="D656" s="147"/>
      <c r="E656" s="147"/>
      <c r="F656" s="147"/>
      <c r="G656" s="147"/>
    </row>
    <row r="657" spans="3:7" ht="14" x14ac:dyDescent="0.2">
      <c r="C657" s="147"/>
      <c r="D657" s="147"/>
      <c r="E657" s="147"/>
      <c r="F657" s="147"/>
      <c r="G657" s="147"/>
    </row>
    <row r="658" spans="3:7" ht="14" x14ac:dyDescent="0.2">
      <c r="C658" s="147"/>
      <c r="D658" s="147"/>
      <c r="E658" s="147"/>
      <c r="F658" s="147"/>
      <c r="G658" s="147"/>
    </row>
    <row r="659" spans="3:7" ht="14" x14ac:dyDescent="0.2">
      <c r="C659" s="147"/>
      <c r="D659" s="147"/>
      <c r="E659" s="147"/>
      <c r="F659" s="147"/>
      <c r="G659" s="147"/>
    </row>
    <row r="660" spans="3:7" ht="14" x14ac:dyDescent="0.2">
      <c r="C660" s="147"/>
      <c r="D660" s="147"/>
      <c r="E660" s="147"/>
      <c r="F660" s="147"/>
      <c r="G660" s="147"/>
    </row>
    <row r="661" spans="3:7" ht="14" x14ac:dyDescent="0.2">
      <c r="C661" s="147"/>
      <c r="D661" s="147"/>
      <c r="E661" s="147"/>
      <c r="F661" s="147"/>
      <c r="G661" s="147"/>
    </row>
    <row r="662" spans="3:7" ht="14" x14ac:dyDescent="0.2">
      <c r="C662" s="147"/>
      <c r="D662" s="147"/>
      <c r="E662" s="147"/>
      <c r="F662" s="147"/>
      <c r="G662" s="147"/>
    </row>
    <row r="663" spans="3:7" ht="14" x14ac:dyDescent="0.2">
      <c r="C663" s="147"/>
      <c r="D663" s="147"/>
      <c r="E663" s="147"/>
      <c r="F663" s="147"/>
      <c r="G663" s="147"/>
    </row>
    <row r="664" spans="3:7" ht="14" x14ac:dyDescent="0.2">
      <c r="C664" s="147"/>
      <c r="D664" s="147"/>
      <c r="E664" s="147"/>
      <c r="F664" s="147"/>
      <c r="G664" s="147"/>
    </row>
    <row r="665" spans="3:7" ht="14" x14ac:dyDescent="0.2">
      <c r="C665" s="147"/>
      <c r="D665" s="147"/>
      <c r="E665" s="147"/>
      <c r="F665" s="147"/>
      <c r="G665" s="147"/>
    </row>
    <row r="666" spans="3:7" ht="14" x14ac:dyDescent="0.2">
      <c r="C666" s="147"/>
      <c r="D666" s="147"/>
      <c r="E666" s="147"/>
      <c r="F666" s="147"/>
      <c r="G666" s="147"/>
    </row>
    <row r="667" spans="3:7" ht="14" x14ac:dyDescent="0.2">
      <c r="C667" s="147"/>
      <c r="D667" s="147"/>
      <c r="E667" s="147"/>
      <c r="F667" s="147"/>
      <c r="G667" s="147"/>
    </row>
    <row r="668" spans="3:7" ht="14" x14ac:dyDescent="0.2">
      <c r="C668" s="147"/>
      <c r="D668" s="147"/>
      <c r="E668" s="147"/>
      <c r="F668" s="147"/>
      <c r="G668" s="147"/>
    </row>
    <row r="669" spans="3:7" ht="14" x14ac:dyDescent="0.2">
      <c r="C669" s="147"/>
      <c r="D669" s="147"/>
      <c r="E669" s="147"/>
      <c r="F669" s="147"/>
      <c r="G669" s="147"/>
    </row>
    <row r="670" spans="3:7" ht="14" x14ac:dyDescent="0.2">
      <c r="C670" s="147"/>
      <c r="D670" s="147"/>
      <c r="E670" s="147"/>
      <c r="F670" s="147"/>
      <c r="G670" s="147"/>
    </row>
    <row r="671" spans="3:7" ht="14" x14ac:dyDescent="0.2">
      <c r="C671" s="147"/>
      <c r="D671" s="147"/>
      <c r="E671" s="147"/>
      <c r="F671" s="147"/>
      <c r="G671" s="147"/>
    </row>
    <row r="672" spans="3:7" ht="14" x14ac:dyDescent="0.2">
      <c r="C672" s="147"/>
      <c r="D672" s="147"/>
      <c r="E672" s="147"/>
      <c r="F672" s="147"/>
      <c r="G672" s="147"/>
    </row>
    <row r="673" spans="3:7" ht="14" x14ac:dyDescent="0.2">
      <c r="C673" s="147"/>
      <c r="D673" s="147"/>
      <c r="E673" s="147"/>
      <c r="F673" s="147"/>
      <c r="G673" s="147"/>
    </row>
    <row r="674" spans="3:7" ht="14" x14ac:dyDescent="0.2">
      <c r="C674" s="147"/>
      <c r="D674" s="147"/>
      <c r="E674" s="147"/>
      <c r="F674" s="147"/>
      <c r="G674" s="147"/>
    </row>
    <row r="675" spans="3:7" ht="14" x14ac:dyDescent="0.2">
      <c r="C675" s="147"/>
      <c r="D675" s="147"/>
      <c r="E675" s="147"/>
      <c r="F675" s="147"/>
      <c r="G675" s="147"/>
    </row>
    <row r="676" spans="3:7" ht="14" x14ac:dyDescent="0.2">
      <c r="C676" s="147"/>
      <c r="D676" s="147"/>
      <c r="E676" s="147"/>
      <c r="F676" s="147"/>
      <c r="G676" s="147"/>
    </row>
    <row r="677" spans="3:7" ht="14" x14ac:dyDescent="0.2">
      <c r="C677" s="147"/>
      <c r="D677" s="147"/>
      <c r="E677" s="147"/>
      <c r="F677" s="147"/>
      <c r="G677" s="147"/>
    </row>
    <row r="678" spans="3:7" ht="14" x14ac:dyDescent="0.2">
      <c r="C678" s="147"/>
      <c r="D678" s="147"/>
      <c r="E678" s="147"/>
      <c r="F678" s="147"/>
      <c r="G678" s="147"/>
    </row>
    <row r="679" spans="3:7" ht="14" x14ac:dyDescent="0.2">
      <c r="C679" s="147"/>
      <c r="D679" s="147"/>
      <c r="E679" s="147"/>
      <c r="F679" s="147"/>
      <c r="G679" s="147"/>
    </row>
    <row r="680" spans="3:7" ht="14" x14ac:dyDescent="0.2">
      <c r="C680" s="147"/>
      <c r="D680" s="147"/>
      <c r="E680" s="147"/>
      <c r="F680" s="147"/>
      <c r="G680" s="147"/>
    </row>
    <row r="681" spans="3:7" ht="14" x14ac:dyDescent="0.2">
      <c r="C681" s="147"/>
      <c r="D681" s="147"/>
      <c r="E681" s="147"/>
      <c r="F681" s="147"/>
      <c r="G681" s="147"/>
    </row>
    <row r="682" spans="3:7" ht="14" x14ac:dyDescent="0.2">
      <c r="C682" s="147"/>
      <c r="D682" s="147"/>
      <c r="E682" s="147"/>
      <c r="F682" s="147"/>
      <c r="G682" s="147"/>
    </row>
    <row r="683" spans="3:7" ht="14" x14ac:dyDescent="0.2">
      <c r="C683" s="147"/>
      <c r="D683" s="147"/>
      <c r="E683" s="147"/>
      <c r="F683" s="147"/>
      <c r="G683" s="147"/>
    </row>
    <row r="684" spans="3:7" ht="14" x14ac:dyDescent="0.2">
      <c r="C684" s="147"/>
      <c r="D684" s="147"/>
      <c r="E684" s="147"/>
      <c r="F684" s="147"/>
      <c r="G684" s="147"/>
    </row>
    <row r="685" spans="3:7" ht="14" x14ac:dyDescent="0.2">
      <c r="C685" s="147"/>
      <c r="D685" s="147"/>
      <c r="E685" s="147"/>
      <c r="F685" s="147"/>
      <c r="G685" s="147"/>
    </row>
    <row r="686" spans="3:7" ht="14" x14ac:dyDescent="0.2">
      <c r="C686" s="147"/>
      <c r="D686" s="147"/>
      <c r="E686" s="147"/>
      <c r="F686" s="147"/>
      <c r="G686" s="147"/>
    </row>
    <row r="687" spans="3:7" ht="14" x14ac:dyDescent="0.2">
      <c r="C687" s="147"/>
      <c r="D687" s="147"/>
      <c r="E687" s="147"/>
      <c r="F687" s="147"/>
      <c r="G687" s="147"/>
    </row>
    <row r="688" spans="3:7" ht="14" x14ac:dyDescent="0.2">
      <c r="C688" s="147"/>
      <c r="D688" s="147"/>
      <c r="E688" s="147"/>
      <c r="F688" s="147"/>
      <c r="G688" s="147"/>
    </row>
    <row r="689" spans="3:7" ht="14" x14ac:dyDescent="0.2">
      <c r="C689" s="147"/>
      <c r="D689" s="147"/>
      <c r="E689" s="147"/>
      <c r="F689" s="147"/>
      <c r="G689" s="147"/>
    </row>
    <row r="690" spans="3:7" ht="14" x14ac:dyDescent="0.2">
      <c r="C690" s="147"/>
      <c r="D690" s="147"/>
      <c r="E690" s="147"/>
      <c r="F690" s="147"/>
      <c r="G690" s="147"/>
    </row>
    <row r="691" spans="3:7" ht="14" x14ac:dyDescent="0.2">
      <c r="C691" s="147"/>
      <c r="D691" s="147"/>
      <c r="E691" s="147"/>
      <c r="F691" s="147"/>
      <c r="G691" s="147"/>
    </row>
    <row r="692" spans="3:7" ht="14" x14ac:dyDescent="0.2">
      <c r="C692" s="147"/>
      <c r="D692" s="147"/>
      <c r="E692" s="147"/>
      <c r="F692" s="147"/>
      <c r="G692" s="147"/>
    </row>
    <row r="693" spans="3:7" ht="14" x14ac:dyDescent="0.2">
      <c r="C693" s="147"/>
      <c r="D693" s="147"/>
      <c r="E693" s="147"/>
      <c r="F693" s="147"/>
      <c r="G693" s="147"/>
    </row>
    <row r="694" spans="3:7" ht="14" x14ac:dyDescent="0.2">
      <c r="C694" s="147"/>
      <c r="D694" s="147"/>
      <c r="E694" s="147"/>
      <c r="F694" s="147"/>
      <c r="G694" s="147"/>
    </row>
    <row r="695" spans="3:7" ht="14" x14ac:dyDescent="0.2">
      <c r="C695" s="147"/>
      <c r="D695" s="147"/>
      <c r="E695" s="147"/>
      <c r="F695" s="147"/>
      <c r="G695" s="147"/>
    </row>
    <row r="696" spans="3:7" ht="14" x14ac:dyDescent="0.2">
      <c r="C696" s="147"/>
      <c r="D696" s="147"/>
      <c r="E696" s="147"/>
      <c r="F696" s="147"/>
      <c r="G696" s="147"/>
    </row>
    <row r="697" spans="3:7" ht="14" x14ac:dyDescent="0.2">
      <c r="C697" s="147"/>
      <c r="D697" s="147"/>
      <c r="E697" s="147"/>
      <c r="F697" s="147"/>
      <c r="G697" s="147"/>
    </row>
    <row r="698" spans="3:7" ht="14" x14ac:dyDescent="0.2">
      <c r="C698" s="147"/>
      <c r="D698" s="147"/>
      <c r="E698" s="147"/>
      <c r="F698" s="147"/>
      <c r="G698" s="147"/>
    </row>
    <row r="699" spans="3:7" ht="14" x14ac:dyDescent="0.2">
      <c r="C699" s="147"/>
      <c r="D699" s="147"/>
      <c r="E699" s="147"/>
      <c r="F699" s="147"/>
      <c r="G699" s="147"/>
    </row>
    <row r="700" spans="3:7" ht="14" x14ac:dyDescent="0.2">
      <c r="C700" s="147"/>
      <c r="D700" s="147"/>
      <c r="E700" s="147"/>
      <c r="F700" s="147"/>
      <c r="G700" s="147"/>
    </row>
    <row r="701" spans="3:7" ht="14" x14ac:dyDescent="0.2">
      <c r="C701" s="147"/>
      <c r="D701" s="147"/>
      <c r="E701" s="147"/>
      <c r="F701" s="147"/>
      <c r="G701" s="147"/>
    </row>
    <row r="702" spans="3:7" ht="14" x14ac:dyDescent="0.2">
      <c r="C702" s="147"/>
      <c r="D702" s="147"/>
      <c r="E702" s="147"/>
      <c r="F702" s="147"/>
      <c r="G702" s="147"/>
    </row>
    <row r="703" spans="3:7" ht="14" x14ac:dyDescent="0.2">
      <c r="C703" s="147"/>
      <c r="D703" s="147"/>
      <c r="E703" s="147"/>
      <c r="F703" s="147"/>
      <c r="G703" s="147"/>
    </row>
    <row r="704" spans="3:7" ht="14" x14ac:dyDescent="0.2">
      <c r="C704" s="147"/>
      <c r="D704" s="147"/>
      <c r="E704" s="147"/>
      <c r="F704" s="147"/>
      <c r="G704" s="147"/>
    </row>
    <row r="705" spans="3:7" ht="14" x14ac:dyDescent="0.2">
      <c r="C705" s="147"/>
      <c r="D705" s="147"/>
      <c r="E705" s="147"/>
      <c r="F705" s="147"/>
      <c r="G705" s="147"/>
    </row>
    <row r="706" spans="3:7" ht="14" x14ac:dyDescent="0.2">
      <c r="C706" s="147"/>
      <c r="D706" s="147"/>
      <c r="E706" s="147"/>
      <c r="F706" s="147"/>
      <c r="G706" s="147"/>
    </row>
    <row r="707" spans="3:7" ht="14" x14ac:dyDescent="0.2">
      <c r="C707" s="147"/>
      <c r="D707" s="147"/>
      <c r="E707" s="147"/>
      <c r="F707" s="147"/>
      <c r="G707" s="147"/>
    </row>
    <row r="708" spans="3:7" ht="14" x14ac:dyDescent="0.2">
      <c r="C708" s="147"/>
      <c r="D708" s="147"/>
      <c r="E708" s="147"/>
      <c r="F708" s="147"/>
      <c r="G708" s="147"/>
    </row>
    <row r="709" spans="3:7" ht="14" x14ac:dyDescent="0.2">
      <c r="C709" s="147"/>
      <c r="D709" s="147"/>
      <c r="E709" s="147"/>
      <c r="F709" s="147"/>
      <c r="G709" s="147"/>
    </row>
    <row r="710" spans="3:7" ht="14" x14ac:dyDescent="0.2">
      <c r="C710" s="147"/>
      <c r="D710" s="147"/>
      <c r="E710" s="147"/>
      <c r="F710" s="147"/>
      <c r="G710" s="147"/>
    </row>
    <row r="711" spans="3:7" ht="14" x14ac:dyDescent="0.2">
      <c r="C711" s="147"/>
      <c r="D711" s="147"/>
      <c r="E711" s="147"/>
      <c r="F711" s="147"/>
      <c r="G711" s="147"/>
    </row>
    <row r="712" spans="3:7" ht="14" x14ac:dyDescent="0.2">
      <c r="C712" s="147"/>
      <c r="D712" s="147"/>
      <c r="E712" s="147"/>
      <c r="F712" s="147"/>
      <c r="G712" s="147"/>
    </row>
    <row r="713" spans="3:7" ht="14" x14ac:dyDescent="0.2">
      <c r="C713" s="147"/>
      <c r="D713" s="147"/>
      <c r="E713" s="147"/>
      <c r="F713" s="147"/>
      <c r="G713" s="147"/>
    </row>
    <row r="714" spans="3:7" ht="14" x14ac:dyDescent="0.2">
      <c r="C714" s="147"/>
      <c r="D714" s="147"/>
      <c r="E714" s="147"/>
      <c r="F714" s="147"/>
      <c r="G714" s="147"/>
    </row>
    <row r="715" spans="3:7" ht="14" x14ac:dyDescent="0.2">
      <c r="C715" s="147"/>
      <c r="D715" s="147"/>
      <c r="E715" s="147"/>
      <c r="F715" s="147"/>
      <c r="G715" s="147"/>
    </row>
    <row r="716" spans="3:7" ht="14" x14ac:dyDescent="0.2">
      <c r="C716" s="147"/>
      <c r="D716" s="147"/>
      <c r="E716" s="147"/>
      <c r="F716" s="147"/>
      <c r="G716" s="147"/>
    </row>
    <row r="717" spans="3:7" ht="14" x14ac:dyDescent="0.2">
      <c r="C717" s="147"/>
      <c r="D717" s="147"/>
      <c r="E717" s="147"/>
      <c r="F717" s="147"/>
      <c r="G717" s="147"/>
    </row>
    <row r="718" spans="3:7" ht="14" x14ac:dyDescent="0.2">
      <c r="C718" s="147"/>
      <c r="D718" s="147"/>
      <c r="E718" s="147"/>
      <c r="F718" s="147"/>
      <c r="G718" s="147"/>
    </row>
    <row r="719" spans="3:7" ht="14" x14ac:dyDescent="0.2">
      <c r="C719" s="147"/>
      <c r="D719" s="147"/>
      <c r="E719" s="147"/>
      <c r="F719" s="147"/>
      <c r="G719" s="147"/>
    </row>
    <row r="720" spans="3:7" ht="14" x14ac:dyDescent="0.2">
      <c r="C720" s="147"/>
      <c r="D720" s="147"/>
      <c r="E720" s="147"/>
      <c r="F720" s="147"/>
      <c r="G720" s="147"/>
    </row>
    <row r="721" spans="3:7" ht="14" x14ac:dyDescent="0.2">
      <c r="C721" s="147"/>
      <c r="D721" s="147"/>
      <c r="E721" s="147"/>
      <c r="F721" s="147"/>
      <c r="G721" s="147"/>
    </row>
    <row r="722" spans="3:7" ht="14" x14ac:dyDescent="0.2">
      <c r="C722" s="147"/>
      <c r="D722" s="147"/>
      <c r="E722" s="147"/>
      <c r="F722" s="147"/>
      <c r="G722" s="147"/>
    </row>
    <row r="723" spans="3:7" ht="14" x14ac:dyDescent="0.2">
      <c r="C723" s="147"/>
      <c r="D723" s="147"/>
      <c r="E723" s="147"/>
      <c r="F723" s="147"/>
      <c r="G723" s="147"/>
    </row>
    <row r="724" spans="3:7" ht="14" x14ac:dyDescent="0.2">
      <c r="C724" s="147"/>
      <c r="D724" s="147"/>
      <c r="E724" s="147"/>
      <c r="F724" s="147"/>
      <c r="G724" s="147"/>
    </row>
    <row r="725" spans="3:7" ht="14" x14ac:dyDescent="0.2">
      <c r="C725" s="147"/>
      <c r="D725" s="147"/>
      <c r="E725" s="147"/>
      <c r="F725" s="147"/>
      <c r="G725" s="147"/>
    </row>
    <row r="726" spans="3:7" ht="14" x14ac:dyDescent="0.2">
      <c r="C726" s="147"/>
      <c r="D726" s="147"/>
      <c r="E726" s="147"/>
      <c r="F726" s="147"/>
      <c r="G726" s="147"/>
    </row>
    <row r="727" spans="3:7" ht="14" x14ac:dyDescent="0.2">
      <c r="C727" s="147"/>
      <c r="D727" s="147"/>
      <c r="E727" s="147"/>
      <c r="F727" s="147"/>
      <c r="G727" s="147"/>
    </row>
    <row r="728" spans="3:7" ht="14" x14ac:dyDescent="0.2">
      <c r="C728" s="147"/>
      <c r="D728" s="147"/>
      <c r="E728" s="147"/>
      <c r="F728" s="147"/>
      <c r="G728" s="147"/>
    </row>
    <row r="729" spans="3:7" ht="14" x14ac:dyDescent="0.2">
      <c r="C729" s="147"/>
      <c r="D729" s="147"/>
      <c r="E729" s="147"/>
      <c r="F729" s="147"/>
      <c r="G729" s="147"/>
    </row>
    <row r="730" spans="3:7" ht="14" x14ac:dyDescent="0.2">
      <c r="C730" s="147"/>
      <c r="D730" s="147"/>
      <c r="E730" s="147"/>
      <c r="F730" s="147"/>
      <c r="G730" s="147"/>
    </row>
    <row r="731" spans="3:7" ht="14" x14ac:dyDescent="0.2">
      <c r="C731" s="147"/>
      <c r="D731" s="147"/>
      <c r="E731" s="147"/>
      <c r="F731" s="147"/>
      <c r="G731" s="147"/>
    </row>
    <row r="732" spans="3:7" ht="14" x14ac:dyDescent="0.2">
      <c r="C732" s="147"/>
      <c r="D732" s="147"/>
      <c r="E732" s="147"/>
      <c r="F732" s="147"/>
      <c r="G732" s="147"/>
    </row>
    <row r="733" spans="3:7" ht="14" x14ac:dyDescent="0.2">
      <c r="C733" s="147"/>
      <c r="D733" s="147"/>
      <c r="E733" s="147"/>
      <c r="F733" s="147"/>
      <c r="G733" s="147"/>
    </row>
    <row r="734" spans="3:7" ht="14" x14ac:dyDescent="0.2">
      <c r="C734" s="147"/>
      <c r="D734" s="147"/>
      <c r="E734" s="147"/>
      <c r="F734" s="147"/>
      <c r="G734" s="147"/>
    </row>
    <row r="735" spans="3:7" ht="14" x14ac:dyDescent="0.2">
      <c r="C735" s="147"/>
      <c r="D735" s="147"/>
      <c r="E735" s="147"/>
      <c r="F735" s="147"/>
      <c r="G735" s="147"/>
    </row>
    <row r="736" spans="3:7" ht="14" x14ac:dyDescent="0.2">
      <c r="C736" s="147"/>
      <c r="D736" s="147"/>
      <c r="E736" s="147"/>
      <c r="F736" s="147"/>
      <c r="G736" s="147"/>
    </row>
    <row r="737" spans="3:7" ht="14" x14ac:dyDescent="0.2">
      <c r="C737" s="147"/>
      <c r="D737" s="147"/>
      <c r="E737" s="147"/>
      <c r="F737" s="147"/>
      <c r="G737" s="147"/>
    </row>
    <row r="738" spans="3:7" ht="14" x14ac:dyDescent="0.2">
      <c r="C738" s="147"/>
      <c r="D738" s="147"/>
      <c r="E738" s="147"/>
      <c r="F738" s="147"/>
      <c r="G738" s="147"/>
    </row>
    <row r="739" spans="3:7" ht="14" x14ac:dyDescent="0.2">
      <c r="C739" s="147"/>
      <c r="D739" s="147"/>
      <c r="E739" s="147"/>
      <c r="F739" s="147"/>
      <c r="G739" s="147"/>
    </row>
    <row r="740" spans="3:7" ht="14" x14ac:dyDescent="0.2">
      <c r="C740" s="147"/>
      <c r="D740" s="147"/>
      <c r="E740" s="147"/>
      <c r="F740" s="147"/>
      <c r="G740" s="147"/>
    </row>
    <row r="741" spans="3:7" ht="14" x14ac:dyDescent="0.2">
      <c r="C741" s="147"/>
      <c r="D741" s="147"/>
      <c r="E741" s="147"/>
      <c r="F741" s="147"/>
      <c r="G741" s="147"/>
    </row>
    <row r="742" spans="3:7" ht="14" x14ac:dyDescent="0.2">
      <c r="C742" s="147"/>
      <c r="D742" s="147"/>
      <c r="E742" s="147"/>
      <c r="F742" s="147"/>
      <c r="G742" s="147"/>
    </row>
    <row r="743" spans="3:7" ht="14" x14ac:dyDescent="0.2">
      <c r="C743" s="147"/>
      <c r="D743" s="147"/>
      <c r="E743" s="147"/>
      <c r="F743" s="147"/>
      <c r="G743" s="147"/>
    </row>
    <row r="744" spans="3:7" ht="14" x14ac:dyDescent="0.2">
      <c r="C744" s="147"/>
      <c r="D744" s="147"/>
      <c r="E744" s="147"/>
      <c r="F744" s="147"/>
      <c r="G744" s="147"/>
    </row>
    <row r="745" spans="3:7" ht="14" x14ac:dyDescent="0.2">
      <c r="C745" s="147"/>
      <c r="D745" s="147"/>
      <c r="E745" s="147"/>
      <c r="F745" s="147"/>
      <c r="G745" s="147"/>
    </row>
    <row r="746" spans="3:7" ht="14" x14ac:dyDescent="0.2">
      <c r="C746" s="147"/>
      <c r="D746" s="147"/>
      <c r="E746" s="147"/>
      <c r="F746" s="147"/>
      <c r="G746" s="147"/>
    </row>
    <row r="747" spans="3:7" ht="14" x14ac:dyDescent="0.2">
      <c r="C747" s="147"/>
      <c r="D747" s="147"/>
      <c r="E747" s="147"/>
      <c r="F747" s="147"/>
      <c r="G747" s="147"/>
    </row>
    <row r="748" spans="3:7" ht="14" x14ac:dyDescent="0.2">
      <c r="C748" s="147"/>
      <c r="D748" s="147"/>
      <c r="E748" s="147"/>
      <c r="F748" s="147"/>
      <c r="G748" s="147"/>
    </row>
    <row r="749" spans="3:7" ht="14" x14ac:dyDescent="0.2">
      <c r="C749" s="147"/>
      <c r="D749" s="147"/>
      <c r="E749" s="147"/>
      <c r="F749" s="147"/>
      <c r="G749" s="147"/>
    </row>
    <row r="750" spans="3:7" ht="14" x14ac:dyDescent="0.2">
      <c r="C750" s="147"/>
      <c r="D750" s="147"/>
      <c r="E750" s="147"/>
      <c r="F750" s="147"/>
      <c r="G750" s="147"/>
    </row>
    <row r="751" spans="3:7" ht="14" x14ac:dyDescent="0.2">
      <c r="C751" s="147"/>
      <c r="D751" s="147"/>
      <c r="E751" s="147"/>
      <c r="F751" s="147"/>
      <c r="G751" s="147"/>
    </row>
    <row r="752" spans="3:7" ht="14" x14ac:dyDescent="0.2">
      <c r="C752" s="147"/>
      <c r="D752" s="147"/>
      <c r="E752" s="147"/>
      <c r="F752" s="147"/>
      <c r="G752" s="147"/>
    </row>
    <row r="753" spans="3:7" ht="14" x14ac:dyDescent="0.2">
      <c r="C753" s="147"/>
      <c r="D753" s="147"/>
      <c r="E753" s="147"/>
      <c r="F753" s="147"/>
      <c r="G753" s="147"/>
    </row>
    <row r="754" spans="3:7" ht="14" x14ac:dyDescent="0.2">
      <c r="C754" s="147"/>
      <c r="D754" s="147"/>
      <c r="E754" s="147"/>
      <c r="F754" s="147"/>
      <c r="G754" s="147"/>
    </row>
    <row r="755" spans="3:7" ht="14" x14ac:dyDescent="0.2">
      <c r="C755" s="147"/>
      <c r="D755" s="147"/>
      <c r="E755" s="147"/>
      <c r="F755" s="147"/>
      <c r="G755" s="147"/>
    </row>
    <row r="756" spans="3:7" ht="14" x14ac:dyDescent="0.2">
      <c r="C756" s="147"/>
      <c r="D756" s="147"/>
      <c r="E756" s="147"/>
      <c r="F756" s="147"/>
      <c r="G756" s="147"/>
    </row>
    <row r="757" spans="3:7" ht="14" x14ac:dyDescent="0.2">
      <c r="C757" s="147"/>
      <c r="D757" s="147"/>
      <c r="E757" s="147"/>
      <c r="F757" s="147"/>
      <c r="G757" s="147"/>
    </row>
    <row r="758" spans="3:7" ht="14" x14ac:dyDescent="0.2">
      <c r="C758" s="147"/>
      <c r="D758" s="147"/>
      <c r="E758" s="147"/>
      <c r="F758" s="147"/>
      <c r="G758" s="147"/>
    </row>
    <row r="759" spans="3:7" ht="14" x14ac:dyDescent="0.2">
      <c r="C759" s="147"/>
      <c r="D759" s="147"/>
      <c r="E759" s="147"/>
      <c r="F759" s="147"/>
      <c r="G759" s="147"/>
    </row>
    <row r="760" spans="3:7" ht="14" x14ac:dyDescent="0.2">
      <c r="C760" s="147"/>
      <c r="D760" s="147"/>
      <c r="E760" s="147"/>
      <c r="F760" s="147"/>
      <c r="G760" s="147"/>
    </row>
    <row r="761" spans="3:7" ht="14" x14ac:dyDescent="0.2">
      <c r="C761" s="147"/>
      <c r="D761" s="147"/>
      <c r="E761" s="147"/>
      <c r="F761" s="147"/>
      <c r="G761" s="147"/>
    </row>
    <row r="762" spans="3:7" ht="14" x14ac:dyDescent="0.2">
      <c r="C762" s="147"/>
      <c r="D762" s="147"/>
      <c r="E762" s="147"/>
      <c r="F762" s="147"/>
      <c r="G762" s="147"/>
    </row>
    <row r="763" spans="3:7" ht="14" x14ac:dyDescent="0.2">
      <c r="C763" s="147"/>
      <c r="D763" s="147"/>
      <c r="E763" s="147"/>
      <c r="F763" s="147"/>
      <c r="G763" s="147"/>
    </row>
    <row r="764" spans="3:7" ht="14" x14ac:dyDescent="0.2">
      <c r="C764" s="147"/>
      <c r="D764" s="147"/>
      <c r="E764" s="147"/>
      <c r="F764" s="147"/>
      <c r="G764" s="147"/>
    </row>
    <row r="765" spans="3:7" ht="14" x14ac:dyDescent="0.2">
      <c r="C765" s="147"/>
      <c r="D765" s="147"/>
      <c r="E765" s="147"/>
      <c r="F765" s="147"/>
      <c r="G765" s="147"/>
    </row>
    <row r="766" spans="3:7" ht="14" x14ac:dyDescent="0.2">
      <c r="C766" s="147"/>
      <c r="D766" s="147"/>
      <c r="E766" s="147"/>
      <c r="F766" s="147"/>
      <c r="G766" s="147"/>
    </row>
    <row r="767" spans="3:7" ht="14" x14ac:dyDescent="0.2">
      <c r="C767" s="147"/>
      <c r="D767" s="147"/>
      <c r="E767" s="147"/>
      <c r="F767" s="147"/>
      <c r="G767" s="147"/>
    </row>
    <row r="768" spans="3:7" ht="14" x14ac:dyDescent="0.2">
      <c r="C768" s="147"/>
      <c r="D768" s="147"/>
      <c r="E768" s="147"/>
      <c r="F768" s="147"/>
      <c r="G768" s="147"/>
    </row>
    <row r="769" spans="3:7" ht="14" x14ac:dyDescent="0.2">
      <c r="C769" s="147"/>
      <c r="D769" s="147"/>
      <c r="E769" s="147"/>
      <c r="F769" s="147"/>
      <c r="G769" s="147"/>
    </row>
    <row r="770" spans="3:7" ht="14" x14ac:dyDescent="0.2">
      <c r="C770" s="147"/>
      <c r="D770" s="147"/>
      <c r="E770" s="147"/>
      <c r="F770" s="147"/>
      <c r="G770" s="147"/>
    </row>
    <row r="771" spans="3:7" ht="14" x14ac:dyDescent="0.2">
      <c r="C771" s="147"/>
      <c r="D771" s="147"/>
      <c r="E771" s="147"/>
      <c r="F771" s="147"/>
      <c r="G771" s="147"/>
    </row>
    <row r="772" spans="3:7" ht="14" x14ac:dyDescent="0.2">
      <c r="C772" s="147"/>
      <c r="D772" s="147"/>
      <c r="E772" s="147"/>
      <c r="F772" s="147"/>
      <c r="G772" s="147"/>
    </row>
    <row r="773" spans="3:7" ht="14" x14ac:dyDescent="0.2">
      <c r="C773" s="147"/>
      <c r="D773" s="147"/>
      <c r="E773" s="147"/>
      <c r="F773" s="147"/>
      <c r="G773" s="147"/>
    </row>
    <row r="774" spans="3:7" ht="14" x14ac:dyDescent="0.2">
      <c r="C774" s="147"/>
      <c r="D774" s="147"/>
      <c r="E774" s="147"/>
      <c r="F774" s="147"/>
      <c r="G774" s="147"/>
    </row>
    <row r="775" spans="3:7" ht="14" x14ac:dyDescent="0.2">
      <c r="C775" s="147"/>
      <c r="D775" s="147"/>
      <c r="E775" s="147"/>
      <c r="F775" s="147"/>
      <c r="G775" s="147"/>
    </row>
    <row r="776" spans="3:7" ht="14" x14ac:dyDescent="0.2">
      <c r="C776" s="147"/>
      <c r="D776" s="147"/>
      <c r="E776" s="147"/>
      <c r="F776" s="147"/>
      <c r="G776" s="147"/>
    </row>
    <row r="777" spans="3:7" ht="14" x14ac:dyDescent="0.2">
      <c r="C777" s="147"/>
      <c r="D777" s="147"/>
      <c r="E777" s="147"/>
      <c r="F777" s="147"/>
      <c r="G777" s="147"/>
    </row>
    <row r="778" spans="3:7" ht="14" x14ac:dyDescent="0.2">
      <c r="C778" s="147"/>
      <c r="D778" s="147"/>
      <c r="E778" s="147"/>
      <c r="F778" s="147"/>
      <c r="G778" s="147"/>
    </row>
    <row r="779" spans="3:7" ht="14" x14ac:dyDescent="0.2">
      <c r="C779" s="147"/>
      <c r="D779" s="147"/>
      <c r="E779" s="147"/>
      <c r="F779" s="147"/>
      <c r="G779" s="147"/>
    </row>
    <row r="780" spans="3:7" ht="14" x14ac:dyDescent="0.2">
      <c r="C780" s="147"/>
      <c r="D780" s="147"/>
      <c r="E780" s="147"/>
      <c r="F780" s="147"/>
      <c r="G780" s="147"/>
    </row>
    <row r="781" spans="3:7" ht="14" x14ac:dyDescent="0.2">
      <c r="C781" s="147"/>
      <c r="D781" s="147"/>
      <c r="E781" s="147"/>
      <c r="F781" s="147"/>
      <c r="G781" s="147"/>
    </row>
    <row r="782" spans="3:7" ht="14" x14ac:dyDescent="0.2">
      <c r="C782" s="147"/>
      <c r="D782" s="147"/>
      <c r="E782" s="147"/>
      <c r="F782" s="147"/>
      <c r="G782" s="147"/>
    </row>
    <row r="783" spans="3:7" ht="14" x14ac:dyDescent="0.2">
      <c r="C783" s="147"/>
      <c r="D783" s="147"/>
      <c r="E783" s="147"/>
      <c r="F783" s="147"/>
      <c r="G783" s="147"/>
    </row>
    <row r="784" spans="3:7" ht="14" x14ac:dyDescent="0.2">
      <c r="C784" s="147"/>
      <c r="D784" s="147"/>
      <c r="E784" s="147"/>
      <c r="F784" s="147"/>
      <c r="G784" s="147"/>
    </row>
    <row r="785" spans="3:7" ht="14" x14ac:dyDescent="0.2">
      <c r="C785" s="147"/>
      <c r="D785" s="147"/>
      <c r="E785" s="147"/>
      <c r="F785" s="147"/>
      <c r="G785" s="147"/>
    </row>
    <row r="786" spans="3:7" ht="14" x14ac:dyDescent="0.2">
      <c r="C786" s="147"/>
      <c r="D786" s="147"/>
      <c r="E786" s="147"/>
      <c r="F786" s="147"/>
      <c r="G786" s="147"/>
    </row>
    <row r="787" spans="3:7" ht="14" x14ac:dyDescent="0.2">
      <c r="C787" s="147"/>
      <c r="D787" s="147"/>
      <c r="E787" s="147"/>
      <c r="F787" s="147"/>
      <c r="G787" s="147"/>
    </row>
    <row r="788" spans="3:7" ht="14" x14ac:dyDescent="0.2">
      <c r="C788" s="147"/>
      <c r="D788" s="147"/>
      <c r="E788" s="147"/>
      <c r="F788" s="147"/>
      <c r="G788" s="147"/>
    </row>
    <row r="789" spans="3:7" ht="14" x14ac:dyDescent="0.2">
      <c r="C789" s="147"/>
      <c r="D789" s="147"/>
      <c r="E789" s="147"/>
      <c r="F789" s="147"/>
      <c r="G789" s="147"/>
    </row>
    <row r="790" spans="3:7" ht="14" x14ac:dyDescent="0.2">
      <c r="C790" s="147"/>
      <c r="D790" s="147"/>
      <c r="E790" s="147"/>
      <c r="F790" s="147"/>
      <c r="G790" s="147"/>
    </row>
    <row r="791" spans="3:7" ht="14" x14ac:dyDescent="0.2">
      <c r="C791" s="147"/>
      <c r="D791" s="147"/>
      <c r="E791" s="147"/>
      <c r="F791" s="147"/>
      <c r="G791" s="147"/>
    </row>
    <row r="792" spans="3:7" ht="14" x14ac:dyDescent="0.2">
      <c r="C792" s="147"/>
      <c r="D792" s="147"/>
      <c r="E792" s="147"/>
      <c r="F792" s="147"/>
      <c r="G792" s="147"/>
    </row>
    <row r="793" spans="3:7" ht="14" x14ac:dyDescent="0.2">
      <c r="C793" s="147"/>
      <c r="D793" s="147"/>
      <c r="E793" s="147"/>
      <c r="F793" s="147"/>
      <c r="G793" s="147"/>
    </row>
    <row r="794" spans="3:7" ht="14" x14ac:dyDescent="0.2">
      <c r="C794" s="147"/>
      <c r="D794" s="147"/>
      <c r="E794" s="147"/>
      <c r="F794" s="147"/>
      <c r="G794" s="147"/>
    </row>
    <row r="795" spans="3:7" ht="14" x14ac:dyDescent="0.2">
      <c r="C795" s="147"/>
      <c r="D795" s="147"/>
      <c r="E795" s="147"/>
      <c r="F795" s="147"/>
      <c r="G795" s="147"/>
    </row>
    <row r="796" spans="3:7" ht="14" x14ac:dyDescent="0.2">
      <c r="C796" s="147"/>
      <c r="D796" s="147"/>
      <c r="E796" s="147"/>
      <c r="F796" s="147"/>
      <c r="G796" s="147"/>
    </row>
    <row r="797" spans="3:7" ht="14" x14ac:dyDescent="0.2">
      <c r="C797" s="147"/>
      <c r="D797" s="147"/>
      <c r="E797" s="147"/>
      <c r="F797" s="147"/>
      <c r="G797" s="147"/>
    </row>
    <row r="798" spans="3:7" ht="14" x14ac:dyDescent="0.2">
      <c r="C798" s="147"/>
      <c r="D798" s="147"/>
      <c r="E798" s="147"/>
      <c r="F798" s="147"/>
      <c r="G798" s="147"/>
    </row>
    <row r="799" spans="3:7" ht="14" x14ac:dyDescent="0.2">
      <c r="C799" s="147"/>
      <c r="D799" s="147"/>
      <c r="E799" s="147"/>
      <c r="F799" s="147"/>
      <c r="G799" s="147"/>
    </row>
    <row r="800" spans="3:7" ht="14" x14ac:dyDescent="0.2">
      <c r="C800" s="147"/>
      <c r="D800" s="147"/>
      <c r="E800" s="147"/>
      <c r="F800" s="147"/>
      <c r="G800" s="147"/>
    </row>
    <row r="801" spans="3:7" ht="14" x14ac:dyDescent="0.2">
      <c r="C801" s="147"/>
      <c r="D801" s="147"/>
      <c r="E801" s="147"/>
      <c r="F801" s="147"/>
      <c r="G801" s="147"/>
    </row>
    <row r="802" spans="3:7" ht="14" x14ac:dyDescent="0.2">
      <c r="C802" s="147"/>
      <c r="D802" s="147"/>
      <c r="E802" s="147"/>
      <c r="F802" s="147"/>
      <c r="G802" s="147"/>
    </row>
    <row r="803" spans="3:7" ht="14" x14ac:dyDescent="0.2">
      <c r="C803" s="147"/>
      <c r="D803" s="147"/>
      <c r="E803" s="147"/>
      <c r="F803" s="147"/>
      <c r="G803" s="147"/>
    </row>
    <row r="804" spans="3:7" ht="14" x14ac:dyDescent="0.2">
      <c r="C804" s="147"/>
      <c r="D804" s="147"/>
      <c r="E804" s="147"/>
      <c r="F804" s="147"/>
      <c r="G804" s="147"/>
    </row>
    <row r="805" spans="3:7" ht="14" x14ac:dyDescent="0.2">
      <c r="C805" s="147"/>
      <c r="D805" s="147"/>
      <c r="E805" s="147"/>
      <c r="F805" s="147"/>
      <c r="G805" s="147"/>
    </row>
    <row r="806" spans="3:7" ht="14" x14ac:dyDescent="0.2">
      <c r="C806" s="147"/>
      <c r="D806" s="147"/>
      <c r="E806" s="147"/>
      <c r="F806" s="147"/>
      <c r="G806" s="147"/>
    </row>
    <row r="807" spans="3:7" ht="14" x14ac:dyDescent="0.2">
      <c r="C807" s="147"/>
      <c r="D807" s="147"/>
      <c r="E807" s="147"/>
      <c r="F807" s="147"/>
      <c r="G807" s="147"/>
    </row>
    <row r="808" spans="3:7" ht="14" x14ac:dyDescent="0.2">
      <c r="C808" s="147"/>
      <c r="D808" s="147"/>
      <c r="E808" s="147"/>
      <c r="F808" s="147"/>
      <c r="G808" s="147"/>
    </row>
    <row r="809" spans="3:7" ht="14" x14ac:dyDescent="0.2">
      <c r="C809" s="147"/>
      <c r="D809" s="147"/>
      <c r="E809" s="147"/>
      <c r="F809" s="147"/>
      <c r="G809" s="147"/>
    </row>
    <row r="810" spans="3:7" ht="14" x14ac:dyDescent="0.2">
      <c r="C810" s="147"/>
      <c r="D810" s="147"/>
      <c r="E810" s="147"/>
      <c r="F810" s="147"/>
      <c r="G810" s="147"/>
    </row>
    <row r="811" spans="3:7" ht="14" x14ac:dyDescent="0.2">
      <c r="C811" s="147"/>
      <c r="D811" s="147"/>
      <c r="E811" s="147"/>
      <c r="F811" s="147"/>
      <c r="G811" s="147"/>
    </row>
    <row r="812" spans="3:7" ht="14" x14ac:dyDescent="0.2">
      <c r="C812" s="147"/>
      <c r="D812" s="147"/>
      <c r="E812" s="147"/>
      <c r="F812" s="147"/>
      <c r="G812" s="147"/>
    </row>
    <row r="813" spans="3:7" ht="14" x14ac:dyDescent="0.2">
      <c r="C813" s="147"/>
      <c r="D813" s="147"/>
      <c r="E813" s="147"/>
      <c r="F813" s="147"/>
      <c r="G813" s="147"/>
    </row>
    <row r="814" spans="3:7" ht="14" x14ac:dyDescent="0.2">
      <c r="C814" s="147"/>
      <c r="D814" s="147"/>
      <c r="E814" s="147"/>
      <c r="F814" s="147"/>
      <c r="G814" s="147"/>
    </row>
    <row r="815" spans="3:7" ht="14" x14ac:dyDescent="0.2">
      <c r="C815" s="147"/>
      <c r="D815" s="147"/>
      <c r="E815" s="147"/>
      <c r="F815" s="147"/>
      <c r="G815" s="147"/>
    </row>
    <row r="816" spans="3:7" ht="14" x14ac:dyDescent="0.2">
      <c r="C816" s="147"/>
      <c r="D816" s="147"/>
      <c r="E816" s="147"/>
      <c r="F816" s="147"/>
      <c r="G816" s="147"/>
    </row>
    <row r="817" spans="3:7" ht="14" x14ac:dyDescent="0.2">
      <c r="C817" s="147"/>
      <c r="D817" s="147"/>
      <c r="E817" s="147"/>
      <c r="F817" s="147"/>
      <c r="G817" s="147"/>
    </row>
    <row r="818" spans="3:7" ht="14" x14ac:dyDescent="0.2">
      <c r="C818" s="147"/>
      <c r="D818" s="147"/>
      <c r="E818" s="147"/>
      <c r="F818" s="147"/>
      <c r="G818" s="147"/>
    </row>
    <row r="819" spans="3:7" ht="14" x14ac:dyDescent="0.2">
      <c r="C819" s="147"/>
      <c r="D819" s="147"/>
      <c r="E819" s="147"/>
      <c r="F819" s="147"/>
      <c r="G819" s="147"/>
    </row>
    <row r="820" spans="3:7" ht="14" x14ac:dyDescent="0.2">
      <c r="C820" s="147"/>
      <c r="D820" s="147"/>
      <c r="E820" s="147"/>
      <c r="F820" s="147"/>
      <c r="G820" s="147"/>
    </row>
    <row r="821" spans="3:7" ht="14" x14ac:dyDescent="0.2">
      <c r="C821" s="147"/>
      <c r="D821" s="147"/>
      <c r="E821" s="147"/>
      <c r="F821" s="147"/>
      <c r="G821" s="147"/>
    </row>
    <row r="822" spans="3:7" ht="14" x14ac:dyDescent="0.2">
      <c r="C822" s="147"/>
      <c r="D822" s="147"/>
      <c r="E822" s="147"/>
      <c r="F822" s="147"/>
      <c r="G822" s="147"/>
    </row>
    <row r="823" spans="3:7" ht="14" x14ac:dyDescent="0.2">
      <c r="C823" s="147"/>
      <c r="D823" s="147"/>
      <c r="E823" s="147"/>
      <c r="F823" s="147"/>
      <c r="G823" s="147"/>
    </row>
    <row r="824" spans="3:7" ht="14" x14ac:dyDescent="0.2">
      <c r="C824" s="147"/>
      <c r="D824" s="147"/>
      <c r="E824" s="147"/>
      <c r="F824" s="147"/>
      <c r="G824" s="147"/>
    </row>
    <row r="825" spans="3:7" ht="14" x14ac:dyDescent="0.2">
      <c r="C825" s="147"/>
      <c r="D825" s="147"/>
      <c r="E825" s="147"/>
      <c r="F825" s="147"/>
      <c r="G825" s="147"/>
    </row>
    <row r="826" spans="3:7" ht="14" x14ac:dyDescent="0.2">
      <c r="C826" s="147"/>
      <c r="D826" s="147"/>
      <c r="E826" s="147"/>
      <c r="F826" s="147"/>
      <c r="G826" s="147"/>
    </row>
    <row r="827" spans="3:7" ht="14" x14ac:dyDescent="0.2">
      <c r="C827" s="147"/>
      <c r="D827" s="147"/>
      <c r="E827" s="147"/>
      <c r="F827" s="147"/>
      <c r="G827" s="147"/>
    </row>
    <row r="828" spans="3:7" ht="14" x14ac:dyDescent="0.2">
      <c r="C828" s="147"/>
      <c r="D828" s="147"/>
      <c r="E828" s="147"/>
      <c r="F828" s="147"/>
      <c r="G828" s="147"/>
    </row>
    <row r="829" spans="3:7" ht="14" x14ac:dyDescent="0.2">
      <c r="C829" s="147"/>
      <c r="D829" s="147"/>
      <c r="E829" s="147"/>
      <c r="F829" s="147"/>
      <c r="G829" s="147"/>
    </row>
    <row r="830" spans="3:7" ht="14" x14ac:dyDescent="0.2">
      <c r="C830" s="147"/>
      <c r="D830" s="147"/>
      <c r="E830" s="147"/>
      <c r="F830" s="147"/>
      <c r="G830" s="147"/>
    </row>
    <row r="831" spans="3:7" ht="14" x14ac:dyDescent="0.2">
      <c r="C831" s="147"/>
      <c r="D831" s="147"/>
      <c r="E831" s="147"/>
      <c r="F831" s="147"/>
      <c r="G831" s="147"/>
    </row>
    <row r="832" spans="3:7" ht="14" x14ac:dyDescent="0.2">
      <c r="C832" s="147"/>
      <c r="D832" s="147"/>
      <c r="E832" s="147"/>
      <c r="F832" s="147"/>
      <c r="G832" s="147"/>
    </row>
    <row r="833" spans="3:7" ht="14" x14ac:dyDescent="0.2">
      <c r="C833" s="147"/>
      <c r="D833" s="147"/>
      <c r="E833" s="147"/>
      <c r="F833" s="147"/>
      <c r="G833" s="147"/>
    </row>
    <row r="834" spans="3:7" ht="14" x14ac:dyDescent="0.2">
      <c r="C834" s="147"/>
      <c r="D834" s="147"/>
      <c r="E834" s="147"/>
      <c r="F834" s="147"/>
      <c r="G834" s="147"/>
    </row>
  </sheetData>
  <mergeCells count="7">
    <mergeCell ref="A28:B28"/>
    <mergeCell ref="A1:G1"/>
    <mergeCell ref="A2:G2"/>
    <mergeCell ref="A3:B3"/>
    <mergeCell ref="A4:B4"/>
    <mergeCell ref="A10:B10"/>
    <mergeCell ref="A23:B23"/>
  </mergeCells>
  <conditionalFormatting sqref="J11:J21">
    <cfRule type="iconSet" priority="11">
      <iconSet iconSet="3Arrows">
        <cfvo type="percent" val="0"/>
        <cfvo type="num" val="0" gte="0"/>
        <cfvo type="num" val="0"/>
      </iconSet>
    </cfRule>
  </conditionalFormatting>
  <conditionalFormatting sqref="J24">
    <cfRule type="iconSet" priority="10">
      <iconSet iconSet="3Arrows">
        <cfvo type="percent" val="0"/>
        <cfvo type="num" val="0" gte="0"/>
        <cfvo type="num" val="0"/>
      </iconSet>
    </cfRule>
  </conditionalFormatting>
  <conditionalFormatting sqref="J25">
    <cfRule type="iconSet" priority="9">
      <iconSet iconSet="3Arrows">
        <cfvo type="percent" val="0"/>
        <cfvo type="num" val="0" gte="0"/>
        <cfvo type="num" val="0"/>
      </iconSet>
    </cfRule>
  </conditionalFormatting>
  <conditionalFormatting sqref="J26">
    <cfRule type="iconSet" priority="8">
      <iconSet iconSet="3Arrows">
        <cfvo type="percent" val="0"/>
        <cfvo type="num" val="0" gte="0"/>
        <cfvo type="num" val="0"/>
      </iconSet>
    </cfRule>
  </conditionalFormatting>
  <conditionalFormatting sqref="J29">
    <cfRule type="iconSet" priority="7">
      <iconSet iconSet="3Arrows">
        <cfvo type="percent" val="0"/>
        <cfvo type="num" val="0" gte="0"/>
        <cfvo type="num" val="0"/>
      </iconSet>
    </cfRule>
  </conditionalFormatting>
  <conditionalFormatting sqref="J30">
    <cfRule type="iconSet" priority="6">
      <iconSet iconSet="3Arrows">
        <cfvo type="percent" val="0"/>
        <cfvo type="num" val="0" gte="0"/>
        <cfvo type="num" val="0"/>
      </iconSet>
    </cfRule>
  </conditionalFormatting>
  <conditionalFormatting sqref="J31">
    <cfRule type="iconSet" priority="5">
      <iconSet iconSet="3Arrows">
        <cfvo type="percent" val="0"/>
        <cfvo type="num" val="0" gte="0"/>
        <cfvo type="num" val="0"/>
      </iconSet>
    </cfRule>
  </conditionalFormatting>
  <conditionalFormatting sqref="J32">
    <cfRule type="iconSet" priority="4">
      <iconSet iconSet="3Arrows">
        <cfvo type="percent" val="0"/>
        <cfvo type="num" val="0" gte="0"/>
        <cfvo type="num" val="0"/>
      </iconSet>
    </cfRule>
  </conditionalFormatting>
  <conditionalFormatting sqref="J33">
    <cfRule type="iconSet" priority="3">
      <iconSet iconSet="3Arrows">
        <cfvo type="percent" val="0"/>
        <cfvo type="num" val="0" gte="0"/>
        <cfvo type="num" val="0"/>
      </iconSet>
    </cfRule>
  </conditionalFormatting>
  <conditionalFormatting sqref="J34">
    <cfRule type="iconSet" priority="2">
      <iconSet iconSet="3Arrows">
        <cfvo type="percent" val="0"/>
        <cfvo type="num" val="0" gte="0"/>
        <cfvo type="num" val="0"/>
      </iconSet>
    </cfRule>
  </conditionalFormatting>
  <conditionalFormatting sqref="J35">
    <cfRule type="iconSet" priority="1">
      <iconSet iconSet="3Arrows">
        <cfvo type="percent" val="0"/>
        <cfvo type="num" val="0" gte="0"/>
        <cfvo type="num" val="0"/>
      </iconSet>
    </cfRule>
  </conditionalFormatting>
  <pageMargins left="0.25" right="0.25" top="0.75" bottom="0.75" header="0.3" footer="0.3"/>
  <pageSetup scale="9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12330-2F29-4E71-9CA6-F5F7EDC1C9C7}">
  <sheetPr>
    <outlinePr summaryBelow="0" summaryRight="0"/>
  </sheetPr>
  <dimension ref="A1:H997"/>
  <sheetViews>
    <sheetView showGridLines="0" workbookViewId="0">
      <selection activeCell="H29" sqref="H29:H35"/>
    </sheetView>
  </sheetViews>
  <sheetFormatPr baseColWidth="10" defaultColWidth="11" defaultRowHeight="15.75" customHeight="1" x14ac:dyDescent="0.2"/>
  <cols>
    <col min="1" max="1" width="6" style="146" customWidth="1"/>
    <col min="2" max="2" width="34.6640625" style="146" customWidth="1"/>
    <col min="3" max="3" width="11.1640625" style="146" customWidth="1"/>
    <col min="4" max="7" width="11.1640625" style="146" hidden="1" customWidth="1"/>
    <col min="8" max="8" width="11.1640625" style="146" customWidth="1"/>
    <col min="9" max="16384" width="11" style="146"/>
  </cols>
  <sheetData>
    <row r="1" spans="1:8" ht="16" x14ac:dyDescent="0.2">
      <c r="A1" s="251" t="s">
        <v>371</v>
      </c>
      <c r="B1" s="252"/>
      <c r="C1" s="252"/>
      <c r="D1" s="252"/>
      <c r="E1" s="252"/>
      <c r="F1" s="252"/>
      <c r="G1" s="252"/>
      <c r="H1" s="252"/>
    </row>
    <row r="2" spans="1:8" ht="16" x14ac:dyDescent="0.2">
      <c r="A2" s="175"/>
      <c r="B2" s="174"/>
      <c r="C2" s="174"/>
      <c r="D2" s="174"/>
      <c r="E2" s="174"/>
      <c r="F2" s="174"/>
      <c r="G2" s="174"/>
      <c r="H2" s="174">
        <v>2023</v>
      </c>
    </row>
    <row r="3" spans="1:8" ht="30" x14ac:dyDescent="0.2">
      <c r="A3" s="248" t="s">
        <v>333</v>
      </c>
      <c r="B3" s="249"/>
      <c r="C3" s="148"/>
      <c r="D3" s="148" t="s">
        <v>334</v>
      </c>
      <c r="E3" s="148" t="s">
        <v>335</v>
      </c>
      <c r="F3" s="148" t="s">
        <v>376</v>
      </c>
      <c r="G3" s="148" t="s">
        <v>377</v>
      </c>
      <c r="H3" s="148" t="s">
        <v>370</v>
      </c>
    </row>
    <row r="4" spans="1:8" ht="14" x14ac:dyDescent="0.2">
      <c r="A4" s="250" t="s">
        <v>336</v>
      </c>
      <c r="B4" s="243"/>
      <c r="C4" s="150"/>
      <c r="D4" s="150"/>
      <c r="E4" s="147"/>
      <c r="F4" s="147"/>
      <c r="G4" s="147"/>
      <c r="H4" s="147"/>
    </row>
    <row r="5" spans="1:8" ht="14" x14ac:dyDescent="0.2">
      <c r="A5" s="176"/>
      <c r="B5" s="245" t="s">
        <v>337</v>
      </c>
      <c r="C5" s="246"/>
      <c r="D5" s="154">
        <v>80552</v>
      </c>
      <c r="E5" s="154">
        <f>D5/12</f>
        <v>6712.666666666667</v>
      </c>
      <c r="F5" s="154">
        <f>SUM('2023 actual'!C5:J5)</f>
        <v>82536</v>
      </c>
      <c r="G5" s="154">
        <f>SUM('2023 actual'!K5:N5)</f>
        <v>540.5</v>
      </c>
      <c r="H5" s="154">
        <f>F5+G5</f>
        <v>83076.5</v>
      </c>
    </row>
    <row r="6" spans="1:8" ht="14" x14ac:dyDescent="0.2">
      <c r="A6" s="177"/>
      <c r="B6" s="247" t="s">
        <v>167</v>
      </c>
      <c r="C6" s="246"/>
      <c r="D6" s="154">
        <v>300</v>
      </c>
      <c r="E6" s="154">
        <f>D6/12</f>
        <v>25</v>
      </c>
      <c r="F6" s="154">
        <f>SUM('2023 actual'!C6:J6)</f>
        <v>0</v>
      </c>
      <c r="G6" s="154">
        <f>SUM('2023 actual'!K6:N6)</f>
        <v>0</v>
      </c>
      <c r="H6" s="154">
        <f>F6+G6</f>
        <v>0</v>
      </c>
    </row>
    <row r="7" spans="1:8" ht="14" x14ac:dyDescent="0.2">
      <c r="A7" s="178"/>
      <c r="B7" s="247" t="s">
        <v>338</v>
      </c>
      <c r="C7" s="246"/>
      <c r="D7" s="154">
        <v>0</v>
      </c>
      <c r="E7" s="154">
        <f>D7/12</f>
        <v>0</v>
      </c>
      <c r="F7" s="154">
        <f>SUM('2023 actual'!C7:J7)</f>
        <v>750</v>
      </c>
      <c r="G7" s="154">
        <f>SUM('2023 actual'!K7:N7)</f>
        <v>150</v>
      </c>
      <c r="H7" s="154">
        <f>F7+G7</f>
        <v>900</v>
      </c>
    </row>
    <row r="8" spans="1:8" ht="15" thickBot="1" x14ac:dyDescent="0.25">
      <c r="A8" s="155"/>
      <c r="B8" s="156" t="s">
        <v>339</v>
      </c>
      <c r="C8" s="157"/>
      <c r="D8" s="157">
        <f>SUM(D5:D7)</f>
        <v>80852</v>
      </c>
      <c r="E8" s="157">
        <f>SUM(E5:E7)</f>
        <v>6737.666666666667</v>
      </c>
      <c r="F8" s="157">
        <f>SUM(F5:F7)</f>
        <v>83286</v>
      </c>
      <c r="G8" s="157">
        <f>SUM(G5:G7)</f>
        <v>690.5</v>
      </c>
      <c r="H8" s="157">
        <f>SUM(H5:H7)</f>
        <v>83976.5</v>
      </c>
    </row>
    <row r="9" spans="1:8" ht="15" thickTop="1" x14ac:dyDescent="0.2">
      <c r="A9" s="149" t="s">
        <v>340</v>
      </c>
      <c r="C9" s="150"/>
      <c r="D9" s="150"/>
      <c r="E9" s="150"/>
      <c r="F9" s="150"/>
      <c r="G9" s="150"/>
      <c r="H9" s="150"/>
    </row>
    <row r="10" spans="1:8" ht="14" x14ac:dyDescent="0.2">
      <c r="A10" s="244" t="s">
        <v>341</v>
      </c>
      <c r="B10" s="243"/>
      <c r="C10" s="150"/>
      <c r="D10" s="150"/>
      <c r="E10" s="150"/>
      <c r="F10" s="150"/>
      <c r="G10" s="150"/>
      <c r="H10" s="150"/>
    </row>
    <row r="11" spans="1:8" ht="14" x14ac:dyDescent="0.2">
      <c r="A11" s="176"/>
      <c r="B11" s="245" t="s">
        <v>342</v>
      </c>
      <c r="C11" s="246"/>
      <c r="D11" s="154">
        <v>1451</v>
      </c>
      <c r="E11" s="154">
        <f t="shared" ref="E11" si="0">C11/12</f>
        <v>0</v>
      </c>
      <c r="F11" s="154">
        <f>SUM('2023 actual'!C11:J11)</f>
        <v>2195</v>
      </c>
      <c r="G11" s="154">
        <f>SUM('2023 actual'!K11:N11)</f>
        <v>0</v>
      </c>
      <c r="H11" s="154">
        <f>F11+G11</f>
        <v>2195</v>
      </c>
    </row>
    <row r="12" spans="1:8" ht="14" x14ac:dyDescent="0.2">
      <c r="A12" s="177"/>
      <c r="B12" s="245" t="s">
        <v>343</v>
      </c>
      <c r="C12" s="246"/>
      <c r="D12" s="154">
        <v>1169</v>
      </c>
      <c r="E12" s="154">
        <f t="shared" ref="E12:E21" si="1">D12/12</f>
        <v>97.416666666666671</v>
      </c>
      <c r="F12" s="154">
        <f>SUM('2023 actual'!C12:J12)</f>
        <v>976.5</v>
      </c>
      <c r="G12" s="154">
        <f>SUM('2023 actual'!K12:N12)</f>
        <v>0</v>
      </c>
      <c r="H12" s="154">
        <f t="shared" ref="H12:H21" si="2">F12+G12</f>
        <v>976.5</v>
      </c>
    </row>
    <row r="13" spans="1:8" ht="14" x14ac:dyDescent="0.2">
      <c r="A13" s="177"/>
      <c r="B13" s="245" t="s">
        <v>301</v>
      </c>
      <c r="C13" s="246"/>
      <c r="D13" s="154">
        <v>0</v>
      </c>
      <c r="E13" s="154">
        <f t="shared" si="1"/>
        <v>0</v>
      </c>
      <c r="F13" s="154">
        <f>SUM('2023 actual'!C13:J13)</f>
        <v>100</v>
      </c>
      <c r="G13" s="154">
        <f>SUM('2023 actual'!K13:N13)</f>
        <v>0</v>
      </c>
      <c r="H13" s="154">
        <f t="shared" si="2"/>
        <v>100</v>
      </c>
    </row>
    <row r="14" spans="1:8" ht="14" x14ac:dyDescent="0.2">
      <c r="A14" s="177"/>
      <c r="B14" s="245" t="s">
        <v>14</v>
      </c>
      <c r="C14" s="246"/>
      <c r="D14" s="154">
        <v>120</v>
      </c>
      <c r="E14" s="154">
        <f t="shared" si="1"/>
        <v>10</v>
      </c>
      <c r="F14" s="154">
        <f>SUM('2023 actual'!C14:J14)</f>
        <v>283.93</v>
      </c>
      <c r="G14" s="154">
        <f>SUM('2023 actual'!K14:N14)</f>
        <v>0</v>
      </c>
      <c r="H14" s="154">
        <f t="shared" si="2"/>
        <v>283.93</v>
      </c>
    </row>
    <row r="15" spans="1:8" ht="12.75" customHeight="1" x14ac:dyDescent="0.2">
      <c r="A15" s="177"/>
      <c r="B15" s="247" t="s">
        <v>344</v>
      </c>
      <c r="C15" s="246"/>
      <c r="D15" s="154">
        <v>0</v>
      </c>
      <c r="E15" s="154">
        <f t="shared" si="1"/>
        <v>0</v>
      </c>
      <c r="F15" s="154">
        <f>SUM('2023 actual'!C15:J15)</f>
        <v>0</v>
      </c>
      <c r="G15" s="154">
        <f>SUM('2023 actual'!K15:N15)</f>
        <v>0</v>
      </c>
      <c r="H15" s="154">
        <f t="shared" si="2"/>
        <v>0</v>
      </c>
    </row>
    <row r="16" spans="1:8" ht="14" x14ac:dyDescent="0.2">
      <c r="A16" s="177"/>
      <c r="B16" s="247" t="s">
        <v>287</v>
      </c>
      <c r="C16" s="246"/>
      <c r="D16" s="154">
        <v>210</v>
      </c>
      <c r="E16" s="154">
        <f t="shared" si="1"/>
        <v>17.5</v>
      </c>
      <c r="F16" s="154">
        <f>SUM('2023 actual'!C16:J16)</f>
        <v>25.2</v>
      </c>
      <c r="G16" s="154">
        <f>SUM('2023 actual'!K16:N16)</f>
        <v>210</v>
      </c>
      <c r="H16" s="154">
        <f t="shared" si="2"/>
        <v>235.2</v>
      </c>
    </row>
    <row r="17" spans="1:8" ht="14" x14ac:dyDescent="0.2">
      <c r="A17" s="177"/>
      <c r="B17" s="245" t="s">
        <v>345</v>
      </c>
      <c r="C17" s="246"/>
      <c r="D17" s="154">
        <v>1100</v>
      </c>
      <c r="E17" s="154">
        <f t="shared" si="1"/>
        <v>91.666666666666671</v>
      </c>
      <c r="F17" s="154">
        <f>SUM('2023 actual'!C17:J17)</f>
        <v>267.51</v>
      </c>
      <c r="G17" s="154">
        <f>SUM('2023 actual'!K17:N17)</f>
        <v>0</v>
      </c>
      <c r="H17" s="154">
        <f t="shared" si="2"/>
        <v>267.51</v>
      </c>
    </row>
    <row r="18" spans="1:8" ht="14" x14ac:dyDescent="0.2">
      <c r="A18" s="177"/>
      <c r="B18" s="245" t="s">
        <v>346</v>
      </c>
      <c r="C18" s="246"/>
      <c r="D18" s="154">
        <v>0</v>
      </c>
      <c r="E18" s="154">
        <f t="shared" si="1"/>
        <v>0</v>
      </c>
      <c r="F18" s="154">
        <f>SUM('2023 actual'!C18:J18)</f>
        <v>0</v>
      </c>
      <c r="G18" s="154">
        <f>SUM('2023 actual'!K18:N18)</f>
        <v>0</v>
      </c>
      <c r="H18" s="154">
        <f t="shared" si="2"/>
        <v>0</v>
      </c>
    </row>
    <row r="19" spans="1:8" ht="14" x14ac:dyDescent="0.2">
      <c r="A19" s="177"/>
      <c r="B19" s="152" t="s">
        <v>347</v>
      </c>
      <c r="C19" s="153"/>
      <c r="D19" s="154">
        <v>0</v>
      </c>
      <c r="E19" s="154">
        <f t="shared" si="1"/>
        <v>0</v>
      </c>
      <c r="F19" s="154">
        <f>SUM('2023 actual'!C19:J19)</f>
        <v>452</v>
      </c>
      <c r="G19" s="154">
        <f>SUM('2023 actual'!K19:N19)</f>
        <v>0</v>
      </c>
      <c r="H19" s="154">
        <f t="shared" si="2"/>
        <v>452</v>
      </c>
    </row>
    <row r="20" spans="1:8" ht="14" x14ac:dyDescent="0.2">
      <c r="A20" s="177"/>
      <c r="B20" s="245" t="s">
        <v>348</v>
      </c>
      <c r="C20" s="246"/>
      <c r="D20" s="154">
        <v>360</v>
      </c>
      <c r="E20" s="154">
        <f t="shared" si="1"/>
        <v>30</v>
      </c>
      <c r="F20" s="154">
        <f>SUM('2023 actual'!C20:J20)</f>
        <v>0</v>
      </c>
      <c r="G20" s="154">
        <f>SUM('2023 actual'!K20:N20)</f>
        <v>360</v>
      </c>
      <c r="H20" s="154">
        <f t="shared" si="2"/>
        <v>360</v>
      </c>
    </row>
    <row r="21" spans="1:8" ht="14" x14ac:dyDescent="0.2">
      <c r="A21" s="178"/>
      <c r="B21" s="245" t="s">
        <v>349</v>
      </c>
      <c r="C21" s="246"/>
      <c r="D21" s="154">
        <v>2018</v>
      </c>
      <c r="E21" s="154">
        <f t="shared" si="1"/>
        <v>168.16666666666666</v>
      </c>
      <c r="F21" s="154">
        <f>SUM('2023 actual'!C21:J21)</f>
        <v>0</v>
      </c>
      <c r="G21" s="154">
        <f>SUM('2023 actual'!K21:N21)</f>
        <v>938</v>
      </c>
      <c r="H21" s="154">
        <f t="shared" si="2"/>
        <v>938</v>
      </c>
    </row>
    <row r="22" spans="1:8" ht="14" x14ac:dyDescent="0.2">
      <c r="A22" s="159"/>
      <c r="B22" s="160" t="s">
        <v>350</v>
      </c>
      <c r="C22" s="161"/>
      <c r="D22" s="161">
        <f>SUM(D11:D21)</f>
        <v>6428</v>
      </c>
      <c r="E22" s="161">
        <f>SUM(E11:E21)</f>
        <v>414.75</v>
      </c>
      <c r="F22" s="161">
        <f>SUM(F11:F21)</f>
        <v>4300.1399999999994</v>
      </c>
      <c r="G22" s="161">
        <f>SUM(G11:G21)</f>
        <v>1508</v>
      </c>
      <c r="H22" s="161">
        <f>SUM(H11:H21)</f>
        <v>5808.1399999999994</v>
      </c>
    </row>
    <row r="23" spans="1:8" ht="14" x14ac:dyDescent="0.2">
      <c r="A23" s="244" t="s">
        <v>351</v>
      </c>
      <c r="B23" s="243"/>
      <c r="C23" s="150"/>
      <c r="D23" s="150"/>
      <c r="E23" s="150"/>
      <c r="F23" s="150"/>
      <c r="G23" s="150"/>
      <c r="H23" s="150"/>
    </row>
    <row r="24" spans="1:8" ht="14" x14ac:dyDescent="0.2">
      <c r="A24" s="176"/>
      <c r="B24" s="245" t="s">
        <v>15</v>
      </c>
      <c r="C24" s="246"/>
      <c r="D24" s="154">
        <v>13366</v>
      </c>
      <c r="E24" s="154">
        <f t="shared" ref="E24:E26" si="3">D24/12</f>
        <v>1113.8333333333333</v>
      </c>
      <c r="F24" s="154">
        <f>SUM('2023 actual'!C22:J22)</f>
        <v>8676.44</v>
      </c>
      <c r="G24" s="154">
        <f>SUM('2023 actual'!K22:N22)</f>
        <v>4122.28</v>
      </c>
      <c r="H24" s="154">
        <f>F24+G24</f>
        <v>12798.720000000001</v>
      </c>
    </row>
    <row r="25" spans="1:8" ht="14" x14ac:dyDescent="0.2">
      <c r="A25" s="177"/>
      <c r="B25" s="247" t="s">
        <v>352</v>
      </c>
      <c r="C25" s="246"/>
      <c r="D25" s="154">
        <v>1288</v>
      </c>
      <c r="E25" s="154">
        <f t="shared" si="3"/>
        <v>107.33333333333333</v>
      </c>
      <c r="F25" s="154">
        <f>SUM('2023 actual'!C23:J23)</f>
        <v>771.79</v>
      </c>
      <c r="G25" s="154">
        <f>SUM('2023 actual'!K23:N23)</f>
        <v>477.03999999999996</v>
      </c>
      <c r="H25" s="154">
        <f t="shared" ref="H25:H26" si="4">F25+G25</f>
        <v>1248.83</v>
      </c>
    </row>
    <row r="26" spans="1:8" ht="14" x14ac:dyDescent="0.2">
      <c r="A26" s="178"/>
      <c r="B26" s="245" t="s">
        <v>353</v>
      </c>
      <c r="C26" s="246"/>
      <c r="D26" s="154">
        <v>1028</v>
      </c>
      <c r="E26" s="154">
        <f t="shared" si="3"/>
        <v>85.666666666666671</v>
      </c>
      <c r="F26" s="154">
        <f>SUM('2023 actual'!C24:J24)</f>
        <v>758.20000000000016</v>
      </c>
      <c r="G26" s="154">
        <f>SUM('2023 actual'!K24:N24)</f>
        <v>342.52000000000004</v>
      </c>
      <c r="H26" s="154">
        <f t="shared" si="4"/>
        <v>1100.7200000000003</v>
      </c>
    </row>
    <row r="27" spans="1:8" ht="14" x14ac:dyDescent="0.2">
      <c r="A27" s="159"/>
      <c r="B27" s="160" t="s">
        <v>354</v>
      </c>
      <c r="C27" s="161"/>
      <c r="D27" s="161">
        <f>SUM(D24:D26)</f>
        <v>15682</v>
      </c>
      <c r="E27" s="161">
        <f>SUM(E24:E26)</f>
        <v>1306.8333333333333</v>
      </c>
      <c r="F27" s="161">
        <f>SUM(F24:F26)</f>
        <v>10206.43</v>
      </c>
      <c r="G27" s="161">
        <f>SUM(G24:G26)</f>
        <v>4941.84</v>
      </c>
      <c r="H27" s="161">
        <f>SUM(H24:H26)</f>
        <v>15148.27</v>
      </c>
    </row>
    <row r="28" spans="1:8" ht="14" x14ac:dyDescent="0.2">
      <c r="A28" s="244" t="s">
        <v>355</v>
      </c>
      <c r="B28" s="243"/>
      <c r="C28" s="150"/>
      <c r="D28" s="150"/>
      <c r="E28" s="150"/>
      <c r="F28" s="150"/>
      <c r="G28" s="150"/>
      <c r="H28" s="150"/>
    </row>
    <row r="29" spans="1:8" ht="14" x14ac:dyDescent="0.2">
      <c r="A29" s="176"/>
      <c r="B29" s="245" t="s">
        <v>356</v>
      </c>
      <c r="C29" s="246"/>
      <c r="D29" s="154">
        <v>38500</v>
      </c>
      <c r="E29" s="154">
        <f>D29/12</f>
        <v>3208.3333333333335</v>
      </c>
      <c r="F29" s="154">
        <f>SUM('2023 actual'!C25:J25)</f>
        <v>38067.859999999993</v>
      </c>
      <c r="G29" s="154">
        <f>SUM('2023 actual'!K25:N25)</f>
        <v>267.51</v>
      </c>
      <c r="H29" s="154">
        <f t="shared" ref="H29:H35" si="5">F29+G29</f>
        <v>38335.369999999995</v>
      </c>
    </row>
    <row r="30" spans="1:8" ht="14" x14ac:dyDescent="0.2">
      <c r="A30" s="177"/>
      <c r="B30" s="245" t="s">
        <v>357</v>
      </c>
      <c r="C30" s="246"/>
      <c r="D30" s="154">
        <v>3000</v>
      </c>
      <c r="E30" s="154">
        <f t="shared" ref="E30:E35" si="6">D30/12</f>
        <v>250</v>
      </c>
      <c r="F30" s="154">
        <f>SUM('2023 actual'!C26:J26)</f>
        <v>3441.0699999999997</v>
      </c>
      <c r="G30" s="154">
        <f>SUM('2023 actual'!K26:N26)</f>
        <v>0</v>
      </c>
      <c r="H30" s="154">
        <f t="shared" si="5"/>
        <v>3441.0699999999997</v>
      </c>
    </row>
    <row r="31" spans="1:8" ht="14" x14ac:dyDescent="0.2">
      <c r="A31" s="177"/>
      <c r="B31" s="245" t="s">
        <v>358</v>
      </c>
      <c r="C31" s="246"/>
      <c r="D31" s="154">
        <v>17200</v>
      </c>
      <c r="E31" s="154">
        <f t="shared" si="6"/>
        <v>1433.3333333333333</v>
      </c>
      <c r="F31" s="154">
        <f>SUM('2023 actual'!C27:J27)</f>
        <v>9800</v>
      </c>
      <c r="G31" s="154">
        <f>SUM('2023 actual'!K27:N27)</f>
        <v>7400</v>
      </c>
      <c r="H31" s="154">
        <f t="shared" si="5"/>
        <v>17200</v>
      </c>
    </row>
    <row r="32" spans="1:8" ht="14" x14ac:dyDescent="0.2">
      <c r="A32" s="177"/>
      <c r="B32" s="245" t="s">
        <v>359</v>
      </c>
      <c r="C32" s="246"/>
      <c r="D32" s="154">
        <v>64</v>
      </c>
      <c r="E32" s="154">
        <f t="shared" si="6"/>
        <v>5.333333333333333</v>
      </c>
      <c r="F32" s="154">
        <f>SUM('2023 actual'!C28:J28)</f>
        <v>64.2</v>
      </c>
      <c r="G32" s="154">
        <f>SUM('2023 actual'!K28:N28)</f>
        <v>0</v>
      </c>
      <c r="H32" s="154">
        <f t="shared" si="5"/>
        <v>64.2</v>
      </c>
    </row>
    <row r="33" spans="1:8" ht="14" x14ac:dyDescent="0.2">
      <c r="A33" s="177"/>
      <c r="B33" s="245" t="s">
        <v>372</v>
      </c>
      <c r="C33" s="246"/>
      <c r="D33" s="154">
        <f>700+165</f>
        <v>865</v>
      </c>
      <c r="E33" s="154">
        <f t="shared" si="6"/>
        <v>72.083333333333329</v>
      </c>
      <c r="F33" s="154">
        <f>SUM('2023 actual'!C29:J29)</f>
        <v>575</v>
      </c>
      <c r="G33" s="154">
        <f>SUM('2023 actual'!K29:N29)</f>
        <v>230.5</v>
      </c>
      <c r="H33" s="154">
        <f t="shared" si="5"/>
        <v>805.5</v>
      </c>
    </row>
    <row r="34" spans="1:8" ht="14" x14ac:dyDescent="0.2">
      <c r="A34" s="177"/>
      <c r="B34" s="152" t="s">
        <v>360</v>
      </c>
      <c r="C34" s="153"/>
      <c r="D34" s="154">
        <v>1500</v>
      </c>
      <c r="E34" s="154">
        <f t="shared" si="6"/>
        <v>125</v>
      </c>
      <c r="F34" s="154">
        <f>SUM('2023 actual'!C30:J30)</f>
        <v>2740.08</v>
      </c>
      <c r="G34" s="154">
        <f>SUM('2023 actual'!K30:N30)</f>
        <v>2585.1999999999998</v>
      </c>
      <c r="H34" s="154">
        <f t="shared" si="5"/>
        <v>5325.28</v>
      </c>
    </row>
    <row r="35" spans="1:8" ht="14" x14ac:dyDescent="0.2">
      <c r="A35" s="178"/>
      <c r="B35" s="247" t="s">
        <v>361</v>
      </c>
      <c r="C35" s="246"/>
      <c r="D35" s="154">
        <v>0</v>
      </c>
      <c r="E35" s="154">
        <f t="shared" si="6"/>
        <v>0</v>
      </c>
      <c r="F35" s="154">
        <f>SUM('2023 actual'!C31:J31)</f>
        <v>620.5</v>
      </c>
      <c r="G35" s="154">
        <f>SUM('2023 actual'!K31:N31)</f>
        <v>0</v>
      </c>
      <c r="H35" s="154">
        <f t="shared" si="5"/>
        <v>620.5</v>
      </c>
    </row>
    <row r="36" spans="1:8" ht="14" x14ac:dyDescent="0.2">
      <c r="A36" s="159"/>
      <c r="B36" s="160" t="s">
        <v>362</v>
      </c>
      <c r="C36" s="161"/>
      <c r="D36" s="161">
        <f>SUM(D29:D35)</f>
        <v>61129</v>
      </c>
      <c r="E36" s="161">
        <f>SUM(E29:E35)</f>
        <v>5094.083333333333</v>
      </c>
      <c r="F36" s="161">
        <f>SUM(F29:F35)</f>
        <v>55308.709999999992</v>
      </c>
      <c r="G36" s="161">
        <f>SUM(G29:G35)</f>
        <v>10483.209999999999</v>
      </c>
      <c r="H36" s="161">
        <f>SUM(H29:H35)</f>
        <v>65791.919999999984</v>
      </c>
    </row>
    <row r="37" spans="1:8" ht="14" x14ac:dyDescent="0.2">
      <c r="B37" s="158" t="s">
        <v>363</v>
      </c>
      <c r="C37" s="150"/>
      <c r="D37" s="150">
        <v>-2177</v>
      </c>
      <c r="E37" s="150">
        <v>-60.5</v>
      </c>
      <c r="F37" s="150"/>
      <c r="G37" s="150"/>
      <c r="H37" s="150"/>
    </row>
    <row r="38" spans="1:8" ht="5" customHeight="1" x14ac:dyDescent="0.2">
      <c r="C38" s="150"/>
      <c r="D38" s="150"/>
      <c r="E38" s="150"/>
      <c r="F38" s="150"/>
      <c r="G38" s="150"/>
      <c r="H38" s="150"/>
    </row>
    <row r="39" spans="1:8" ht="15" thickBot="1" x14ac:dyDescent="0.25">
      <c r="A39" s="162"/>
      <c r="B39" s="156" t="s">
        <v>364</v>
      </c>
      <c r="C39" s="157"/>
      <c r="D39" s="157">
        <f>SUM(D22,D27,D36,D37)</f>
        <v>81062</v>
      </c>
      <c r="E39" s="157">
        <f>SUM(E22,E27,E36,E37)</f>
        <v>6755.1666666666661</v>
      </c>
      <c r="F39" s="157">
        <f>SUM(F22,F27,F36,F37)</f>
        <v>69815.28</v>
      </c>
      <c r="G39" s="157">
        <f>SUM(G22,G27,G36,G37)</f>
        <v>16933.05</v>
      </c>
      <c r="H39" s="157">
        <f>SUM(H22,H27,H36,H37)</f>
        <v>86748.329999999987</v>
      </c>
    </row>
    <row r="40" spans="1:8" ht="5" customHeight="1" thickTop="1" x14ac:dyDescent="0.2">
      <c r="C40" s="147"/>
      <c r="D40" s="147"/>
      <c r="E40" s="147"/>
      <c r="F40" s="147"/>
      <c r="G40" s="147"/>
      <c r="H40" s="147"/>
    </row>
    <row r="41" spans="1:8" ht="15" thickBot="1" x14ac:dyDescent="0.25">
      <c r="A41" s="163"/>
      <c r="B41" s="164" t="s">
        <v>365</v>
      </c>
      <c r="C41" s="165"/>
      <c r="D41" s="165">
        <f>D8-D39</f>
        <v>-210</v>
      </c>
      <c r="E41" s="165">
        <f>E8-E39</f>
        <v>-17.499999999999091</v>
      </c>
      <c r="F41" s="165">
        <f>F8-F39</f>
        <v>13470.720000000001</v>
      </c>
      <c r="G41" s="165">
        <f>G8-G39</f>
        <v>-16242.55</v>
      </c>
      <c r="H41" s="165">
        <f>H8-H39</f>
        <v>-2771.8299999999872</v>
      </c>
    </row>
    <row r="42" spans="1:8" ht="5" customHeight="1" thickTop="1" x14ac:dyDescent="0.2">
      <c r="C42" s="147"/>
      <c r="D42" s="147"/>
      <c r="E42" s="147"/>
      <c r="F42" s="147"/>
      <c r="G42" s="147"/>
      <c r="H42" s="147"/>
    </row>
    <row r="43" spans="1:8" ht="14" x14ac:dyDescent="0.2">
      <c r="A43" s="242" t="s">
        <v>366</v>
      </c>
      <c r="B43" s="243"/>
      <c r="C43" s="147"/>
      <c r="D43" s="147"/>
      <c r="E43" s="147"/>
      <c r="F43" s="147"/>
      <c r="G43" s="147"/>
      <c r="H43" s="147"/>
    </row>
    <row r="44" spans="1:8" ht="14" x14ac:dyDescent="0.2">
      <c r="B44" s="166" t="s">
        <v>367</v>
      </c>
      <c r="C44" s="167">
        <v>24990</v>
      </c>
      <c r="D44" s="147"/>
      <c r="F44" s="147" t="s">
        <v>375</v>
      </c>
      <c r="G44" s="147"/>
      <c r="H44" s="147"/>
    </row>
    <row r="45" spans="1:8" ht="14" x14ac:dyDescent="0.2">
      <c r="B45" s="168" t="s">
        <v>368</v>
      </c>
      <c r="C45" s="169">
        <v>-2177</v>
      </c>
      <c r="D45" s="147"/>
      <c r="E45" s="147"/>
      <c r="F45" s="147"/>
      <c r="G45" s="147"/>
      <c r="H45" s="147"/>
    </row>
    <row r="46" spans="1:8" ht="15" thickBot="1" x14ac:dyDescent="0.25">
      <c r="A46" s="163"/>
      <c r="B46" s="164" t="s">
        <v>369</v>
      </c>
      <c r="C46" s="170">
        <f>SUM(C44:C45)</f>
        <v>22813</v>
      </c>
      <c r="D46" s="147"/>
      <c r="E46" s="147"/>
      <c r="F46" s="147"/>
      <c r="G46" s="147"/>
      <c r="H46" s="147"/>
    </row>
    <row r="47" spans="1:8" ht="15" thickTop="1" x14ac:dyDescent="0.2">
      <c r="C47" s="147"/>
      <c r="D47" s="147"/>
      <c r="E47" s="147"/>
      <c r="F47" s="147"/>
      <c r="G47" s="147"/>
      <c r="H47" s="147"/>
    </row>
    <row r="48" spans="1:8" ht="14" x14ac:dyDescent="0.2">
      <c r="C48" s="171"/>
      <c r="D48" s="171"/>
      <c r="E48" s="172"/>
      <c r="F48" s="172"/>
      <c r="G48" s="172"/>
      <c r="H48" s="172"/>
    </row>
    <row r="49" spans="3:8" ht="14" x14ac:dyDescent="0.2">
      <c r="C49" s="147"/>
      <c r="D49" s="147"/>
      <c r="E49" s="172"/>
      <c r="F49" s="172"/>
      <c r="G49" s="172"/>
      <c r="H49" s="172"/>
    </row>
    <row r="50" spans="3:8" ht="14" x14ac:dyDescent="0.2">
      <c r="C50" s="147"/>
      <c r="D50" s="147"/>
      <c r="E50" s="147"/>
      <c r="F50" s="147"/>
      <c r="G50" s="147"/>
      <c r="H50" s="147"/>
    </row>
    <row r="51" spans="3:8" ht="14" x14ac:dyDescent="0.2">
      <c r="C51" s="147"/>
      <c r="D51" s="147"/>
      <c r="E51" s="147"/>
      <c r="F51" s="147"/>
      <c r="G51" s="147"/>
      <c r="H51" s="147"/>
    </row>
    <row r="52" spans="3:8" ht="14" x14ac:dyDescent="0.2">
      <c r="C52" s="147"/>
      <c r="D52" s="147"/>
      <c r="E52" s="147"/>
      <c r="F52" s="147"/>
      <c r="G52" s="147"/>
      <c r="H52" s="147"/>
    </row>
    <row r="53" spans="3:8" ht="14" x14ac:dyDescent="0.2">
      <c r="C53" s="171"/>
      <c r="D53" s="171"/>
      <c r="E53" s="172"/>
      <c r="F53" s="172"/>
      <c r="G53" s="172"/>
      <c r="H53" s="172"/>
    </row>
    <row r="54" spans="3:8" ht="14" x14ac:dyDescent="0.2">
      <c r="C54" s="147"/>
      <c r="D54" s="147"/>
      <c r="E54" s="172"/>
      <c r="F54" s="172"/>
      <c r="G54" s="172"/>
      <c r="H54" s="172"/>
    </row>
    <row r="55" spans="3:8" ht="14" x14ac:dyDescent="0.2">
      <c r="C55" s="147"/>
      <c r="D55" s="147"/>
      <c r="E55" s="147"/>
      <c r="F55" s="147"/>
      <c r="G55" s="147"/>
      <c r="H55" s="147"/>
    </row>
    <row r="56" spans="3:8" ht="14" x14ac:dyDescent="0.2">
      <c r="C56" s="147"/>
      <c r="D56" s="147"/>
      <c r="E56" s="147"/>
      <c r="F56" s="147"/>
      <c r="G56" s="147"/>
      <c r="H56" s="147"/>
    </row>
    <row r="57" spans="3:8" ht="14" x14ac:dyDescent="0.2">
      <c r="C57" s="147"/>
      <c r="D57" s="147"/>
      <c r="E57" s="147"/>
      <c r="F57" s="147"/>
      <c r="G57" s="147"/>
      <c r="H57" s="147"/>
    </row>
    <row r="58" spans="3:8" ht="14" x14ac:dyDescent="0.2">
      <c r="C58" s="147"/>
      <c r="D58" s="147"/>
      <c r="E58" s="147"/>
      <c r="F58" s="147"/>
      <c r="G58" s="147"/>
      <c r="H58" s="147"/>
    </row>
    <row r="59" spans="3:8" ht="14" x14ac:dyDescent="0.2">
      <c r="C59" s="147"/>
      <c r="D59" s="147"/>
      <c r="E59" s="147"/>
      <c r="F59" s="147"/>
      <c r="G59" s="147"/>
      <c r="H59" s="147"/>
    </row>
    <row r="60" spans="3:8" ht="14" x14ac:dyDescent="0.2">
      <c r="C60" s="147"/>
      <c r="D60" s="147"/>
      <c r="E60" s="147"/>
      <c r="F60" s="147"/>
      <c r="G60" s="147"/>
      <c r="H60" s="147"/>
    </row>
    <row r="61" spans="3:8" ht="14" x14ac:dyDescent="0.2">
      <c r="C61" s="147"/>
      <c r="D61" s="147"/>
      <c r="E61" s="147"/>
      <c r="F61" s="147"/>
      <c r="G61" s="147"/>
      <c r="H61" s="147"/>
    </row>
    <row r="62" spans="3:8" ht="14" x14ac:dyDescent="0.2">
      <c r="C62" s="147"/>
      <c r="D62" s="147"/>
      <c r="E62" s="147"/>
      <c r="F62" s="147"/>
      <c r="G62" s="147"/>
      <c r="H62" s="147"/>
    </row>
    <row r="63" spans="3:8" ht="14" x14ac:dyDescent="0.2">
      <c r="C63" s="147"/>
      <c r="D63" s="147"/>
      <c r="E63" s="147"/>
      <c r="F63" s="147"/>
      <c r="G63" s="147"/>
      <c r="H63" s="147"/>
    </row>
    <row r="64" spans="3:8" ht="14" x14ac:dyDescent="0.2">
      <c r="C64" s="147"/>
      <c r="D64" s="147"/>
      <c r="E64" s="147"/>
      <c r="F64" s="147"/>
      <c r="G64" s="147"/>
      <c r="H64" s="147"/>
    </row>
    <row r="65" spans="3:8" ht="14" x14ac:dyDescent="0.2">
      <c r="C65" s="147"/>
      <c r="D65" s="147"/>
      <c r="E65" s="147"/>
      <c r="F65" s="147"/>
      <c r="G65" s="147"/>
      <c r="H65" s="147"/>
    </row>
    <row r="66" spans="3:8" ht="14" x14ac:dyDescent="0.2">
      <c r="C66" s="147"/>
      <c r="D66" s="147"/>
      <c r="E66" s="147"/>
      <c r="F66" s="147"/>
      <c r="G66" s="147"/>
      <c r="H66" s="147"/>
    </row>
    <row r="67" spans="3:8" ht="14" x14ac:dyDescent="0.2">
      <c r="C67" s="147"/>
      <c r="D67" s="147"/>
      <c r="E67" s="147"/>
      <c r="F67" s="147"/>
      <c r="G67" s="147"/>
      <c r="H67" s="147"/>
    </row>
    <row r="68" spans="3:8" ht="14" x14ac:dyDescent="0.2">
      <c r="C68" s="147"/>
      <c r="D68" s="147"/>
      <c r="E68" s="147"/>
      <c r="F68" s="147"/>
      <c r="G68" s="147"/>
      <c r="H68" s="147"/>
    </row>
    <row r="69" spans="3:8" ht="14" x14ac:dyDescent="0.2">
      <c r="C69" s="147"/>
      <c r="D69" s="147"/>
      <c r="E69" s="147"/>
      <c r="F69" s="147"/>
      <c r="G69" s="147"/>
      <c r="H69" s="147"/>
    </row>
    <row r="70" spans="3:8" ht="14" x14ac:dyDescent="0.2">
      <c r="C70" s="147"/>
      <c r="D70" s="147"/>
      <c r="E70" s="147"/>
      <c r="F70" s="147"/>
      <c r="G70" s="147"/>
      <c r="H70" s="147"/>
    </row>
    <row r="71" spans="3:8" ht="14" x14ac:dyDescent="0.2">
      <c r="C71" s="147"/>
      <c r="D71" s="147"/>
      <c r="E71" s="147"/>
      <c r="F71" s="147"/>
      <c r="G71" s="147"/>
      <c r="H71" s="147"/>
    </row>
    <row r="72" spans="3:8" ht="14" x14ac:dyDescent="0.2">
      <c r="C72" s="147"/>
      <c r="D72" s="147"/>
      <c r="E72" s="147"/>
      <c r="F72" s="147"/>
      <c r="G72" s="147"/>
      <c r="H72" s="147"/>
    </row>
    <row r="73" spans="3:8" ht="14" x14ac:dyDescent="0.2">
      <c r="C73" s="147"/>
      <c r="D73" s="147"/>
      <c r="E73" s="147"/>
      <c r="F73" s="147"/>
      <c r="G73" s="147"/>
      <c r="H73" s="147"/>
    </row>
    <row r="74" spans="3:8" ht="14" x14ac:dyDescent="0.2">
      <c r="C74" s="147"/>
      <c r="D74" s="147"/>
      <c r="E74" s="147"/>
      <c r="F74" s="147"/>
      <c r="G74" s="147"/>
      <c r="H74" s="147"/>
    </row>
    <row r="75" spans="3:8" ht="14" x14ac:dyDescent="0.2">
      <c r="C75" s="147"/>
      <c r="D75" s="147"/>
      <c r="E75" s="147"/>
      <c r="F75" s="147"/>
      <c r="G75" s="147"/>
      <c r="H75" s="147"/>
    </row>
    <row r="76" spans="3:8" ht="14" x14ac:dyDescent="0.2">
      <c r="C76" s="147"/>
      <c r="D76" s="147"/>
      <c r="E76" s="147"/>
      <c r="F76" s="147"/>
      <c r="G76" s="147"/>
      <c r="H76" s="147"/>
    </row>
    <row r="77" spans="3:8" ht="14" x14ac:dyDescent="0.2">
      <c r="C77" s="147"/>
      <c r="D77" s="147"/>
      <c r="E77" s="147"/>
      <c r="F77" s="147"/>
      <c r="G77" s="147"/>
      <c r="H77" s="147"/>
    </row>
    <row r="78" spans="3:8" ht="14" x14ac:dyDescent="0.2">
      <c r="C78" s="147"/>
      <c r="D78" s="147"/>
      <c r="E78" s="147"/>
      <c r="F78" s="147"/>
      <c r="G78" s="147"/>
      <c r="H78" s="147"/>
    </row>
    <row r="79" spans="3:8" ht="14" x14ac:dyDescent="0.2">
      <c r="C79" s="147"/>
      <c r="D79" s="147"/>
      <c r="E79" s="147"/>
      <c r="F79" s="147"/>
      <c r="G79" s="147"/>
      <c r="H79" s="147"/>
    </row>
    <row r="80" spans="3:8" ht="14" x14ac:dyDescent="0.2">
      <c r="C80" s="147"/>
      <c r="D80" s="147"/>
      <c r="E80" s="147"/>
      <c r="F80" s="147"/>
      <c r="G80" s="147"/>
      <c r="H80" s="147"/>
    </row>
    <row r="81" spans="3:8" ht="14" x14ac:dyDescent="0.2">
      <c r="C81" s="147"/>
      <c r="D81" s="147"/>
      <c r="E81" s="147"/>
      <c r="F81" s="147"/>
      <c r="G81" s="147"/>
      <c r="H81" s="147"/>
    </row>
    <row r="82" spans="3:8" ht="14" x14ac:dyDescent="0.2">
      <c r="C82" s="147"/>
      <c r="D82" s="147"/>
      <c r="E82" s="147"/>
      <c r="F82" s="147"/>
      <c r="G82" s="147"/>
      <c r="H82" s="147"/>
    </row>
    <row r="83" spans="3:8" ht="14" x14ac:dyDescent="0.2">
      <c r="C83" s="147"/>
      <c r="D83" s="147"/>
      <c r="E83" s="147"/>
      <c r="F83" s="147"/>
      <c r="G83" s="147"/>
      <c r="H83" s="147"/>
    </row>
    <row r="84" spans="3:8" ht="14" x14ac:dyDescent="0.2">
      <c r="C84" s="147"/>
      <c r="D84" s="147"/>
      <c r="E84" s="147"/>
      <c r="F84" s="147"/>
      <c r="G84" s="147"/>
      <c r="H84" s="147"/>
    </row>
    <row r="85" spans="3:8" ht="14" x14ac:dyDescent="0.2">
      <c r="C85" s="147"/>
      <c r="D85" s="147"/>
      <c r="E85" s="147"/>
      <c r="F85" s="147"/>
      <c r="G85" s="147"/>
      <c r="H85" s="147"/>
    </row>
    <row r="86" spans="3:8" ht="14" x14ac:dyDescent="0.2">
      <c r="C86" s="147"/>
      <c r="D86" s="147"/>
      <c r="E86" s="147"/>
      <c r="F86" s="147"/>
      <c r="G86" s="147"/>
      <c r="H86" s="147"/>
    </row>
    <row r="87" spans="3:8" ht="14" x14ac:dyDescent="0.2">
      <c r="C87" s="147"/>
      <c r="D87" s="147"/>
      <c r="E87" s="147"/>
      <c r="F87" s="147"/>
      <c r="G87" s="147"/>
      <c r="H87" s="147"/>
    </row>
    <row r="88" spans="3:8" ht="14" x14ac:dyDescent="0.2">
      <c r="C88" s="147"/>
      <c r="D88" s="147"/>
      <c r="E88" s="147"/>
      <c r="F88" s="147"/>
      <c r="G88" s="147"/>
      <c r="H88" s="147"/>
    </row>
    <row r="89" spans="3:8" ht="14" x14ac:dyDescent="0.2">
      <c r="C89" s="147"/>
      <c r="D89" s="147"/>
      <c r="E89" s="147"/>
      <c r="F89" s="147"/>
      <c r="G89" s="147"/>
      <c r="H89" s="147"/>
    </row>
    <row r="90" spans="3:8" ht="14" x14ac:dyDescent="0.2">
      <c r="C90" s="147"/>
      <c r="D90" s="147"/>
      <c r="E90" s="147"/>
      <c r="F90" s="147"/>
      <c r="G90" s="147"/>
      <c r="H90" s="147"/>
    </row>
    <row r="91" spans="3:8" ht="14" x14ac:dyDescent="0.2">
      <c r="C91" s="147"/>
      <c r="D91" s="147"/>
      <c r="E91" s="147"/>
      <c r="F91" s="147"/>
      <c r="G91" s="147"/>
      <c r="H91" s="147"/>
    </row>
    <row r="92" spans="3:8" ht="14" x14ac:dyDescent="0.2">
      <c r="C92" s="147"/>
      <c r="D92" s="147"/>
      <c r="E92" s="147"/>
      <c r="F92" s="147"/>
      <c r="G92" s="147"/>
      <c r="H92" s="147"/>
    </row>
    <row r="93" spans="3:8" ht="14" x14ac:dyDescent="0.2">
      <c r="C93" s="147"/>
      <c r="D93" s="147"/>
      <c r="E93" s="147"/>
      <c r="F93" s="147"/>
      <c r="G93" s="147"/>
      <c r="H93" s="147"/>
    </row>
    <row r="94" spans="3:8" ht="14" x14ac:dyDescent="0.2">
      <c r="C94" s="147"/>
      <c r="D94" s="147"/>
      <c r="E94" s="147"/>
      <c r="F94" s="147"/>
      <c r="G94" s="147"/>
      <c r="H94" s="147"/>
    </row>
    <row r="95" spans="3:8" ht="14" x14ac:dyDescent="0.2">
      <c r="C95" s="147"/>
      <c r="D95" s="147"/>
      <c r="E95" s="147"/>
      <c r="F95" s="147"/>
      <c r="G95" s="147"/>
      <c r="H95" s="147"/>
    </row>
    <row r="96" spans="3:8" ht="14" x14ac:dyDescent="0.2">
      <c r="C96" s="147"/>
      <c r="D96" s="147"/>
      <c r="E96" s="147"/>
      <c r="F96" s="147"/>
      <c r="G96" s="147"/>
      <c r="H96" s="147"/>
    </row>
    <row r="97" spans="3:8" ht="14" x14ac:dyDescent="0.2">
      <c r="C97" s="147"/>
      <c r="D97" s="147"/>
      <c r="E97" s="147"/>
      <c r="F97" s="147"/>
      <c r="G97" s="147"/>
      <c r="H97" s="147"/>
    </row>
    <row r="98" spans="3:8" ht="14" x14ac:dyDescent="0.2">
      <c r="C98" s="147"/>
      <c r="D98" s="147"/>
      <c r="E98" s="147"/>
      <c r="F98" s="147"/>
      <c r="G98" s="147"/>
      <c r="H98" s="147"/>
    </row>
    <row r="99" spans="3:8" ht="14" x14ac:dyDescent="0.2">
      <c r="C99" s="147"/>
      <c r="D99" s="147"/>
      <c r="E99" s="147"/>
      <c r="F99" s="147"/>
      <c r="G99" s="147"/>
      <c r="H99" s="147"/>
    </row>
    <row r="100" spans="3:8" ht="14" x14ac:dyDescent="0.2">
      <c r="C100" s="147"/>
      <c r="D100" s="147"/>
      <c r="E100" s="147"/>
      <c r="F100" s="147"/>
      <c r="G100" s="147"/>
      <c r="H100" s="147"/>
    </row>
    <row r="101" spans="3:8" ht="14" x14ac:dyDescent="0.2">
      <c r="C101" s="147"/>
      <c r="D101" s="147"/>
      <c r="E101" s="147"/>
      <c r="F101" s="147"/>
      <c r="G101" s="147"/>
      <c r="H101" s="147"/>
    </row>
    <row r="102" spans="3:8" ht="14" x14ac:dyDescent="0.2">
      <c r="C102" s="147"/>
      <c r="D102" s="147"/>
      <c r="E102" s="147"/>
      <c r="F102" s="147"/>
      <c r="G102" s="147"/>
      <c r="H102" s="147"/>
    </row>
    <row r="103" spans="3:8" ht="14" x14ac:dyDescent="0.2">
      <c r="C103" s="147"/>
      <c r="D103" s="147"/>
      <c r="E103" s="147"/>
      <c r="F103" s="147"/>
      <c r="G103" s="147"/>
      <c r="H103" s="147"/>
    </row>
    <row r="104" spans="3:8" ht="14" x14ac:dyDescent="0.2">
      <c r="C104" s="147"/>
      <c r="D104" s="147"/>
      <c r="E104" s="147"/>
      <c r="F104" s="147"/>
      <c r="G104" s="147"/>
      <c r="H104" s="147"/>
    </row>
    <row r="105" spans="3:8" ht="14" x14ac:dyDescent="0.2">
      <c r="C105" s="147"/>
      <c r="D105" s="147"/>
      <c r="E105" s="147"/>
      <c r="F105" s="147"/>
      <c r="G105" s="147"/>
      <c r="H105" s="147"/>
    </row>
    <row r="106" spans="3:8" ht="14" x14ac:dyDescent="0.2">
      <c r="C106" s="147"/>
      <c r="D106" s="147"/>
      <c r="E106" s="147"/>
      <c r="F106" s="147"/>
      <c r="G106" s="147"/>
      <c r="H106" s="147"/>
    </row>
    <row r="107" spans="3:8" ht="14" x14ac:dyDescent="0.2">
      <c r="C107" s="147"/>
      <c r="D107" s="147"/>
      <c r="E107" s="147"/>
      <c r="F107" s="147"/>
      <c r="G107" s="147"/>
      <c r="H107" s="147"/>
    </row>
    <row r="108" spans="3:8" ht="14" x14ac:dyDescent="0.2">
      <c r="C108" s="147"/>
      <c r="D108" s="147"/>
      <c r="E108" s="147"/>
      <c r="F108" s="147"/>
      <c r="G108" s="147"/>
      <c r="H108" s="147"/>
    </row>
    <row r="109" spans="3:8" ht="14" x14ac:dyDescent="0.2">
      <c r="C109" s="147"/>
      <c r="D109" s="147"/>
      <c r="E109" s="147"/>
      <c r="F109" s="147"/>
      <c r="G109" s="147"/>
      <c r="H109" s="147"/>
    </row>
    <row r="110" spans="3:8" ht="14" x14ac:dyDescent="0.2">
      <c r="C110" s="147"/>
      <c r="D110" s="147"/>
      <c r="E110" s="147"/>
      <c r="F110" s="147"/>
      <c r="G110" s="147"/>
      <c r="H110" s="147"/>
    </row>
    <row r="111" spans="3:8" ht="14" x14ac:dyDescent="0.2">
      <c r="C111" s="147"/>
      <c r="D111" s="147"/>
      <c r="E111" s="147"/>
      <c r="F111" s="147"/>
      <c r="G111" s="147"/>
      <c r="H111" s="147"/>
    </row>
    <row r="112" spans="3:8" ht="14" x14ac:dyDescent="0.2">
      <c r="C112" s="147"/>
      <c r="D112" s="147"/>
      <c r="E112" s="147"/>
      <c r="F112" s="147"/>
      <c r="G112" s="147"/>
      <c r="H112" s="147"/>
    </row>
    <row r="113" spans="3:8" ht="14" x14ac:dyDescent="0.2">
      <c r="C113" s="147"/>
      <c r="D113" s="147"/>
      <c r="E113" s="147"/>
      <c r="F113" s="147"/>
      <c r="G113" s="147"/>
      <c r="H113" s="147"/>
    </row>
    <row r="114" spans="3:8" ht="14" x14ac:dyDescent="0.2">
      <c r="C114" s="147"/>
      <c r="D114" s="147"/>
      <c r="E114" s="147"/>
      <c r="F114" s="147"/>
      <c r="G114" s="147"/>
      <c r="H114" s="147"/>
    </row>
    <row r="115" spans="3:8" ht="14" x14ac:dyDescent="0.2">
      <c r="C115" s="147"/>
      <c r="D115" s="147"/>
      <c r="E115" s="147"/>
      <c r="F115" s="147"/>
      <c r="G115" s="147"/>
      <c r="H115" s="147"/>
    </row>
    <row r="116" spans="3:8" ht="14" x14ac:dyDescent="0.2">
      <c r="C116" s="147"/>
      <c r="D116" s="147"/>
      <c r="E116" s="147"/>
      <c r="F116" s="147"/>
      <c r="G116" s="147"/>
      <c r="H116" s="147"/>
    </row>
    <row r="117" spans="3:8" ht="14" x14ac:dyDescent="0.2">
      <c r="C117" s="147"/>
      <c r="D117" s="147"/>
      <c r="E117" s="147"/>
      <c r="F117" s="147"/>
      <c r="G117" s="147"/>
      <c r="H117" s="147"/>
    </row>
    <row r="118" spans="3:8" ht="14" x14ac:dyDescent="0.2">
      <c r="C118" s="147"/>
      <c r="D118" s="147"/>
      <c r="E118" s="147"/>
      <c r="F118" s="147"/>
      <c r="G118" s="147"/>
      <c r="H118" s="147"/>
    </row>
    <row r="119" spans="3:8" ht="14" x14ac:dyDescent="0.2">
      <c r="C119" s="147"/>
      <c r="D119" s="147"/>
      <c r="E119" s="147"/>
      <c r="F119" s="147"/>
      <c r="G119" s="147"/>
      <c r="H119" s="147"/>
    </row>
    <row r="120" spans="3:8" ht="14" x14ac:dyDescent="0.2">
      <c r="C120" s="147"/>
      <c r="D120" s="147"/>
      <c r="E120" s="147"/>
      <c r="F120" s="147"/>
      <c r="G120" s="147"/>
      <c r="H120" s="147"/>
    </row>
    <row r="121" spans="3:8" ht="14" x14ac:dyDescent="0.2">
      <c r="C121" s="147"/>
      <c r="D121" s="147"/>
      <c r="E121" s="147"/>
      <c r="F121" s="147"/>
      <c r="G121" s="147"/>
      <c r="H121" s="147"/>
    </row>
    <row r="122" spans="3:8" ht="14" x14ac:dyDescent="0.2">
      <c r="C122" s="147"/>
      <c r="D122" s="147"/>
      <c r="E122" s="147"/>
      <c r="F122" s="147"/>
      <c r="G122" s="147"/>
      <c r="H122" s="147"/>
    </row>
    <row r="123" spans="3:8" ht="14" x14ac:dyDescent="0.2">
      <c r="C123" s="147"/>
      <c r="D123" s="147"/>
      <c r="E123" s="147"/>
      <c r="F123" s="147"/>
      <c r="G123" s="147"/>
      <c r="H123" s="147"/>
    </row>
    <row r="124" spans="3:8" ht="14" x14ac:dyDescent="0.2">
      <c r="C124" s="147"/>
      <c r="D124" s="147"/>
      <c r="E124" s="147"/>
      <c r="F124" s="147"/>
      <c r="G124" s="147"/>
      <c r="H124" s="147"/>
    </row>
    <row r="125" spans="3:8" ht="14" x14ac:dyDescent="0.2">
      <c r="C125" s="147"/>
      <c r="D125" s="147"/>
      <c r="E125" s="147"/>
      <c r="F125" s="147"/>
      <c r="G125" s="147"/>
      <c r="H125" s="147"/>
    </row>
    <row r="126" spans="3:8" ht="14" x14ac:dyDescent="0.2">
      <c r="C126" s="147"/>
      <c r="D126" s="147"/>
      <c r="E126" s="147"/>
      <c r="F126" s="147"/>
      <c r="G126" s="147"/>
      <c r="H126" s="147"/>
    </row>
    <row r="127" spans="3:8" ht="14" x14ac:dyDescent="0.2">
      <c r="C127" s="147"/>
      <c r="D127" s="147"/>
      <c r="E127" s="147"/>
      <c r="F127" s="147"/>
      <c r="G127" s="147"/>
      <c r="H127" s="147"/>
    </row>
    <row r="128" spans="3:8" ht="14" x14ac:dyDescent="0.2">
      <c r="C128" s="147"/>
      <c r="D128" s="147"/>
      <c r="E128" s="147"/>
      <c r="F128" s="147"/>
      <c r="G128" s="147"/>
      <c r="H128" s="147"/>
    </row>
    <row r="129" spans="3:8" ht="14" x14ac:dyDescent="0.2">
      <c r="C129" s="147"/>
      <c r="D129" s="147"/>
      <c r="E129" s="147"/>
      <c r="F129" s="147"/>
      <c r="G129" s="147"/>
      <c r="H129" s="147"/>
    </row>
    <row r="130" spans="3:8" ht="14" x14ac:dyDescent="0.2">
      <c r="C130" s="147"/>
      <c r="D130" s="147"/>
      <c r="E130" s="147"/>
      <c r="F130" s="147"/>
      <c r="G130" s="147"/>
      <c r="H130" s="147"/>
    </row>
    <row r="131" spans="3:8" ht="14" x14ac:dyDescent="0.2">
      <c r="C131" s="147"/>
      <c r="D131" s="147"/>
      <c r="E131" s="147"/>
      <c r="F131" s="147"/>
      <c r="G131" s="147"/>
      <c r="H131" s="147"/>
    </row>
    <row r="132" spans="3:8" ht="14" x14ac:dyDescent="0.2">
      <c r="C132" s="147"/>
      <c r="D132" s="147"/>
      <c r="E132" s="147"/>
      <c r="F132" s="147"/>
      <c r="G132" s="147"/>
      <c r="H132" s="147"/>
    </row>
    <row r="133" spans="3:8" ht="14" x14ac:dyDescent="0.2">
      <c r="C133" s="147"/>
      <c r="D133" s="147"/>
      <c r="E133" s="147"/>
      <c r="F133" s="147"/>
      <c r="G133" s="147"/>
      <c r="H133" s="147"/>
    </row>
    <row r="134" spans="3:8" ht="14" x14ac:dyDescent="0.2">
      <c r="C134" s="147"/>
      <c r="D134" s="147"/>
      <c r="E134" s="147"/>
      <c r="F134" s="147"/>
      <c r="G134" s="147"/>
      <c r="H134" s="147"/>
    </row>
    <row r="135" spans="3:8" ht="14" x14ac:dyDescent="0.2">
      <c r="C135" s="147"/>
      <c r="D135" s="147"/>
      <c r="E135" s="147"/>
      <c r="F135" s="147"/>
      <c r="G135" s="147"/>
      <c r="H135" s="147"/>
    </row>
    <row r="136" spans="3:8" ht="14" x14ac:dyDescent="0.2">
      <c r="C136" s="147"/>
      <c r="D136" s="147"/>
      <c r="E136" s="147"/>
      <c r="F136" s="147"/>
      <c r="G136" s="147"/>
      <c r="H136" s="147"/>
    </row>
    <row r="137" spans="3:8" ht="14" x14ac:dyDescent="0.2">
      <c r="C137" s="147"/>
      <c r="D137" s="147"/>
      <c r="E137" s="147"/>
      <c r="F137" s="147"/>
      <c r="G137" s="147"/>
      <c r="H137" s="147"/>
    </row>
    <row r="138" spans="3:8" ht="14" x14ac:dyDescent="0.2">
      <c r="C138" s="147"/>
      <c r="D138" s="147"/>
      <c r="E138" s="147"/>
      <c r="F138" s="147"/>
      <c r="G138" s="147"/>
      <c r="H138" s="147"/>
    </row>
    <row r="139" spans="3:8" ht="14" x14ac:dyDescent="0.2">
      <c r="C139" s="147"/>
      <c r="D139" s="147"/>
      <c r="E139" s="147"/>
      <c r="F139" s="147"/>
      <c r="G139" s="147"/>
      <c r="H139" s="147"/>
    </row>
    <row r="140" spans="3:8" ht="14" x14ac:dyDescent="0.2">
      <c r="C140" s="147"/>
      <c r="D140" s="147"/>
      <c r="E140" s="147"/>
      <c r="F140" s="147"/>
      <c r="G140" s="147"/>
      <c r="H140" s="147"/>
    </row>
    <row r="141" spans="3:8" ht="14" x14ac:dyDescent="0.2">
      <c r="C141" s="147"/>
      <c r="D141" s="147"/>
      <c r="E141" s="147"/>
      <c r="F141" s="147"/>
      <c r="G141" s="147"/>
      <c r="H141" s="147"/>
    </row>
    <row r="142" spans="3:8" ht="14" x14ac:dyDescent="0.2">
      <c r="C142" s="147"/>
      <c r="D142" s="147"/>
      <c r="E142" s="147"/>
      <c r="F142" s="147"/>
      <c r="G142" s="147"/>
      <c r="H142" s="147"/>
    </row>
    <row r="143" spans="3:8" ht="14" x14ac:dyDescent="0.2">
      <c r="C143" s="147"/>
      <c r="D143" s="147"/>
      <c r="E143" s="147"/>
      <c r="F143" s="147"/>
      <c r="G143" s="147"/>
      <c r="H143" s="147"/>
    </row>
    <row r="144" spans="3:8" ht="14" x14ac:dyDescent="0.2">
      <c r="C144" s="147"/>
      <c r="D144" s="147"/>
      <c r="E144" s="147"/>
      <c r="F144" s="147"/>
      <c r="G144" s="147"/>
      <c r="H144" s="147"/>
    </row>
    <row r="145" spans="3:8" ht="14" x14ac:dyDescent="0.2">
      <c r="C145" s="147"/>
      <c r="D145" s="147"/>
      <c r="E145" s="147"/>
      <c r="F145" s="147"/>
      <c r="G145" s="147"/>
      <c r="H145" s="147"/>
    </row>
    <row r="146" spans="3:8" ht="14" x14ac:dyDescent="0.2">
      <c r="C146" s="147"/>
      <c r="D146" s="147"/>
      <c r="E146" s="147"/>
      <c r="F146" s="147"/>
      <c r="G146" s="147"/>
      <c r="H146" s="147"/>
    </row>
    <row r="147" spans="3:8" ht="14" x14ac:dyDescent="0.2">
      <c r="C147" s="147"/>
      <c r="D147" s="147"/>
      <c r="E147" s="147"/>
      <c r="F147" s="147"/>
      <c r="G147" s="147"/>
      <c r="H147" s="147"/>
    </row>
    <row r="148" spans="3:8" ht="14" x14ac:dyDescent="0.2">
      <c r="C148" s="147"/>
      <c r="D148" s="147"/>
      <c r="E148" s="147"/>
      <c r="F148" s="147"/>
      <c r="G148" s="147"/>
      <c r="H148" s="147"/>
    </row>
    <row r="149" spans="3:8" ht="14" x14ac:dyDescent="0.2">
      <c r="C149" s="147"/>
      <c r="D149" s="147"/>
      <c r="E149" s="147"/>
      <c r="F149" s="147"/>
      <c r="G149" s="147"/>
      <c r="H149" s="147"/>
    </row>
    <row r="150" spans="3:8" ht="14" x14ac:dyDescent="0.2">
      <c r="C150" s="147"/>
      <c r="D150" s="147"/>
      <c r="E150" s="147"/>
      <c r="F150" s="147"/>
      <c r="G150" s="147"/>
      <c r="H150" s="147"/>
    </row>
    <row r="151" spans="3:8" ht="14" x14ac:dyDescent="0.2">
      <c r="C151" s="147"/>
      <c r="D151" s="147"/>
      <c r="E151" s="147"/>
      <c r="F151" s="147"/>
      <c r="G151" s="147"/>
      <c r="H151" s="147"/>
    </row>
    <row r="152" spans="3:8" ht="14" x14ac:dyDescent="0.2">
      <c r="C152" s="147"/>
      <c r="D152" s="147"/>
      <c r="E152" s="147"/>
      <c r="F152" s="147"/>
      <c r="G152" s="147"/>
      <c r="H152" s="147"/>
    </row>
    <row r="153" spans="3:8" ht="14" x14ac:dyDescent="0.2">
      <c r="C153" s="147"/>
      <c r="D153" s="147"/>
      <c r="E153" s="147"/>
      <c r="F153" s="147"/>
      <c r="G153" s="147"/>
      <c r="H153" s="147"/>
    </row>
    <row r="154" spans="3:8" ht="14" x14ac:dyDescent="0.2">
      <c r="C154" s="147"/>
      <c r="D154" s="147"/>
      <c r="E154" s="147"/>
      <c r="F154" s="147"/>
      <c r="G154" s="147"/>
      <c r="H154" s="147"/>
    </row>
    <row r="155" spans="3:8" ht="14" x14ac:dyDescent="0.2">
      <c r="C155" s="147"/>
      <c r="D155" s="147"/>
      <c r="E155" s="147"/>
      <c r="F155" s="147"/>
      <c r="G155" s="147"/>
      <c r="H155" s="147"/>
    </row>
    <row r="156" spans="3:8" ht="14" x14ac:dyDescent="0.2">
      <c r="C156" s="147"/>
      <c r="D156" s="147"/>
      <c r="E156" s="147"/>
      <c r="F156" s="147"/>
      <c r="G156" s="147"/>
      <c r="H156" s="147"/>
    </row>
    <row r="157" spans="3:8" ht="14" x14ac:dyDescent="0.2">
      <c r="C157" s="147"/>
      <c r="D157" s="147"/>
      <c r="E157" s="147"/>
      <c r="F157" s="147"/>
      <c r="G157" s="147"/>
      <c r="H157" s="147"/>
    </row>
    <row r="158" spans="3:8" ht="14" x14ac:dyDescent="0.2">
      <c r="C158" s="147"/>
      <c r="D158" s="147"/>
      <c r="E158" s="147"/>
      <c r="F158" s="147"/>
      <c r="G158" s="147"/>
      <c r="H158" s="147"/>
    </row>
    <row r="159" spans="3:8" ht="14" x14ac:dyDescent="0.2">
      <c r="C159" s="147"/>
      <c r="D159" s="147"/>
      <c r="E159" s="147"/>
      <c r="F159" s="147"/>
      <c r="G159" s="147"/>
      <c r="H159" s="147"/>
    </row>
    <row r="160" spans="3:8" ht="14" x14ac:dyDescent="0.2">
      <c r="C160" s="147"/>
      <c r="D160" s="147"/>
      <c r="E160" s="147"/>
      <c r="F160" s="147"/>
      <c r="G160" s="147"/>
      <c r="H160" s="147"/>
    </row>
    <row r="161" spans="3:8" ht="14" x14ac:dyDescent="0.2">
      <c r="C161" s="147"/>
      <c r="D161" s="147"/>
      <c r="E161" s="147"/>
      <c r="F161" s="147"/>
      <c r="G161" s="147"/>
      <c r="H161" s="147"/>
    </row>
    <row r="162" spans="3:8" ht="14" x14ac:dyDescent="0.2">
      <c r="C162" s="147"/>
      <c r="D162" s="147"/>
      <c r="E162" s="147"/>
      <c r="F162" s="147"/>
      <c r="G162" s="147"/>
      <c r="H162" s="147"/>
    </row>
    <row r="163" spans="3:8" ht="14" x14ac:dyDescent="0.2">
      <c r="C163" s="147"/>
      <c r="D163" s="147"/>
      <c r="E163" s="147"/>
      <c r="F163" s="147"/>
      <c r="G163" s="147"/>
      <c r="H163" s="147"/>
    </row>
    <row r="164" spans="3:8" ht="14" x14ac:dyDescent="0.2">
      <c r="C164" s="147"/>
      <c r="D164" s="147"/>
      <c r="E164" s="147"/>
      <c r="F164" s="147"/>
      <c r="G164" s="147"/>
      <c r="H164" s="147"/>
    </row>
    <row r="165" spans="3:8" ht="14" x14ac:dyDescent="0.2">
      <c r="C165" s="147"/>
      <c r="D165" s="147"/>
      <c r="E165" s="147"/>
      <c r="F165" s="147"/>
      <c r="G165" s="147"/>
      <c r="H165" s="147"/>
    </row>
    <row r="166" spans="3:8" ht="14" x14ac:dyDescent="0.2">
      <c r="C166" s="147"/>
      <c r="D166" s="147"/>
      <c r="E166" s="147"/>
      <c r="F166" s="147"/>
      <c r="G166" s="147"/>
      <c r="H166" s="147"/>
    </row>
    <row r="167" spans="3:8" ht="14" x14ac:dyDescent="0.2">
      <c r="C167" s="147"/>
      <c r="D167" s="147"/>
      <c r="E167" s="147"/>
      <c r="F167" s="147"/>
      <c r="G167" s="147"/>
      <c r="H167" s="147"/>
    </row>
    <row r="168" spans="3:8" ht="14" x14ac:dyDescent="0.2">
      <c r="C168" s="147"/>
      <c r="D168" s="147"/>
      <c r="E168" s="147"/>
      <c r="F168" s="147"/>
      <c r="G168" s="147"/>
      <c r="H168" s="147"/>
    </row>
    <row r="169" spans="3:8" ht="14" x14ac:dyDescent="0.2">
      <c r="C169" s="147"/>
      <c r="D169" s="147"/>
      <c r="E169" s="147"/>
      <c r="F169" s="147"/>
      <c r="G169" s="147"/>
      <c r="H169" s="147"/>
    </row>
    <row r="170" spans="3:8" ht="14" x14ac:dyDescent="0.2">
      <c r="C170" s="147"/>
      <c r="D170" s="147"/>
      <c r="E170" s="147"/>
      <c r="F170" s="147"/>
      <c r="G170" s="147"/>
      <c r="H170" s="147"/>
    </row>
    <row r="171" spans="3:8" ht="14" x14ac:dyDescent="0.2">
      <c r="C171" s="147"/>
      <c r="D171" s="147"/>
      <c r="E171" s="147"/>
      <c r="F171" s="147"/>
      <c r="G171" s="147"/>
      <c r="H171" s="147"/>
    </row>
    <row r="172" spans="3:8" ht="14" x14ac:dyDescent="0.2">
      <c r="C172" s="147"/>
      <c r="D172" s="147"/>
      <c r="E172" s="147"/>
      <c r="F172" s="147"/>
      <c r="G172" s="147"/>
      <c r="H172" s="147"/>
    </row>
    <row r="173" spans="3:8" ht="14" x14ac:dyDescent="0.2">
      <c r="C173" s="147"/>
      <c r="D173" s="147"/>
      <c r="E173" s="147"/>
      <c r="F173" s="147"/>
      <c r="G173" s="147"/>
      <c r="H173" s="147"/>
    </row>
    <row r="174" spans="3:8" ht="14" x14ac:dyDescent="0.2">
      <c r="C174" s="147"/>
      <c r="D174" s="147"/>
      <c r="E174" s="147"/>
      <c r="F174" s="147"/>
      <c r="G174" s="147"/>
      <c r="H174" s="147"/>
    </row>
    <row r="175" spans="3:8" ht="14" x14ac:dyDescent="0.2">
      <c r="C175" s="147"/>
      <c r="D175" s="147"/>
      <c r="E175" s="147"/>
      <c r="F175" s="147"/>
      <c r="G175" s="147"/>
      <c r="H175" s="147"/>
    </row>
    <row r="176" spans="3:8" ht="14" x14ac:dyDescent="0.2">
      <c r="C176" s="147"/>
      <c r="D176" s="147"/>
      <c r="E176" s="147"/>
      <c r="F176" s="147"/>
      <c r="G176" s="147"/>
      <c r="H176" s="147"/>
    </row>
    <row r="177" spans="3:8" ht="14" x14ac:dyDescent="0.2">
      <c r="C177" s="147"/>
      <c r="D177" s="147"/>
      <c r="E177" s="147"/>
      <c r="F177" s="147"/>
      <c r="G177" s="147"/>
      <c r="H177" s="147"/>
    </row>
    <row r="178" spans="3:8" ht="14" x14ac:dyDescent="0.2">
      <c r="C178" s="147"/>
      <c r="D178" s="147"/>
      <c r="E178" s="147"/>
      <c r="F178" s="147"/>
      <c r="G178" s="147"/>
      <c r="H178" s="147"/>
    </row>
    <row r="179" spans="3:8" ht="14" x14ac:dyDescent="0.2">
      <c r="C179" s="147"/>
      <c r="D179" s="147"/>
      <c r="E179" s="147"/>
      <c r="F179" s="147"/>
      <c r="G179" s="147"/>
      <c r="H179" s="147"/>
    </row>
    <row r="180" spans="3:8" ht="14" x14ac:dyDescent="0.2">
      <c r="C180" s="147"/>
      <c r="D180" s="147"/>
      <c r="E180" s="147"/>
      <c r="F180" s="147"/>
      <c r="G180" s="147"/>
      <c r="H180" s="147"/>
    </row>
    <row r="181" spans="3:8" ht="14" x14ac:dyDescent="0.2">
      <c r="C181" s="147"/>
      <c r="D181" s="147"/>
      <c r="E181" s="147"/>
      <c r="F181" s="147"/>
      <c r="G181" s="147"/>
      <c r="H181" s="147"/>
    </row>
    <row r="182" spans="3:8" ht="14" x14ac:dyDescent="0.2">
      <c r="C182" s="147"/>
      <c r="D182" s="147"/>
      <c r="E182" s="147"/>
      <c r="F182" s="147"/>
      <c r="G182" s="147"/>
      <c r="H182" s="147"/>
    </row>
    <row r="183" spans="3:8" ht="14" x14ac:dyDescent="0.2">
      <c r="C183" s="147"/>
      <c r="D183" s="147"/>
      <c r="E183" s="147"/>
      <c r="F183" s="147"/>
      <c r="G183" s="147"/>
      <c r="H183" s="147"/>
    </row>
    <row r="184" spans="3:8" ht="14" x14ac:dyDescent="0.2">
      <c r="C184" s="147"/>
      <c r="D184" s="147"/>
      <c r="E184" s="147"/>
      <c r="F184" s="147"/>
      <c r="G184" s="147"/>
      <c r="H184" s="147"/>
    </row>
    <row r="185" spans="3:8" ht="14" x14ac:dyDescent="0.2">
      <c r="C185" s="147"/>
      <c r="D185" s="147"/>
      <c r="E185" s="147"/>
      <c r="F185" s="147"/>
      <c r="G185" s="147"/>
      <c r="H185" s="147"/>
    </row>
    <row r="186" spans="3:8" ht="14" x14ac:dyDescent="0.2">
      <c r="C186" s="147"/>
      <c r="D186" s="147"/>
      <c r="E186" s="147"/>
      <c r="F186" s="147"/>
      <c r="G186" s="147"/>
      <c r="H186" s="147"/>
    </row>
    <row r="187" spans="3:8" ht="14" x14ac:dyDescent="0.2">
      <c r="C187" s="147"/>
      <c r="D187" s="147"/>
      <c r="E187" s="147"/>
      <c r="F187" s="147"/>
      <c r="G187" s="147"/>
      <c r="H187" s="147"/>
    </row>
    <row r="188" spans="3:8" ht="14" x14ac:dyDescent="0.2">
      <c r="C188" s="147"/>
      <c r="D188" s="147"/>
      <c r="E188" s="147"/>
      <c r="F188" s="147"/>
      <c r="G188" s="147"/>
      <c r="H188" s="147"/>
    </row>
    <row r="189" spans="3:8" ht="14" x14ac:dyDescent="0.2">
      <c r="C189" s="147"/>
      <c r="D189" s="147"/>
      <c r="E189" s="147"/>
      <c r="F189" s="147"/>
      <c r="G189" s="147"/>
      <c r="H189" s="147"/>
    </row>
    <row r="190" spans="3:8" ht="14" x14ac:dyDescent="0.2">
      <c r="C190" s="147"/>
      <c r="D190" s="147"/>
      <c r="E190" s="147"/>
      <c r="F190" s="147"/>
      <c r="G190" s="147"/>
      <c r="H190" s="147"/>
    </row>
    <row r="191" spans="3:8" ht="14" x14ac:dyDescent="0.2">
      <c r="C191" s="147"/>
      <c r="D191" s="147"/>
      <c r="E191" s="147"/>
      <c r="F191" s="147"/>
      <c r="G191" s="147"/>
      <c r="H191" s="147"/>
    </row>
    <row r="192" spans="3:8" ht="14" x14ac:dyDescent="0.2">
      <c r="C192" s="147"/>
      <c r="D192" s="147"/>
      <c r="E192" s="147"/>
      <c r="F192" s="147"/>
      <c r="G192" s="147"/>
      <c r="H192" s="147"/>
    </row>
    <row r="193" spans="3:8" ht="14" x14ac:dyDescent="0.2">
      <c r="C193" s="147"/>
      <c r="D193" s="147"/>
      <c r="E193" s="147"/>
      <c r="F193" s="147"/>
      <c r="G193" s="147"/>
      <c r="H193" s="147"/>
    </row>
    <row r="194" spans="3:8" ht="14" x14ac:dyDescent="0.2">
      <c r="C194" s="147"/>
      <c r="D194" s="147"/>
      <c r="E194" s="147"/>
      <c r="F194" s="147"/>
      <c r="G194" s="147"/>
      <c r="H194" s="147"/>
    </row>
    <row r="195" spans="3:8" ht="14" x14ac:dyDescent="0.2">
      <c r="C195" s="147"/>
      <c r="D195" s="147"/>
      <c r="E195" s="147"/>
      <c r="F195" s="147"/>
      <c r="G195" s="147"/>
      <c r="H195" s="147"/>
    </row>
    <row r="196" spans="3:8" ht="14" x14ac:dyDescent="0.2">
      <c r="C196" s="147"/>
      <c r="D196" s="147"/>
      <c r="E196" s="147"/>
      <c r="F196" s="147"/>
      <c r="G196" s="147"/>
      <c r="H196" s="147"/>
    </row>
    <row r="197" spans="3:8" ht="14" x14ac:dyDescent="0.2">
      <c r="C197" s="147"/>
      <c r="D197" s="147"/>
      <c r="E197" s="147"/>
      <c r="F197" s="147"/>
      <c r="G197" s="147"/>
      <c r="H197" s="147"/>
    </row>
    <row r="198" spans="3:8" ht="14" x14ac:dyDescent="0.2">
      <c r="C198" s="147"/>
      <c r="D198" s="147"/>
      <c r="E198" s="147"/>
      <c r="F198" s="147"/>
      <c r="G198" s="147"/>
      <c r="H198" s="147"/>
    </row>
    <row r="199" spans="3:8" ht="14" x14ac:dyDescent="0.2">
      <c r="C199" s="147"/>
      <c r="D199" s="147"/>
      <c r="E199" s="147"/>
      <c r="F199" s="147"/>
      <c r="G199" s="147"/>
      <c r="H199" s="147"/>
    </row>
    <row r="200" spans="3:8" ht="14" x14ac:dyDescent="0.2">
      <c r="C200" s="147"/>
      <c r="D200" s="147"/>
      <c r="E200" s="147"/>
      <c r="F200" s="147"/>
      <c r="G200" s="147"/>
      <c r="H200" s="147"/>
    </row>
    <row r="201" spans="3:8" ht="14" x14ac:dyDescent="0.2">
      <c r="C201" s="147"/>
      <c r="D201" s="147"/>
      <c r="E201" s="147"/>
      <c r="F201" s="147"/>
      <c r="G201" s="147"/>
      <c r="H201" s="147"/>
    </row>
    <row r="202" spans="3:8" ht="14" x14ac:dyDescent="0.2">
      <c r="C202" s="147"/>
      <c r="D202" s="147"/>
      <c r="E202" s="147"/>
      <c r="F202" s="147"/>
      <c r="G202" s="147"/>
      <c r="H202" s="147"/>
    </row>
    <row r="203" spans="3:8" ht="14" x14ac:dyDescent="0.2">
      <c r="C203" s="147"/>
      <c r="D203" s="147"/>
      <c r="E203" s="147"/>
      <c r="F203" s="147"/>
      <c r="G203" s="147"/>
      <c r="H203" s="147"/>
    </row>
    <row r="204" spans="3:8" ht="14" x14ac:dyDescent="0.2">
      <c r="C204" s="147"/>
      <c r="D204" s="147"/>
      <c r="E204" s="147"/>
      <c r="F204" s="147"/>
      <c r="G204" s="147"/>
      <c r="H204" s="147"/>
    </row>
    <row r="205" spans="3:8" ht="14" x14ac:dyDescent="0.2">
      <c r="C205" s="147"/>
      <c r="D205" s="147"/>
      <c r="E205" s="147"/>
      <c r="F205" s="147"/>
      <c r="G205" s="147"/>
      <c r="H205" s="147"/>
    </row>
    <row r="206" spans="3:8" ht="14" x14ac:dyDescent="0.2">
      <c r="C206" s="147"/>
      <c r="D206" s="147"/>
      <c r="E206" s="147"/>
      <c r="F206" s="147"/>
      <c r="G206" s="147"/>
      <c r="H206" s="147"/>
    </row>
    <row r="207" spans="3:8" ht="14" x14ac:dyDescent="0.2">
      <c r="C207" s="147"/>
      <c r="D207" s="147"/>
      <c r="E207" s="147"/>
      <c r="F207" s="147"/>
      <c r="G207" s="147"/>
      <c r="H207" s="147"/>
    </row>
    <row r="208" spans="3:8" ht="14" x14ac:dyDescent="0.2">
      <c r="C208" s="147"/>
      <c r="D208" s="147"/>
      <c r="E208" s="147"/>
      <c r="F208" s="147"/>
      <c r="G208" s="147"/>
      <c r="H208" s="147"/>
    </row>
    <row r="209" spans="3:8" ht="14" x14ac:dyDescent="0.2">
      <c r="C209" s="147"/>
      <c r="D209" s="147"/>
      <c r="E209" s="147"/>
      <c r="F209" s="147"/>
      <c r="G209" s="147"/>
      <c r="H209" s="147"/>
    </row>
    <row r="210" spans="3:8" ht="14" x14ac:dyDescent="0.2">
      <c r="C210" s="147"/>
      <c r="D210" s="147"/>
      <c r="E210" s="147"/>
      <c r="F210" s="147"/>
      <c r="G210" s="147"/>
      <c r="H210" s="147"/>
    </row>
    <row r="211" spans="3:8" ht="14" x14ac:dyDescent="0.2">
      <c r="C211" s="147"/>
      <c r="D211" s="147"/>
      <c r="E211" s="147"/>
      <c r="F211" s="147"/>
      <c r="G211" s="147"/>
      <c r="H211" s="147"/>
    </row>
    <row r="212" spans="3:8" ht="14" x14ac:dyDescent="0.2">
      <c r="C212" s="147"/>
      <c r="D212" s="147"/>
      <c r="E212" s="147"/>
      <c r="F212" s="147"/>
      <c r="G212" s="147"/>
      <c r="H212" s="147"/>
    </row>
    <row r="213" spans="3:8" ht="14" x14ac:dyDescent="0.2">
      <c r="C213" s="147"/>
      <c r="D213" s="147"/>
      <c r="E213" s="147"/>
      <c r="F213" s="147"/>
      <c r="G213" s="147"/>
      <c r="H213" s="147"/>
    </row>
    <row r="214" spans="3:8" ht="14" x14ac:dyDescent="0.2">
      <c r="C214" s="147"/>
      <c r="D214" s="147"/>
      <c r="E214" s="147"/>
      <c r="F214" s="147"/>
      <c r="G214" s="147"/>
      <c r="H214" s="147"/>
    </row>
    <row r="215" spans="3:8" ht="14" x14ac:dyDescent="0.2">
      <c r="C215" s="147"/>
      <c r="D215" s="147"/>
      <c r="E215" s="147"/>
      <c r="F215" s="147"/>
      <c r="G215" s="147"/>
      <c r="H215" s="147"/>
    </row>
    <row r="216" spans="3:8" ht="14" x14ac:dyDescent="0.2">
      <c r="C216" s="147"/>
      <c r="D216" s="147"/>
      <c r="E216" s="147"/>
      <c r="F216" s="147"/>
      <c r="G216" s="147"/>
      <c r="H216" s="147"/>
    </row>
    <row r="217" spans="3:8" ht="14" x14ac:dyDescent="0.2">
      <c r="C217" s="147"/>
      <c r="D217" s="147"/>
      <c r="E217" s="147"/>
      <c r="F217" s="147"/>
      <c r="G217" s="147"/>
      <c r="H217" s="147"/>
    </row>
    <row r="218" spans="3:8" ht="14" x14ac:dyDescent="0.2">
      <c r="C218" s="147"/>
      <c r="D218" s="147"/>
      <c r="E218" s="147"/>
      <c r="F218" s="147"/>
      <c r="G218" s="147"/>
      <c r="H218" s="147"/>
    </row>
    <row r="219" spans="3:8" ht="14" x14ac:dyDescent="0.2">
      <c r="C219" s="147"/>
      <c r="D219" s="147"/>
      <c r="E219" s="147"/>
      <c r="F219" s="147"/>
      <c r="G219" s="147"/>
      <c r="H219" s="147"/>
    </row>
    <row r="220" spans="3:8" ht="14" x14ac:dyDescent="0.2">
      <c r="C220" s="147"/>
      <c r="D220" s="147"/>
      <c r="E220" s="147"/>
      <c r="F220" s="147"/>
      <c r="G220" s="147"/>
      <c r="H220" s="147"/>
    </row>
    <row r="221" spans="3:8" ht="14" x14ac:dyDescent="0.2">
      <c r="C221" s="147"/>
      <c r="D221" s="147"/>
      <c r="E221" s="147"/>
      <c r="F221" s="147"/>
      <c r="G221" s="147"/>
      <c r="H221" s="147"/>
    </row>
    <row r="222" spans="3:8" ht="14" x14ac:dyDescent="0.2">
      <c r="C222" s="147"/>
      <c r="D222" s="147"/>
      <c r="E222" s="147"/>
      <c r="F222" s="147"/>
      <c r="G222" s="147"/>
      <c r="H222" s="147"/>
    </row>
    <row r="223" spans="3:8" ht="14" x14ac:dyDescent="0.2">
      <c r="C223" s="147"/>
      <c r="D223" s="147"/>
      <c r="E223" s="147"/>
      <c r="F223" s="147"/>
      <c r="G223" s="147"/>
      <c r="H223" s="147"/>
    </row>
    <row r="224" spans="3:8" ht="14" x14ac:dyDescent="0.2">
      <c r="C224" s="147"/>
      <c r="D224" s="147"/>
      <c r="E224" s="147"/>
      <c r="F224" s="147"/>
      <c r="G224" s="147"/>
      <c r="H224" s="147"/>
    </row>
    <row r="225" spans="3:8" ht="14" x14ac:dyDescent="0.2">
      <c r="C225" s="147"/>
      <c r="D225" s="147"/>
      <c r="E225" s="147"/>
      <c r="F225" s="147"/>
      <c r="G225" s="147"/>
      <c r="H225" s="147"/>
    </row>
    <row r="226" spans="3:8" ht="14" x14ac:dyDescent="0.2">
      <c r="C226" s="147"/>
      <c r="D226" s="147"/>
      <c r="E226" s="147"/>
      <c r="F226" s="147"/>
      <c r="G226" s="147"/>
      <c r="H226" s="147"/>
    </row>
    <row r="227" spans="3:8" ht="14" x14ac:dyDescent="0.2">
      <c r="C227" s="147"/>
      <c r="D227" s="147"/>
      <c r="E227" s="147"/>
      <c r="F227" s="147"/>
      <c r="G227" s="147"/>
      <c r="H227" s="147"/>
    </row>
    <row r="228" spans="3:8" ht="14" x14ac:dyDescent="0.2">
      <c r="C228" s="147"/>
      <c r="D228" s="147"/>
      <c r="E228" s="147"/>
      <c r="F228" s="147"/>
      <c r="G228" s="147"/>
      <c r="H228" s="147"/>
    </row>
    <row r="229" spans="3:8" ht="14" x14ac:dyDescent="0.2">
      <c r="C229" s="147"/>
      <c r="D229" s="147"/>
      <c r="E229" s="147"/>
      <c r="F229" s="147"/>
      <c r="G229" s="147"/>
      <c r="H229" s="147"/>
    </row>
    <row r="230" spans="3:8" ht="14" x14ac:dyDescent="0.2">
      <c r="C230" s="147"/>
      <c r="D230" s="147"/>
      <c r="E230" s="147"/>
      <c r="F230" s="147"/>
      <c r="G230" s="147"/>
      <c r="H230" s="147"/>
    </row>
    <row r="231" spans="3:8" ht="14" x14ac:dyDescent="0.2">
      <c r="C231" s="147"/>
      <c r="D231" s="147"/>
      <c r="E231" s="147"/>
      <c r="F231" s="147"/>
      <c r="G231" s="147"/>
      <c r="H231" s="147"/>
    </row>
    <row r="232" spans="3:8" ht="14" x14ac:dyDescent="0.2">
      <c r="C232" s="147"/>
      <c r="D232" s="147"/>
      <c r="E232" s="147"/>
      <c r="F232" s="147"/>
      <c r="G232" s="147"/>
      <c r="H232" s="147"/>
    </row>
    <row r="233" spans="3:8" ht="14" x14ac:dyDescent="0.2">
      <c r="C233" s="147"/>
      <c r="D233" s="147"/>
      <c r="E233" s="147"/>
      <c r="F233" s="147"/>
      <c r="G233" s="147"/>
      <c r="H233" s="147"/>
    </row>
    <row r="234" spans="3:8" ht="14" x14ac:dyDescent="0.2">
      <c r="C234" s="147"/>
      <c r="D234" s="147"/>
      <c r="E234" s="147"/>
      <c r="F234" s="147"/>
      <c r="G234" s="147"/>
      <c r="H234" s="147"/>
    </row>
    <row r="235" spans="3:8" ht="14" x14ac:dyDescent="0.2">
      <c r="C235" s="147"/>
      <c r="D235" s="147"/>
      <c r="E235" s="147"/>
      <c r="F235" s="147"/>
      <c r="G235" s="147"/>
      <c r="H235" s="147"/>
    </row>
    <row r="236" spans="3:8" ht="14" x14ac:dyDescent="0.2">
      <c r="C236" s="147"/>
      <c r="D236" s="147"/>
      <c r="E236" s="147"/>
      <c r="F236" s="147"/>
      <c r="G236" s="147"/>
      <c r="H236" s="147"/>
    </row>
    <row r="237" spans="3:8" ht="14" x14ac:dyDescent="0.2">
      <c r="C237" s="147"/>
      <c r="D237" s="147"/>
      <c r="E237" s="147"/>
      <c r="F237" s="147"/>
      <c r="G237" s="147"/>
      <c r="H237" s="147"/>
    </row>
    <row r="238" spans="3:8" ht="14" x14ac:dyDescent="0.2">
      <c r="C238" s="147"/>
      <c r="D238" s="147"/>
      <c r="E238" s="147"/>
      <c r="F238" s="147"/>
      <c r="G238" s="147"/>
      <c r="H238" s="147"/>
    </row>
    <row r="239" spans="3:8" ht="14" x14ac:dyDescent="0.2">
      <c r="C239" s="147"/>
      <c r="D239" s="147"/>
      <c r="E239" s="147"/>
      <c r="F239" s="147"/>
      <c r="G239" s="147"/>
      <c r="H239" s="147"/>
    </row>
    <row r="240" spans="3:8" ht="14" x14ac:dyDescent="0.2">
      <c r="C240" s="147"/>
      <c r="D240" s="147"/>
      <c r="E240" s="147"/>
      <c r="F240" s="147"/>
      <c r="G240" s="147"/>
      <c r="H240" s="147"/>
    </row>
    <row r="241" spans="3:8" ht="14" x14ac:dyDescent="0.2">
      <c r="C241" s="147"/>
      <c r="D241" s="147"/>
      <c r="E241" s="147"/>
      <c r="F241" s="147"/>
      <c r="G241" s="147"/>
      <c r="H241" s="147"/>
    </row>
    <row r="242" spans="3:8" ht="14" x14ac:dyDescent="0.2">
      <c r="C242" s="147"/>
      <c r="D242" s="147"/>
      <c r="E242" s="147"/>
      <c r="F242" s="147"/>
      <c r="G242" s="147"/>
      <c r="H242" s="147"/>
    </row>
    <row r="243" spans="3:8" ht="14" x14ac:dyDescent="0.2">
      <c r="C243" s="147"/>
      <c r="D243" s="147"/>
      <c r="E243" s="147"/>
      <c r="F243" s="147"/>
      <c r="G243" s="147"/>
      <c r="H243" s="147"/>
    </row>
    <row r="244" spans="3:8" ht="14" x14ac:dyDescent="0.2">
      <c r="C244" s="147"/>
      <c r="D244" s="147"/>
      <c r="E244" s="147"/>
      <c r="F244" s="147"/>
      <c r="G244" s="147"/>
      <c r="H244" s="147"/>
    </row>
    <row r="245" spans="3:8" ht="14" x14ac:dyDescent="0.2">
      <c r="C245" s="147"/>
      <c r="D245" s="147"/>
      <c r="E245" s="147"/>
      <c r="F245" s="147"/>
      <c r="G245" s="147"/>
      <c r="H245" s="147"/>
    </row>
    <row r="246" spans="3:8" ht="14" x14ac:dyDescent="0.2">
      <c r="C246" s="147"/>
      <c r="D246" s="147"/>
      <c r="E246" s="147"/>
      <c r="F246" s="147"/>
      <c r="G246" s="147"/>
      <c r="H246" s="147"/>
    </row>
    <row r="247" spans="3:8" ht="14" x14ac:dyDescent="0.2">
      <c r="C247" s="147"/>
      <c r="D247" s="147"/>
      <c r="E247" s="147"/>
      <c r="F247" s="147"/>
      <c r="G247" s="147"/>
      <c r="H247" s="147"/>
    </row>
    <row r="248" spans="3:8" ht="14" x14ac:dyDescent="0.2">
      <c r="C248" s="147"/>
      <c r="D248" s="147"/>
      <c r="E248" s="147"/>
      <c r="F248" s="147"/>
      <c r="G248" s="147"/>
      <c r="H248" s="147"/>
    </row>
    <row r="249" spans="3:8" ht="14" x14ac:dyDescent="0.2">
      <c r="C249" s="147"/>
      <c r="D249" s="147"/>
      <c r="E249" s="147"/>
      <c r="F249" s="147"/>
      <c r="G249" s="147"/>
      <c r="H249" s="147"/>
    </row>
    <row r="250" spans="3:8" ht="14" x14ac:dyDescent="0.2">
      <c r="C250" s="147"/>
      <c r="D250" s="147"/>
      <c r="E250" s="147"/>
      <c r="F250" s="147"/>
      <c r="G250" s="147"/>
      <c r="H250" s="147"/>
    </row>
    <row r="251" spans="3:8" ht="14" x14ac:dyDescent="0.2">
      <c r="C251" s="147"/>
      <c r="D251" s="147"/>
      <c r="E251" s="147"/>
      <c r="F251" s="147"/>
      <c r="G251" s="147"/>
      <c r="H251" s="147"/>
    </row>
    <row r="252" spans="3:8" ht="14" x14ac:dyDescent="0.2">
      <c r="C252" s="147"/>
      <c r="D252" s="147"/>
      <c r="E252" s="147"/>
      <c r="F252" s="147"/>
      <c r="G252" s="147"/>
      <c r="H252" s="147"/>
    </row>
    <row r="253" spans="3:8" ht="14" x14ac:dyDescent="0.2">
      <c r="C253" s="147"/>
      <c r="D253" s="147"/>
      <c r="E253" s="147"/>
      <c r="F253" s="147"/>
      <c r="G253" s="147"/>
      <c r="H253" s="147"/>
    </row>
    <row r="254" spans="3:8" ht="14" x14ac:dyDescent="0.2">
      <c r="C254" s="147"/>
      <c r="D254" s="147"/>
      <c r="E254" s="147"/>
      <c r="F254" s="147"/>
      <c r="G254" s="147"/>
      <c r="H254" s="147"/>
    </row>
    <row r="255" spans="3:8" ht="14" x14ac:dyDescent="0.2">
      <c r="C255" s="147"/>
      <c r="D255" s="147"/>
      <c r="E255" s="147"/>
      <c r="F255" s="147"/>
      <c r="G255" s="147"/>
      <c r="H255" s="147"/>
    </row>
    <row r="256" spans="3:8" ht="14" x14ac:dyDescent="0.2">
      <c r="C256" s="147"/>
      <c r="D256" s="147"/>
      <c r="E256" s="147"/>
      <c r="F256" s="147"/>
      <c r="G256" s="147"/>
      <c r="H256" s="147"/>
    </row>
    <row r="257" spans="3:8" ht="14" x14ac:dyDescent="0.2">
      <c r="C257" s="147"/>
      <c r="D257" s="147"/>
      <c r="E257" s="147"/>
      <c r="F257" s="147"/>
      <c r="G257" s="147"/>
      <c r="H257" s="147"/>
    </row>
    <row r="258" spans="3:8" ht="14" x14ac:dyDescent="0.2">
      <c r="C258" s="147"/>
      <c r="D258" s="147"/>
      <c r="E258" s="147"/>
      <c r="F258" s="147"/>
      <c r="G258" s="147"/>
      <c r="H258" s="147"/>
    </row>
    <row r="259" spans="3:8" ht="14" x14ac:dyDescent="0.2">
      <c r="C259" s="147"/>
      <c r="D259" s="147"/>
      <c r="E259" s="147"/>
      <c r="F259" s="147"/>
      <c r="G259" s="147"/>
      <c r="H259" s="147"/>
    </row>
    <row r="260" spans="3:8" ht="14" x14ac:dyDescent="0.2">
      <c r="C260" s="147"/>
      <c r="D260" s="147"/>
      <c r="E260" s="147"/>
      <c r="F260" s="147"/>
      <c r="G260" s="147"/>
      <c r="H260" s="147"/>
    </row>
    <row r="261" spans="3:8" ht="14" x14ac:dyDescent="0.2">
      <c r="C261" s="147"/>
      <c r="D261" s="147"/>
      <c r="E261" s="147"/>
      <c r="F261" s="147"/>
      <c r="G261" s="147"/>
      <c r="H261" s="147"/>
    </row>
    <row r="262" spans="3:8" ht="14" x14ac:dyDescent="0.2">
      <c r="C262" s="147"/>
      <c r="D262" s="147"/>
      <c r="E262" s="147"/>
      <c r="F262" s="147"/>
      <c r="G262" s="147"/>
      <c r="H262" s="147"/>
    </row>
    <row r="263" spans="3:8" ht="14" x14ac:dyDescent="0.2">
      <c r="C263" s="147"/>
      <c r="D263" s="147"/>
      <c r="E263" s="147"/>
      <c r="F263" s="147"/>
      <c r="G263" s="147"/>
      <c r="H263" s="147"/>
    </row>
    <row r="264" spans="3:8" ht="14" x14ac:dyDescent="0.2">
      <c r="C264" s="147"/>
      <c r="D264" s="147"/>
      <c r="E264" s="147"/>
      <c r="F264" s="147"/>
      <c r="G264" s="147"/>
      <c r="H264" s="147"/>
    </row>
    <row r="265" spans="3:8" ht="14" x14ac:dyDescent="0.2">
      <c r="C265" s="147"/>
      <c r="D265" s="147"/>
      <c r="E265" s="147"/>
      <c r="F265" s="147"/>
      <c r="G265" s="147"/>
      <c r="H265" s="147"/>
    </row>
    <row r="266" spans="3:8" ht="14" x14ac:dyDescent="0.2">
      <c r="C266" s="147"/>
      <c r="D266" s="147"/>
      <c r="E266" s="147"/>
      <c r="F266" s="147"/>
      <c r="G266" s="147"/>
      <c r="H266" s="147"/>
    </row>
    <row r="267" spans="3:8" ht="14" x14ac:dyDescent="0.2">
      <c r="C267" s="147"/>
      <c r="D267" s="147"/>
      <c r="E267" s="147"/>
      <c r="F267" s="147"/>
      <c r="G267" s="147"/>
      <c r="H267" s="147"/>
    </row>
    <row r="268" spans="3:8" ht="14" x14ac:dyDescent="0.2">
      <c r="C268" s="147"/>
      <c r="D268" s="147"/>
      <c r="E268" s="147"/>
      <c r="F268" s="147"/>
      <c r="G268" s="147"/>
      <c r="H268" s="147"/>
    </row>
    <row r="269" spans="3:8" ht="14" x14ac:dyDescent="0.2">
      <c r="C269" s="147"/>
      <c r="D269" s="147"/>
      <c r="E269" s="147"/>
      <c r="F269" s="147"/>
      <c r="G269" s="147"/>
      <c r="H269" s="147"/>
    </row>
    <row r="270" spans="3:8" ht="14" x14ac:dyDescent="0.2">
      <c r="C270" s="147"/>
      <c r="D270" s="147"/>
      <c r="E270" s="147"/>
      <c r="F270" s="147"/>
      <c r="G270" s="147"/>
      <c r="H270" s="147"/>
    </row>
    <row r="271" spans="3:8" ht="14" x14ac:dyDescent="0.2">
      <c r="C271" s="147"/>
      <c r="D271" s="147"/>
      <c r="E271" s="147"/>
      <c r="F271" s="147"/>
      <c r="G271" s="147"/>
      <c r="H271" s="147"/>
    </row>
    <row r="272" spans="3:8" ht="14" x14ac:dyDescent="0.2">
      <c r="C272" s="147"/>
      <c r="D272" s="147"/>
      <c r="E272" s="147"/>
      <c r="F272" s="147"/>
      <c r="G272" s="147"/>
      <c r="H272" s="147"/>
    </row>
    <row r="273" spans="3:8" ht="14" x14ac:dyDescent="0.2">
      <c r="C273" s="147"/>
      <c r="D273" s="147"/>
      <c r="E273" s="147"/>
      <c r="F273" s="147"/>
      <c r="G273" s="147"/>
      <c r="H273" s="147"/>
    </row>
    <row r="274" spans="3:8" ht="14" x14ac:dyDescent="0.2">
      <c r="C274" s="147"/>
      <c r="D274" s="147"/>
      <c r="E274" s="147"/>
      <c r="F274" s="147"/>
      <c r="G274" s="147"/>
      <c r="H274" s="147"/>
    </row>
    <row r="275" spans="3:8" ht="14" x14ac:dyDescent="0.2">
      <c r="C275" s="147"/>
      <c r="D275" s="147"/>
      <c r="E275" s="147"/>
      <c r="F275" s="147"/>
      <c r="G275" s="147"/>
      <c r="H275" s="147"/>
    </row>
    <row r="276" spans="3:8" ht="14" x14ac:dyDescent="0.2">
      <c r="C276" s="147"/>
      <c r="D276" s="147"/>
      <c r="E276" s="147"/>
      <c r="F276" s="147"/>
      <c r="G276" s="147"/>
      <c r="H276" s="147"/>
    </row>
    <row r="277" spans="3:8" ht="14" x14ac:dyDescent="0.2">
      <c r="C277" s="147"/>
      <c r="D277" s="147"/>
      <c r="E277" s="147"/>
      <c r="F277" s="147"/>
      <c r="G277" s="147"/>
      <c r="H277" s="147"/>
    </row>
    <row r="278" spans="3:8" ht="14" x14ac:dyDescent="0.2">
      <c r="C278" s="147"/>
      <c r="D278" s="147"/>
      <c r="E278" s="147"/>
      <c r="F278" s="147"/>
      <c r="G278" s="147"/>
      <c r="H278" s="147"/>
    </row>
    <row r="279" spans="3:8" ht="14" x14ac:dyDescent="0.2">
      <c r="C279" s="147"/>
      <c r="D279" s="147"/>
      <c r="E279" s="147"/>
      <c r="F279" s="147"/>
      <c r="G279" s="147"/>
      <c r="H279" s="147"/>
    </row>
    <row r="280" spans="3:8" ht="14" x14ac:dyDescent="0.2">
      <c r="C280" s="147"/>
      <c r="D280" s="147"/>
      <c r="E280" s="147"/>
      <c r="F280" s="147"/>
      <c r="G280" s="147"/>
      <c r="H280" s="147"/>
    </row>
    <row r="281" spans="3:8" ht="14" x14ac:dyDescent="0.2">
      <c r="C281" s="147"/>
      <c r="D281" s="147"/>
      <c r="E281" s="147"/>
      <c r="F281" s="147"/>
      <c r="G281" s="147"/>
      <c r="H281" s="147"/>
    </row>
    <row r="282" spans="3:8" ht="14" x14ac:dyDescent="0.2">
      <c r="C282" s="147"/>
      <c r="D282" s="147"/>
      <c r="E282" s="147"/>
      <c r="F282" s="147"/>
      <c r="G282" s="147"/>
      <c r="H282" s="147"/>
    </row>
    <row r="283" spans="3:8" ht="14" x14ac:dyDescent="0.2">
      <c r="C283" s="147"/>
      <c r="D283" s="147"/>
      <c r="E283" s="147"/>
      <c r="F283" s="147"/>
      <c r="G283" s="147"/>
      <c r="H283" s="147"/>
    </row>
    <row r="284" spans="3:8" ht="14" x14ac:dyDescent="0.2">
      <c r="C284" s="147"/>
      <c r="D284" s="147"/>
      <c r="E284" s="147"/>
      <c r="F284" s="147"/>
      <c r="G284" s="147"/>
      <c r="H284" s="147"/>
    </row>
    <row r="285" spans="3:8" ht="14" x14ac:dyDescent="0.2">
      <c r="C285" s="147"/>
      <c r="D285" s="147"/>
      <c r="E285" s="147"/>
      <c r="F285" s="147"/>
      <c r="G285" s="147"/>
      <c r="H285" s="147"/>
    </row>
    <row r="286" spans="3:8" ht="14" x14ac:dyDescent="0.2">
      <c r="C286" s="147"/>
      <c r="D286" s="147"/>
      <c r="E286" s="147"/>
      <c r="F286" s="147"/>
      <c r="G286" s="147"/>
      <c r="H286" s="147"/>
    </row>
    <row r="287" spans="3:8" ht="14" x14ac:dyDescent="0.2">
      <c r="C287" s="147"/>
      <c r="D287" s="147"/>
      <c r="E287" s="147"/>
      <c r="F287" s="147"/>
      <c r="G287" s="147"/>
      <c r="H287" s="147"/>
    </row>
    <row r="288" spans="3:8" ht="14" x14ac:dyDescent="0.2">
      <c r="C288" s="147"/>
      <c r="D288" s="147"/>
      <c r="E288" s="147"/>
      <c r="F288" s="147"/>
      <c r="G288" s="147"/>
      <c r="H288" s="147"/>
    </row>
    <row r="289" spans="3:8" ht="14" x14ac:dyDescent="0.2">
      <c r="C289" s="147"/>
      <c r="D289" s="147"/>
      <c r="E289" s="147"/>
      <c r="F289" s="147"/>
      <c r="G289" s="147"/>
      <c r="H289" s="147"/>
    </row>
    <row r="290" spans="3:8" ht="14" x14ac:dyDescent="0.2">
      <c r="C290" s="147"/>
      <c r="D290" s="147"/>
      <c r="E290" s="147"/>
      <c r="F290" s="147"/>
      <c r="G290" s="147"/>
      <c r="H290" s="147"/>
    </row>
    <row r="291" spans="3:8" ht="14" x14ac:dyDescent="0.2">
      <c r="C291" s="147"/>
      <c r="D291" s="147"/>
      <c r="E291" s="147"/>
      <c r="F291" s="147"/>
      <c r="G291" s="147"/>
      <c r="H291" s="147"/>
    </row>
    <row r="292" spans="3:8" ht="14" x14ac:dyDescent="0.2">
      <c r="C292" s="147"/>
      <c r="D292" s="147"/>
      <c r="E292" s="147"/>
      <c r="F292" s="147"/>
      <c r="G292" s="147"/>
      <c r="H292" s="147"/>
    </row>
    <row r="293" spans="3:8" ht="14" x14ac:dyDescent="0.2">
      <c r="C293" s="147"/>
      <c r="D293" s="147"/>
      <c r="E293" s="147"/>
      <c r="F293" s="147"/>
      <c r="G293" s="147"/>
      <c r="H293" s="147"/>
    </row>
    <row r="294" spans="3:8" ht="14" x14ac:dyDescent="0.2">
      <c r="C294" s="147"/>
      <c r="D294" s="147"/>
      <c r="E294" s="147"/>
      <c r="F294" s="147"/>
      <c r="G294" s="147"/>
      <c r="H294" s="147"/>
    </row>
    <row r="295" spans="3:8" ht="14" x14ac:dyDescent="0.2">
      <c r="C295" s="147"/>
      <c r="D295" s="147"/>
      <c r="E295" s="147"/>
      <c r="F295" s="147"/>
      <c r="G295" s="147"/>
      <c r="H295" s="147"/>
    </row>
    <row r="296" spans="3:8" ht="14" x14ac:dyDescent="0.2">
      <c r="C296" s="147"/>
      <c r="D296" s="147"/>
      <c r="E296" s="147"/>
      <c r="F296" s="147"/>
      <c r="G296" s="147"/>
      <c r="H296" s="147"/>
    </row>
    <row r="297" spans="3:8" ht="14" x14ac:dyDescent="0.2">
      <c r="C297" s="147"/>
      <c r="D297" s="147"/>
      <c r="E297" s="147"/>
      <c r="F297" s="147"/>
      <c r="G297" s="147"/>
      <c r="H297" s="147"/>
    </row>
    <row r="298" spans="3:8" ht="14" x14ac:dyDescent="0.2">
      <c r="C298" s="147"/>
      <c r="D298" s="147"/>
      <c r="E298" s="147"/>
      <c r="F298" s="147"/>
      <c r="G298" s="147"/>
      <c r="H298" s="147"/>
    </row>
    <row r="299" spans="3:8" ht="14" x14ac:dyDescent="0.2">
      <c r="C299" s="147"/>
      <c r="D299" s="147"/>
      <c r="E299" s="147"/>
      <c r="F299" s="147"/>
      <c r="G299" s="147"/>
      <c r="H299" s="147"/>
    </row>
    <row r="300" spans="3:8" ht="14" x14ac:dyDescent="0.2">
      <c r="C300" s="147"/>
      <c r="D300" s="147"/>
      <c r="E300" s="147"/>
      <c r="F300" s="147"/>
      <c r="G300" s="147"/>
      <c r="H300" s="147"/>
    </row>
    <row r="301" spans="3:8" ht="14" x14ac:dyDescent="0.2">
      <c r="C301" s="147"/>
      <c r="D301" s="147"/>
      <c r="E301" s="147"/>
      <c r="F301" s="147"/>
      <c r="G301" s="147"/>
      <c r="H301" s="147"/>
    </row>
    <row r="302" spans="3:8" ht="14" x14ac:dyDescent="0.2">
      <c r="C302" s="147"/>
      <c r="D302" s="147"/>
      <c r="E302" s="147"/>
      <c r="F302" s="147"/>
      <c r="G302" s="147"/>
      <c r="H302" s="147"/>
    </row>
    <row r="303" spans="3:8" ht="14" x14ac:dyDescent="0.2">
      <c r="C303" s="147"/>
      <c r="D303" s="147"/>
      <c r="E303" s="147"/>
      <c r="F303" s="147"/>
      <c r="G303" s="147"/>
      <c r="H303" s="147"/>
    </row>
    <row r="304" spans="3:8" ht="14" x14ac:dyDescent="0.2">
      <c r="C304" s="147"/>
      <c r="D304" s="147"/>
      <c r="E304" s="147"/>
      <c r="F304" s="147"/>
      <c r="G304" s="147"/>
      <c r="H304" s="147"/>
    </row>
    <row r="305" spans="3:8" ht="14" x14ac:dyDescent="0.2">
      <c r="C305" s="147"/>
      <c r="D305" s="147"/>
      <c r="E305" s="147"/>
      <c r="F305" s="147"/>
      <c r="G305" s="147"/>
      <c r="H305" s="147"/>
    </row>
    <row r="306" spans="3:8" ht="14" x14ac:dyDescent="0.2">
      <c r="C306" s="147"/>
      <c r="D306" s="147"/>
      <c r="E306" s="147"/>
      <c r="F306" s="147"/>
      <c r="G306" s="147"/>
      <c r="H306" s="147"/>
    </row>
    <row r="307" spans="3:8" ht="14" x14ac:dyDescent="0.2">
      <c r="C307" s="147"/>
      <c r="D307" s="147"/>
      <c r="E307" s="147"/>
      <c r="F307" s="147"/>
      <c r="G307" s="147"/>
      <c r="H307" s="147"/>
    </row>
    <row r="308" spans="3:8" ht="14" x14ac:dyDescent="0.2">
      <c r="C308" s="147"/>
      <c r="D308" s="147"/>
      <c r="E308" s="147"/>
      <c r="F308" s="147"/>
      <c r="G308" s="147"/>
      <c r="H308" s="147"/>
    </row>
    <row r="309" spans="3:8" ht="14" x14ac:dyDescent="0.2">
      <c r="C309" s="147"/>
      <c r="D309" s="147"/>
      <c r="E309" s="147"/>
      <c r="F309" s="147"/>
      <c r="G309" s="147"/>
      <c r="H309" s="147"/>
    </row>
    <row r="310" spans="3:8" ht="14" x14ac:dyDescent="0.2">
      <c r="C310" s="147"/>
      <c r="D310" s="147"/>
      <c r="E310" s="147"/>
      <c r="F310" s="147"/>
      <c r="G310" s="147"/>
      <c r="H310" s="147"/>
    </row>
    <row r="311" spans="3:8" ht="14" x14ac:dyDescent="0.2">
      <c r="C311" s="147"/>
      <c r="D311" s="147"/>
      <c r="E311" s="147"/>
      <c r="F311" s="147"/>
      <c r="G311" s="147"/>
      <c r="H311" s="147"/>
    </row>
    <row r="312" spans="3:8" ht="14" x14ac:dyDescent="0.2">
      <c r="C312" s="147"/>
      <c r="D312" s="147"/>
      <c r="E312" s="147"/>
      <c r="F312" s="147"/>
      <c r="G312" s="147"/>
      <c r="H312" s="147"/>
    </row>
    <row r="313" spans="3:8" ht="14" x14ac:dyDescent="0.2">
      <c r="C313" s="147"/>
      <c r="D313" s="147"/>
      <c r="E313" s="147"/>
      <c r="F313" s="147"/>
      <c r="G313" s="147"/>
      <c r="H313" s="147"/>
    </row>
    <row r="314" spans="3:8" ht="14" x14ac:dyDescent="0.2">
      <c r="C314" s="147"/>
      <c r="D314" s="147"/>
      <c r="E314" s="147"/>
      <c r="F314" s="147"/>
      <c r="G314" s="147"/>
      <c r="H314" s="147"/>
    </row>
    <row r="315" spans="3:8" ht="14" x14ac:dyDescent="0.2">
      <c r="C315" s="147"/>
      <c r="D315" s="147"/>
      <c r="E315" s="147"/>
      <c r="F315" s="147"/>
      <c r="G315" s="147"/>
      <c r="H315" s="147"/>
    </row>
    <row r="316" spans="3:8" ht="14" x14ac:dyDescent="0.2">
      <c r="C316" s="147"/>
      <c r="D316" s="147"/>
      <c r="E316" s="147"/>
      <c r="F316" s="147"/>
      <c r="G316" s="147"/>
      <c r="H316" s="147"/>
    </row>
    <row r="317" spans="3:8" ht="14" x14ac:dyDescent="0.2">
      <c r="C317" s="147"/>
      <c r="D317" s="147"/>
      <c r="E317" s="147"/>
      <c r="F317" s="147"/>
      <c r="G317" s="147"/>
      <c r="H317" s="147"/>
    </row>
    <row r="318" spans="3:8" ht="14" x14ac:dyDescent="0.2">
      <c r="C318" s="147"/>
      <c r="D318" s="147"/>
      <c r="E318" s="147"/>
      <c r="F318" s="147"/>
      <c r="G318" s="147"/>
      <c r="H318" s="147"/>
    </row>
    <row r="319" spans="3:8" ht="14" x14ac:dyDescent="0.2">
      <c r="C319" s="147"/>
      <c r="D319" s="147"/>
      <c r="E319" s="147"/>
      <c r="F319" s="147"/>
      <c r="G319" s="147"/>
      <c r="H319" s="147"/>
    </row>
    <row r="320" spans="3:8" ht="14" x14ac:dyDescent="0.2">
      <c r="C320" s="147"/>
      <c r="D320" s="147"/>
      <c r="E320" s="147"/>
      <c r="F320" s="147"/>
      <c r="G320" s="147"/>
      <c r="H320" s="147"/>
    </row>
    <row r="321" spans="3:8" ht="14" x14ac:dyDescent="0.2">
      <c r="C321" s="147"/>
      <c r="D321" s="147"/>
      <c r="E321" s="147"/>
      <c r="F321" s="147"/>
      <c r="G321" s="147"/>
      <c r="H321" s="147"/>
    </row>
    <row r="322" spans="3:8" ht="14" x14ac:dyDescent="0.2">
      <c r="C322" s="147"/>
      <c r="D322" s="147"/>
      <c r="E322" s="147"/>
      <c r="F322" s="147"/>
      <c r="G322" s="147"/>
      <c r="H322" s="147"/>
    </row>
    <row r="323" spans="3:8" ht="14" x14ac:dyDescent="0.2">
      <c r="C323" s="147"/>
      <c r="D323" s="147"/>
      <c r="E323" s="147"/>
      <c r="F323" s="147"/>
      <c r="G323" s="147"/>
      <c r="H323" s="147"/>
    </row>
    <row r="324" spans="3:8" ht="14" x14ac:dyDescent="0.2">
      <c r="C324" s="147"/>
      <c r="D324" s="147"/>
      <c r="E324" s="147"/>
      <c r="F324" s="147"/>
      <c r="G324" s="147"/>
      <c r="H324" s="147"/>
    </row>
    <row r="325" spans="3:8" ht="14" x14ac:dyDescent="0.2">
      <c r="C325" s="147"/>
      <c r="D325" s="147"/>
      <c r="E325" s="147"/>
      <c r="F325" s="147"/>
      <c r="G325" s="147"/>
      <c r="H325" s="147"/>
    </row>
    <row r="326" spans="3:8" ht="14" x14ac:dyDescent="0.2">
      <c r="C326" s="147"/>
      <c r="D326" s="147"/>
      <c r="E326" s="147"/>
      <c r="F326" s="147"/>
      <c r="G326" s="147"/>
      <c r="H326" s="147"/>
    </row>
    <row r="327" spans="3:8" ht="14" x14ac:dyDescent="0.2">
      <c r="C327" s="147"/>
      <c r="D327" s="147"/>
      <c r="E327" s="147"/>
      <c r="F327" s="147"/>
      <c r="G327" s="147"/>
      <c r="H327" s="147"/>
    </row>
    <row r="328" spans="3:8" ht="14" x14ac:dyDescent="0.2">
      <c r="C328" s="147"/>
      <c r="D328" s="147"/>
      <c r="E328" s="147"/>
      <c r="F328" s="147"/>
      <c r="G328" s="147"/>
      <c r="H328" s="147"/>
    </row>
    <row r="329" spans="3:8" ht="14" x14ac:dyDescent="0.2">
      <c r="C329" s="147"/>
      <c r="D329" s="147"/>
      <c r="E329" s="147"/>
      <c r="F329" s="147"/>
      <c r="G329" s="147"/>
      <c r="H329" s="147"/>
    </row>
    <row r="330" spans="3:8" ht="14" x14ac:dyDescent="0.2">
      <c r="C330" s="147"/>
      <c r="D330" s="147"/>
      <c r="E330" s="147"/>
      <c r="F330" s="147"/>
      <c r="G330" s="147"/>
      <c r="H330" s="147"/>
    </row>
    <row r="331" spans="3:8" ht="14" x14ac:dyDescent="0.2">
      <c r="C331" s="147"/>
      <c r="D331" s="147"/>
      <c r="E331" s="147"/>
      <c r="F331" s="147"/>
      <c r="G331" s="147"/>
      <c r="H331" s="147"/>
    </row>
    <row r="332" spans="3:8" ht="14" x14ac:dyDescent="0.2">
      <c r="C332" s="147"/>
      <c r="D332" s="147"/>
      <c r="E332" s="147"/>
      <c r="F332" s="147"/>
      <c r="G332" s="147"/>
      <c r="H332" s="147"/>
    </row>
    <row r="333" spans="3:8" ht="14" x14ac:dyDescent="0.2">
      <c r="C333" s="147"/>
      <c r="D333" s="147"/>
      <c r="E333" s="147"/>
      <c r="F333" s="147"/>
      <c r="G333" s="147"/>
      <c r="H333" s="147"/>
    </row>
    <row r="334" spans="3:8" ht="14" x14ac:dyDescent="0.2">
      <c r="C334" s="147"/>
      <c r="D334" s="147"/>
      <c r="E334" s="147"/>
      <c r="F334" s="147"/>
      <c r="G334" s="147"/>
      <c r="H334" s="147"/>
    </row>
    <row r="335" spans="3:8" ht="14" x14ac:dyDescent="0.2">
      <c r="C335" s="147"/>
      <c r="D335" s="147"/>
      <c r="E335" s="147"/>
      <c r="F335" s="147"/>
      <c r="G335" s="147"/>
      <c r="H335" s="147"/>
    </row>
    <row r="336" spans="3:8" ht="14" x14ac:dyDescent="0.2">
      <c r="C336" s="147"/>
      <c r="D336" s="147"/>
      <c r="E336" s="147"/>
      <c r="F336" s="147"/>
      <c r="G336" s="147"/>
      <c r="H336" s="147"/>
    </row>
    <row r="337" spans="3:8" ht="14" x14ac:dyDescent="0.2">
      <c r="C337" s="147"/>
      <c r="D337" s="147"/>
      <c r="E337" s="147"/>
      <c r="F337" s="147"/>
      <c r="G337" s="147"/>
      <c r="H337" s="147"/>
    </row>
    <row r="338" spans="3:8" ht="14" x14ac:dyDescent="0.2">
      <c r="C338" s="147"/>
      <c r="D338" s="147"/>
      <c r="E338" s="147"/>
      <c r="F338" s="147"/>
      <c r="G338" s="147"/>
      <c r="H338" s="147"/>
    </row>
    <row r="339" spans="3:8" ht="14" x14ac:dyDescent="0.2">
      <c r="C339" s="147"/>
      <c r="D339" s="147"/>
      <c r="E339" s="147"/>
      <c r="F339" s="147"/>
      <c r="G339" s="147"/>
      <c r="H339" s="147"/>
    </row>
    <row r="340" spans="3:8" ht="14" x14ac:dyDescent="0.2">
      <c r="C340" s="147"/>
      <c r="D340" s="147"/>
      <c r="E340" s="147"/>
      <c r="F340" s="147"/>
      <c r="G340" s="147"/>
      <c r="H340" s="147"/>
    </row>
    <row r="341" spans="3:8" ht="14" x14ac:dyDescent="0.2">
      <c r="C341" s="147"/>
      <c r="D341" s="147"/>
      <c r="E341" s="147"/>
      <c r="F341" s="147"/>
      <c r="G341" s="147"/>
      <c r="H341" s="147"/>
    </row>
    <row r="342" spans="3:8" ht="14" x14ac:dyDescent="0.2">
      <c r="C342" s="147"/>
      <c r="D342" s="147"/>
      <c r="E342" s="147"/>
      <c r="F342" s="147"/>
      <c r="G342" s="147"/>
      <c r="H342" s="147"/>
    </row>
    <row r="343" spans="3:8" ht="14" x14ac:dyDescent="0.2">
      <c r="C343" s="147"/>
      <c r="D343" s="147"/>
      <c r="E343" s="147"/>
      <c r="F343" s="147"/>
      <c r="G343" s="147"/>
      <c r="H343" s="147"/>
    </row>
    <row r="344" spans="3:8" ht="14" x14ac:dyDescent="0.2">
      <c r="C344" s="147"/>
      <c r="D344" s="147"/>
      <c r="E344" s="147"/>
      <c r="F344" s="147"/>
      <c r="G344" s="147"/>
      <c r="H344" s="147"/>
    </row>
    <row r="345" spans="3:8" ht="14" x14ac:dyDescent="0.2">
      <c r="C345" s="147"/>
      <c r="D345" s="147"/>
      <c r="E345" s="147"/>
      <c r="F345" s="147"/>
      <c r="G345" s="147"/>
      <c r="H345" s="147"/>
    </row>
    <row r="346" spans="3:8" ht="14" x14ac:dyDescent="0.2">
      <c r="C346" s="147"/>
      <c r="D346" s="147"/>
      <c r="E346" s="147"/>
      <c r="F346" s="147"/>
      <c r="G346" s="147"/>
      <c r="H346" s="147"/>
    </row>
    <row r="347" spans="3:8" ht="14" x14ac:dyDescent="0.2">
      <c r="C347" s="147"/>
      <c r="D347" s="147"/>
      <c r="E347" s="147"/>
      <c r="F347" s="147"/>
      <c r="G347" s="147"/>
      <c r="H347" s="147"/>
    </row>
    <row r="348" spans="3:8" ht="14" x14ac:dyDescent="0.2">
      <c r="C348" s="147"/>
      <c r="D348" s="147"/>
      <c r="E348" s="147"/>
      <c r="F348" s="147"/>
      <c r="G348" s="147"/>
      <c r="H348" s="147"/>
    </row>
    <row r="349" spans="3:8" ht="14" x14ac:dyDescent="0.2">
      <c r="C349" s="147"/>
      <c r="D349" s="147"/>
      <c r="E349" s="147"/>
      <c r="F349" s="147"/>
      <c r="G349" s="147"/>
      <c r="H349" s="147"/>
    </row>
    <row r="350" spans="3:8" ht="14" x14ac:dyDescent="0.2">
      <c r="C350" s="147"/>
      <c r="D350" s="147"/>
      <c r="E350" s="147"/>
      <c r="F350" s="147"/>
      <c r="G350" s="147"/>
      <c r="H350" s="147"/>
    </row>
    <row r="351" spans="3:8" ht="14" x14ac:dyDescent="0.2">
      <c r="C351" s="147"/>
      <c r="D351" s="147"/>
      <c r="E351" s="147"/>
      <c r="F351" s="147"/>
      <c r="G351" s="147"/>
      <c r="H351" s="147"/>
    </row>
    <row r="352" spans="3:8" ht="14" x14ac:dyDescent="0.2">
      <c r="C352" s="147"/>
      <c r="D352" s="147"/>
      <c r="E352" s="147"/>
      <c r="F352" s="147"/>
      <c r="G352" s="147"/>
      <c r="H352" s="147"/>
    </row>
    <row r="353" spans="3:8" ht="14" x14ac:dyDescent="0.2">
      <c r="C353" s="147"/>
      <c r="D353" s="147"/>
      <c r="E353" s="147"/>
      <c r="F353" s="147"/>
      <c r="G353" s="147"/>
      <c r="H353" s="147"/>
    </row>
    <row r="354" spans="3:8" ht="14" x14ac:dyDescent="0.2">
      <c r="C354" s="147"/>
      <c r="D354" s="147"/>
      <c r="E354" s="147"/>
      <c r="F354" s="147"/>
      <c r="G354" s="147"/>
      <c r="H354" s="147"/>
    </row>
    <row r="355" spans="3:8" ht="14" x14ac:dyDescent="0.2">
      <c r="C355" s="147"/>
      <c r="D355" s="147"/>
      <c r="E355" s="147"/>
      <c r="F355" s="147"/>
      <c r="G355" s="147"/>
      <c r="H355" s="147"/>
    </row>
    <row r="356" spans="3:8" ht="14" x14ac:dyDescent="0.2">
      <c r="C356" s="147"/>
      <c r="D356" s="147"/>
      <c r="E356" s="147"/>
      <c r="F356" s="147"/>
      <c r="G356" s="147"/>
      <c r="H356" s="147"/>
    </row>
    <row r="357" spans="3:8" ht="14" x14ac:dyDescent="0.2">
      <c r="C357" s="147"/>
      <c r="D357" s="147"/>
      <c r="E357" s="147"/>
      <c r="F357" s="147"/>
      <c r="G357" s="147"/>
      <c r="H357" s="147"/>
    </row>
    <row r="358" spans="3:8" ht="14" x14ac:dyDescent="0.2">
      <c r="C358" s="147"/>
      <c r="D358" s="147"/>
      <c r="E358" s="147"/>
      <c r="F358" s="147"/>
      <c r="G358" s="147"/>
      <c r="H358" s="147"/>
    </row>
    <row r="359" spans="3:8" ht="14" x14ac:dyDescent="0.2">
      <c r="C359" s="147"/>
      <c r="D359" s="147"/>
      <c r="E359" s="147"/>
      <c r="F359" s="147"/>
      <c r="G359" s="147"/>
      <c r="H359" s="147"/>
    </row>
    <row r="360" spans="3:8" ht="14" x14ac:dyDescent="0.2">
      <c r="C360" s="147"/>
      <c r="D360" s="147"/>
      <c r="E360" s="147"/>
      <c r="F360" s="147"/>
      <c r="G360" s="147"/>
      <c r="H360" s="147"/>
    </row>
    <row r="361" spans="3:8" ht="14" x14ac:dyDescent="0.2">
      <c r="C361" s="147"/>
      <c r="D361" s="147"/>
      <c r="E361" s="147"/>
      <c r="F361" s="147"/>
      <c r="G361" s="147"/>
      <c r="H361" s="147"/>
    </row>
    <row r="362" spans="3:8" ht="14" x14ac:dyDescent="0.2">
      <c r="C362" s="147"/>
      <c r="D362" s="147"/>
      <c r="E362" s="147"/>
      <c r="F362" s="147"/>
      <c r="G362" s="147"/>
      <c r="H362" s="147"/>
    </row>
    <row r="363" spans="3:8" ht="14" x14ac:dyDescent="0.2">
      <c r="C363" s="147"/>
      <c r="D363" s="147"/>
      <c r="E363" s="147"/>
      <c r="F363" s="147"/>
      <c r="G363" s="147"/>
      <c r="H363" s="147"/>
    </row>
    <row r="364" spans="3:8" ht="14" x14ac:dyDescent="0.2">
      <c r="C364" s="147"/>
      <c r="D364" s="147"/>
      <c r="E364" s="147"/>
      <c r="F364" s="147"/>
      <c r="G364" s="147"/>
      <c r="H364" s="147"/>
    </row>
    <row r="365" spans="3:8" ht="14" x14ac:dyDescent="0.2">
      <c r="C365" s="147"/>
      <c r="D365" s="147"/>
      <c r="E365" s="147"/>
      <c r="F365" s="147"/>
      <c r="G365" s="147"/>
      <c r="H365" s="147"/>
    </row>
    <row r="366" spans="3:8" ht="14" x14ac:dyDescent="0.2">
      <c r="C366" s="147"/>
      <c r="D366" s="147"/>
      <c r="E366" s="147"/>
      <c r="F366" s="147"/>
      <c r="G366" s="147"/>
      <c r="H366" s="147"/>
    </row>
    <row r="367" spans="3:8" ht="14" x14ac:dyDescent="0.2">
      <c r="C367" s="147"/>
      <c r="D367" s="147"/>
      <c r="E367" s="147"/>
      <c r="F367" s="147"/>
      <c r="G367" s="147"/>
      <c r="H367" s="147"/>
    </row>
    <row r="368" spans="3:8" ht="14" x14ac:dyDescent="0.2">
      <c r="C368" s="147"/>
      <c r="D368" s="147"/>
      <c r="E368" s="147"/>
      <c r="F368" s="147"/>
      <c r="G368" s="147"/>
      <c r="H368" s="147"/>
    </row>
    <row r="369" spans="3:8" ht="14" x14ac:dyDescent="0.2">
      <c r="C369" s="147"/>
      <c r="D369" s="147"/>
      <c r="E369" s="147"/>
      <c r="F369" s="147"/>
      <c r="G369" s="147"/>
      <c r="H369" s="147"/>
    </row>
    <row r="370" spans="3:8" ht="14" x14ac:dyDescent="0.2">
      <c r="C370" s="147"/>
      <c r="D370" s="147"/>
      <c r="E370" s="147"/>
      <c r="F370" s="147"/>
      <c r="G370" s="147"/>
      <c r="H370" s="147"/>
    </row>
    <row r="371" spans="3:8" ht="14" x14ac:dyDescent="0.2">
      <c r="C371" s="147"/>
      <c r="D371" s="147"/>
      <c r="E371" s="147"/>
      <c r="F371" s="147"/>
      <c r="G371" s="147"/>
      <c r="H371" s="147"/>
    </row>
    <row r="372" spans="3:8" ht="14" x14ac:dyDescent="0.2">
      <c r="C372" s="147"/>
      <c r="D372" s="147"/>
      <c r="E372" s="147"/>
      <c r="F372" s="147"/>
      <c r="G372" s="147"/>
      <c r="H372" s="147"/>
    </row>
    <row r="373" spans="3:8" ht="14" x14ac:dyDescent="0.2">
      <c r="C373" s="147"/>
      <c r="D373" s="147"/>
      <c r="E373" s="147"/>
      <c r="F373" s="147"/>
      <c r="G373" s="147"/>
      <c r="H373" s="147"/>
    </row>
    <row r="374" spans="3:8" ht="14" x14ac:dyDescent="0.2">
      <c r="C374" s="147"/>
      <c r="D374" s="147"/>
      <c r="E374" s="147"/>
      <c r="F374" s="147"/>
      <c r="G374" s="147"/>
      <c r="H374" s="147"/>
    </row>
    <row r="375" spans="3:8" ht="14" x14ac:dyDescent="0.2">
      <c r="C375" s="147"/>
      <c r="D375" s="147"/>
      <c r="E375" s="147"/>
      <c r="F375" s="147"/>
      <c r="G375" s="147"/>
      <c r="H375" s="147"/>
    </row>
    <row r="376" spans="3:8" ht="14" x14ac:dyDescent="0.2">
      <c r="C376" s="147"/>
      <c r="D376" s="147"/>
      <c r="E376" s="147"/>
      <c r="F376" s="147"/>
      <c r="G376" s="147"/>
      <c r="H376" s="147"/>
    </row>
    <row r="377" spans="3:8" ht="14" x14ac:dyDescent="0.2">
      <c r="C377" s="147"/>
      <c r="D377" s="147"/>
      <c r="E377" s="147"/>
      <c r="F377" s="147"/>
      <c r="G377" s="147"/>
      <c r="H377" s="147"/>
    </row>
    <row r="378" spans="3:8" ht="14" x14ac:dyDescent="0.2">
      <c r="C378" s="147"/>
      <c r="D378" s="147"/>
      <c r="E378" s="147"/>
      <c r="F378" s="147"/>
      <c r="G378" s="147"/>
      <c r="H378" s="147"/>
    </row>
    <row r="379" spans="3:8" ht="14" x14ac:dyDescent="0.2">
      <c r="C379" s="147"/>
      <c r="D379" s="147"/>
      <c r="E379" s="147"/>
      <c r="F379" s="147"/>
      <c r="G379" s="147"/>
      <c r="H379" s="147"/>
    </row>
    <row r="380" spans="3:8" ht="14" x14ac:dyDescent="0.2">
      <c r="C380" s="147"/>
      <c r="D380" s="147"/>
      <c r="E380" s="147"/>
      <c r="F380" s="147"/>
      <c r="G380" s="147"/>
      <c r="H380" s="147"/>
    </row>
    <row r="381" spans="3:8" ht="14" x14ac:dyDescent="0.2">
      <c r="C381" s="147"/>
      <c r="D381" s="147"/>
      <c r="E381" s="147"/>
      <c r="F381" s="147"/>
      <c r="G381" s="147"/>
      <c r="H381" s="147"/>
    </row>
    <row r="382" spans="3:8" ht="14" x14ac:dyDescent="0.2">
      <c r="C382" s="147"/>
      <c r="D382" s="147"/>
      <c r="E382" s="147"/>
      <c r="F382" s="147"/>
      <c r="G382" s="147"/>
      <c r="H382" s="147"/>
    </row>
    <row r="383" spans="3:8" ht="14" x14ac:dyDescent="0.2">
      <c r="C383" s="147"/>
      <c r="D383" s="147"/>
      <c r="E383" s="147"/>
      <c r="F383" s="147"/>
      <c r="G383" s="147"/>
      <c r="H383" s="147"/>
    </row>
    <row r="384" spans="3:8" ht="14" x14ac:dyDescent="0.2">
      <c r="C384" s="147"/>
      <c r="D384" s="147"/>
      <c r="E384" s="147"/>
      <c r="F384" s="147"/>
      <c r="G384" s="147"/>
      <c r="H384" s="147"/>
    </row>
    <row r="385" spans="3:8" ht="14" x14ac:dyDescent="0.2">
      <c r="C385" s="147"/>
      <c r="D385" s="147"/>
      <c r="E385" s="147"/>
      <c r="F385" s="147"/>
      <c r="G385" s="147"/>
      <c r="H385" s="147"/>
    </row>
    <row r="386" spans="3:8" ht="14" x14ac:dyDescent="0.2">
      <c r="C386" s="147"/>
      <c r="D386" s="147"/>
      <c r="E386" s="147"/>
      <c r="F386" s="147"/>
      <c r="G386" s="147"/>
      <c r="H386" s="147"/>
    </row>
    <row r="387" spans="3:8" ht="14" x14ac:dyDescent="0.2">
      <c r="C387" s="147"/>
      <c r="D387" s="147"/>
      <c r="E387" s="147"/>
      <c r="F387" s="147"/>
      <c r="G387" s="147"/>
      <c r="H387" s="147"/>
    </row>
    <row r="388" spans="3:8" ht="14" x14ac:dyDescent="0.2">
      <c r="C388" s="147"/>
      <c r="D388" s="147"/>
      <c r="E388" s="147"/>
      <c r="F388" s="147"/>
      <c r="G388" s="147"/>
      <c r="H388" s="147"/>
    </row>
    <row r="389" spans="3:8" ht="14" x14ac:dyDescent="0.2">
      <c r="C389" s="147"/>
      <c r="D389" s="147"/>
      <c r="E389" s="147"/>
      <c r="F389" s="147"/>
      <c r="G389" s="147"/>
      <c r="H389" s="147"/>
    </row>
    <row r="390" spans="3:8" ht="14" x14ac:dyDescent="0.2">
      <c r="C390" s="147"/>
      <c r="D390" s="147"/>
      <c r="E390" s="147"/>
      <c r="F390" s="147"/>
      <c r="G390" s="147"/>
      <c r="H390" s="147"/>
    </row>
    <row r="391" spans="3:8" ht="14" x14ac:dyDescent="0.2">
      <c r="C391" s="147"/>
      <c r="D391" s="147"/>
      <c r="E391" s="147"/>
      <c r="F391" s="147"/>
      <c r="G391" s="147"/>
      <c r="H391" s="147"/>
    </row>
    <row r="392" spans="3:8" ht="14" x14ac:dyDescent="0.2">
      <c r="C392" s="147"/>
      <c r="D392" s="147"/>
      <c r="E392" s="147"/>
      <c r="F392" s="147"/>
      <c r="G392" s="147"/>
      <c r="H392" s="147"/>
    </row>
    <row r="393" spans="3:8" ht="14" x14ac:dyDescent="0.2">
      <c r="C393" s="147"/>
      <c r="D393" s="147"/>
      <c r="E393" s="147"/>
      <c r="F393" s="147"/>
      <c r="G393" s="147"/>
      <c r="H393" s="147"/>
    </row>
    <row r="394" spans="3:8" ht="14" x14ac:dyDescent="0.2">
      <c r="C394" s="147"/>
      <c r="D394" s="147"/>
      <c r="E394" s="147"/>
      <c r="F394" s="147"/>
      <c r="G394" s="147"/>
      <c r="H394" s="147"/>
    </row>
    <row r="395" spans="3:8" ht="14" x14ac:dyDescent="0.2">
      <c r="C395" s="147"/>
      <c r="D395" s="147"/>
      <c r="E395" s="147"/>
      <c r="F395" s="147"/>
      <c r="G395" s="147"/>
      <c r="H395" s="147"/>
    </row>
    <row r="396" spans="3:8" ht="14" x14ac:dyDescent="0.2">
      <c r="C396" s="147"/>
      <c r="D396" s="147"/>
      <c r="E396" s="147"/>
      <c r="F396" s="147"/>
      <c r="G396" s="147"/>
      <c r="H396" s="147"/>
    </row>
    <row r="397" spans="3:8" ht="14" x14ac:dyDescent="0.2">
      <c r="C397" s="147"/>
      <c r="D397" s="147"/>
      <c r="E397" s="147"/>
      <c r="F397" s="147"/>
      <c r="G397" s="147"/>
      <c r="H397" s="147"/>
    </row>
    <row r="398" spans="3:8" ht="14" x14ac:dyDescent="0.2">
      <c r="C398" s="147"/>
      <c r="D398" s="147"/>
      <c r="E398" s="147"/>
      <c r="F398" s="147"/>
      <c r="G398" s="147"/>
      <c r="H398" s="147"/>
    </row>
    <row r="399" spans="3:8" ht="14" x14ac:dyDescent="0.2">
      <c r="C399" s="147"/>
      <c r="D399" s="147"/>
      <c r="E399" s="147"/>
      <c r="F399" s="147"/>
      <c r="G399" s="147"/>
      <c r="H399" s="147"/>
    </row>
    <row r="400" spans="3:8" ht="14" x14ac:dyDescent="0.2">
      <c r="C400" s="147"/>
      <c r="D400" s="147"/>
      <c r="E400" s="147"/>
      <c r="F400" s="147"/>
      <c r="G400" s="147"/>
      <c r="H400" s="147"/>
    </row>
    <row r="401" spans="3:8" ht="14" x14ac:dyDescent="0.2">
      <c r="C401" s="147"/>
      <c r="D401" s="147"/>
      <c r="E401" s="147"/>
      <c r="F401" s="147"/>
      <c r="G401" s="147"/>
      <c r="H401" s="147"/>
    </row>
    <row r="402" spans="3:8" ht="14" x14ac:dyDescent="0.2">
      <c r="C402" s="147"/>
      <c r="D402" s="147"/>
      <c r="E402" s="147"/>
      <c r="F402" s="147"/>
      <c r="G402" s="147"/>
      <c r="H402" s="147"/>
    </row>
    <row r="403" spans="3:8" ht="14" x14ac:dyDescent="0.2">
      <c r="C403" s="147"/>
      <c r="D403" s="147"/>
      <c r="E403" s="147"/>
      <c r="F403" s="147"/>
      <c r="G403" s="147"/>
      <c r="H403" s="147"/>
    </row>
    <row r="404" spans="3:8" ht="14" x14ac:dyDescent="0.2">
      <c r="C404" s="147"/>
      <c r="D404" s="147"/>
      <c r="E404" s="147"/>
      <c r="F404" s="147"/>
      <c r="G404" s="147"/>
      <c r="H404" s="147"/>
    </row>
    <row r="405" spans="3:8" ht="14" x14ac:dyDescent="0.2">
      <c r="C405" s="147"/>
      <c r="D405" s="147"/>
      <c r="E405" s="147"/>
      <c r="F405" s="147"/>
      <c r="G405" s="147"/>
      <c r="H405" s="147"/>
    </row>
    <row r="406" spans="3:8" ht="14" x14ac:dyDescent="0.2">
      <c r="C406" s="147"/>
      <c r="D406" s="147"/>
      <c r="E406" s="147"/>
      <c r="F406" s="147"/>
      <c r="G406" s="147"/>
      <c r="H406" s="147"/>
    </row>
    <row r="407" spans="3:8" ht="14" x14ac:dyDescent="0.2">
      <c r="C407" s="147"/>
      <c r="D407" s="147"/>
      <c r="E407" s="147"/>
      <c r="F407" s="147"/>
      <c r="G407" s="147"/>
      <c r="H407" s="147"/>
    </row>
    <row r="408" spans="3:8" ht="14" x14ac:dyDescent="0.2">
      <c r="C408" s="147"/>
      <c r="D408" s="147"/>
      <c r="E408" s="147"/>
      <c r="F408" s="147"/>
      <c r="G408" s="147"/>
      <c r="H408" s="147"/>
    </row>
    <row r="409" spans="3:8" ht="14" x14ac:dyDescent="0.2">
      <c r="C409" s="147"/>
      <c r="D409" s="147"/>
      <c r="E409" s="147"/>
      <c r="F409" s="147"/>
      <c r="G409" s="147"/>
      <c r="H409" s="147"/>
    </row>
    <row r="410" spans="3:8" ht="14" x14ac:dyDescent="0.2">
      <c r="C410" s="147"/>
      <c r="D410" s="147"/>
      <c r="E410" s="147"/>
      <c r="F410" s="147"/>
      <c r="G410" s="147"/>
      <c r="H410" s="147"/>
    </row>
    <row r="411" spans="3:8" ht="14" x14ac:dyDescent="0.2">
      <c r="C411" s="147"/>
      <c r="D411" s="147"/>
      <c r="E411" s="147"/>
      <c r="F411" s="147"/>
      <c r="G411" s="147"/>
      <c r="H411" s="147"/>
    </row>
    <row r="412" spans="3:8" ht="14" x14ac:dyDescent="0.2">
      <c r="C412" s="147"/>
      <c r="D412" s="147"/>
      <c r="E412" s="147"/>
      <c r="F412" s="147"/>
      <c r="G412" s="147"/>
      <c r="H412" s="147"/>
    </row>
    <row r="413" spans="3:8" ht="14" x14ac:dyDescent="0.2">
      <c r="C413" s="147"/>
      <c r="D413" s="147"/>
      <c r="E413" s="147"/>
      <c r="F413" s="147"/>
      <c r="G413" s="147"/>
      <c r="H413" s="147"/>
    </row>
    <row r="414" spans="3:8" ht="14" x14ac:dyDescent="0.2">
      <c r="C414" s="147"/>
      <c r="D414" s="147"/>
      <c r="E414" s="147"/>
      <c r="F414" s="147"/>
      <c r="G414" s="147"/>
      <c r="H414" s="147"/>
    </row>
    <row r="415" spans="3:8" ht="14" x14ac:dyDescent="0.2">
      <c r="C415" s="147"/>
      <c r="D415" s="147"/>
      <c r="E415" s="147"/>
      <c r="F415" s="147"/>
      <c r="G415" s="147"/>
      <c r="H415" s="147"/>
    </row>
    <row r="416" spans="3:8" ht="14" x14ac:dyDescent="0.2">
      <c r="C416" s="147"/>
      <c r="D416" s="147"/>
      <c r="E416" s="147"/>
      <c r="F416" s="147"/>
      <c r="G416" s="147"/>
      <c r="H416" s="147"/>
    </row>
    <row r="417" spans="3:8" ht="14" x14ac:dyDescent="0.2">
      <c r="C417" s="147"/>
      <c r="D417" s="147"/>
      <c r="E417" s="147"/>
      <c r="F417" s="147"/>
      <c r="G417" s="147"/>
      <c r="H417" s="147"/>
    </row>
    <row r="418" spans="3:8" ht="14" x14ac:dyDescent="0.2">
      <c r="C418" s="147"/>
      <c r="D418" s="147"/>
      <c r="E418" s="147"/>
      <c r="F418" s="147"/>
      <c r="G418" s="147"/>
      <c r="H418" s="147"/>
    </row>
    <row r="419" spans="3:8" ht="14" x14ac:dyDescent="0.2">
      <c r="C419" s="147"/>
      <c r="D419" s="147"/>
      <c r="E419" s="147"/>
      <c r="F419" s="147"/>
      <c r="G419" s="147"/>
      <c r="H419" s="147"/>
    </row>
    <row r="420" spans="3:8" ht="14" x14ac:dyDescent="0.2">
      <c r="C420" s="147"/>
      <c r="D420" s="147"/>
      <c r="E420" s="147"/>
      <c r="F420" s="147"/>
      <c r="G420" s="147"/>
      <c r="H420" s="147"/>
    </row>
    <row r="421" spans="3:8" ht="14" x14ac:dyDescent="0.2">
      <c r="C421" s="147"/>
      <c r="D421" s="147"/>
      <c r="E421" s="147"/>
      <c r="F421" s="147"/>
      <c r="G421" s="147"/>
      <c r="H421" s="147"/>
    </row>
    <row r="422" spans="3:8" ht="14" x14ac:dyDescent="0.2">
      <c r="C422" s="147"/>
      <c r="D422" s="147"/>
      <c r="E422" s="147"/>
      <c r="F422" s="147"/>
      <c r="G422" s="147"/>
      <c r="H422" s="147"/>
    </row>
    <row r="423" spans="3:8" ht="14" x14ac:dyDescent="0.2">
      <c r="C423" s="147"/>
      <c r="D423" s="147"/>
      <c r="E423" s="147"/>
      <c r="F423" s="147"/>
      <c r="G423" s="147"/>
      <c r="H423" s="147"/>
    </row>
    <row r="424" spans="3:8" ht="14" x14ac:dyDescent="0.2">
      <c r="C424" s="147"/>
      <c r="D424" s="147"/>
      <c r="E424" s="147"/>
      <c r="F424" s="147"/>
      <c r="G424" s="147"/>
      <c r="H424" s="147"/>
    </row>
    <row r="425" spans="3:8" ht="14" x14ac:dyDescent="0.2">
      <c r="C425" s="147"/>
      <c r="D425" s="147"/>
      <c r="E425" s="147"/>
      <c r="F425" s="147"/>
      <c r="G425" s="147"/>
      <c r="H425" s="147"/>
    </row>
    <row r="426" spans="3:8" ht="14" x14ac:dyDescent="0.2">
      <c r="C426" s="147"/>
      <c r="D426" s="147"/>
      <c r="E426" s="147"/>
      <c r="F426" s="147"/>
      <c r="G426" s="147"/>
      <c r="H426" s="147"/>
    </row>
    <row r="427" spans="3:8" ht="14" x14ac:dyDescent="0.2">
      <c r="C427" s="147"/>
      <c r="D427" s="147"/>
      <c r="E427" s="147"/>
      <c r="F427" s="147"/>
      <c r="G427" s="147"/>
      <c r="H427" s="147"/>
    </row>
    <row r="428" spans="3:8" ht="14" x14ac:dyDescent="0.2">
      <c r="C428" s="147"/>
      <c r="D428" s="147"/>
      <c r="E428" s="147"/>
      <c r="F428" s="147"/>
      <c r="G428" s="147"/>
      <c r="H428" s="147"/>
    </row>
    <row r="429" spans="3:8" ht="14" x14ac:dyDescent="0.2">
      <c r="C429" s="147"/>
      <c r="D429" s="147"/>
      <c r="E429" s="147"/>
      <c r="F429" s="147"/>
      <c r="G429" s="147"/>
      <c r="H429" s="147"/>
    </row>
    <row r="430" spans="3:8" ht="14" x14ac:dyDescent="0.2">
      <c r="C430" s="147"/>
      <c r="D430" s="147"/>
      <c r="E430" s="147"/>
      <c r="F430" s="147"/>
      <c r="G430" s="147"/>
      <c r="H430" s="147"/>
    </row>
    <row r="431" spans="3:8" ht="14" x14ac:dyDescent="0.2">
      <c r="C431" s="147"/>
      <c r="D431" s="147"/>
      <c r="E431" s="147"/>
      <c r="F431" s="147"/>
      <c r="G431" s="147"/>
      <c r="H431" s="147"/>
    </row>
    <row r="432" spans="3:8" ht="14" x14ac:dyDescent="0.2">
      <c r="C432" s="147"/>
      <c r="D432" s="147"/>
      <c r="E432" s="147"/>
      <c r="F432" s="147"/>
      <c r="G432" s="147"/>
      <c r="H432" s="147"/>
    </row>
    <row r="433" spans="3:8" ht="14" x14ac:dyDescent="0.2">
      <c r="C433" s="147"/>
      <c r="D433" s="147"/>
      <c r="E433" s="147"/>
      <c r="F433" s="147"/>
      <c r="G433" s="147"/>
      <c r="H433" s="147"/>
    </row>
    <row r="434" spans="3:8" ht="14" x14ac:dyDescent="0.2">
      <c r="C434" s="147"/>
      <c r="D434" s="147"/>
      <c r="E434" s="147"/>
      <c r="F434" s="147"/>
      <c r="G434" s="147"/>
      <c r="H434" s="147"/>
    </row>
    <row r="435" spans="3:8" ht="14" x14ac:dyDescent="0.2">
      <c r="C435" s="147"/>
      <c r="D435" s="147"/>
      <c r="E435" s="147"/>
      <c r="F435" s="147"/>
      <c r="G435" s="147"/>
      <c r="H435" s="147"/>
    </row>
    <row r="436" spans="3:8" ht="14" x14ac:dyDescent="0.2">
      <c r="C436" s="147"/>
      <c r="D436" s="147"/>
      <c r="E436" s="147"/>
      <c r="F436" s="147"/>
      <c r="G436" s="147"/>
      <c r="H436" s="147"/>
    </row>
    <row r="437" spans="3:8" ht="14" x14ac:dyDescent="0.2">
      <c r="C437" s="147"/>
      <c r="D437" s="147"/>
      <c r="E437" s="147"/>
      <c r="F437" s="147"/>
      <c r="G437" s="147"/>
      <c r="H437" s="147"/>
    </row>
    <row r="438" spans="3:8" ht="14" x14ac:dyDescent="0.2">
      <c r="C438" s="147"/>
      <c r="D438" s="147"/>
      <c r="E438" s="147"/>
      <c r="F438" s="147"/>
      <c r="G438" s="147"/>
      <c r="H438" s="147"/>
    </row>
    <row r="439" spans="3:8" ht="14" x14ac:dyDescent="0.2">
      <c r="C439" s="147"/>
      <c r="D439" s="147"/>
      <c r="E439" s="147"/>
      <c r="F439" s="147"/>
      <c r="G439" s="147"/>
      <c r="H439" s="147"/>
    </row>
    <row r="440" spans="3:8" ht="14" x14ac:dyDescent="0.2">
      <c r="C440" s="147"/>
      <c r="D440" s="147"/>
      <c r="E440" s="147"/>
      <c r="F440" s="147"/>
      <c r="G440" s="147"/>
      <c r="H440" s="147"/>
    </row>
    <row r="441" spans="3:8" ht="14" x14ac:dyDescent="0.2">
      <c r="C441" s="147"/>
      <c r="D441" s="147"/>
      <c r="E441" s="147"/>
      <c r="F441" s="147"/>
      <c r="G441" s="147"/>
      <c r="H441" s="147"/>
    </row>
    <row r="442" spans="3:8" ht="14" x14ac:dyDescent="0.2">
      <c r="C442" s="147"/>
      <c r="D442" s="147"/>
      <c r="E442" s="147"/>
      <c r="F442" s="147"/>
      <c r="G442" s="147"/>
      <c r="H442" s="147"/>
    </row>
    <row r="443" spans="3:8" ht="14" x14ac:dyDescent="0.2">
      <c r="C443" s="147"/>
      <c r="D443" s="147"/>
      <c r="E443" s="147"/>
      <c r="F443" s="147"/>
      <c r="G443" s="147"/>
      <c r="H443" s="147"/>
    </row>
    <row r="444" spans="3:8" ht="14" x14ac:dyDescent="0.2">
      <c r="C444" s="147"/>
      <c r="D444" s="147"/>
      <c r="E444" s="147"/>
      <c r="F444" s="147"/>
      <c r="G444" s="147"/>
      <c r="H444" s="147"/>
    </row>
    <row r="445" spans="3:8" ht="14" x14ac:dyDescent="0.2">
      <c r="C445" s="147"/>
      <c r="D445" s="147"/>
      <c r="E445" s="147"/>
      <c r="F445" s="147"/>
      <c r="G445" s="147"/>
      <c r="H445" s="147"/>
    </row>
    <row r="446" spans="3:8" ht="14" x14ac:dyDescent="0.2">
      <c r="C446" s="147"/>
      <c r="D446" s="147"/>
      <c r="E446" s="147"/>
      <c r="F446" s="147"/>
      <c r="G446" s="147"/>
      <c r="H446" s="147"/>
    </row>
    <row r="447" spans="3:8" ht="14" x14ac:dyDescent="0.2">
      <c r="C447" s="147"/>
      <c r="D447" s="147"/>
      <c r="E447" s="147"/>
      <c r="F447" s="147"/>
      <c r="G447" s="147"/>
      <c r="H447" s="147"/>
    </row>
    <row r="448" spans="3:8" ht="14" x14ac:dyDescent="0.2">
      <c r="C448" s="147"/>
      <c r="D448" s="147"/>
      <c r="E448" s="147"/>
      <c r="F448" s="147"/>
      <c r="G448" s="147"/>
      <c r="H448" s="147"/>
    </row>
    <row r="449" spans="3:8" ht="14" x14ac:dyDescent="0.2">
      <c r="C449" s="147"/>
      <c r="D449" s="147"/>
      <c r="E449" s="147"/>
      <c r="F449" s="147"/>
      <c r="G449" s="147"/>
      <c r="H449" s="147"/>
    </row>
    <row r="450" spans="3:8" ht="14" x14ac:dyDescent="0.2">
      <c r="C450" s="147"/>
      <c r="D450" s="147"/>
      <c r="E450" s="147"/>
      <c r="F450" s="147"/>
      <c r="G450" s="147"/>
      <c r="H450" s="147"/>
    </row>
    <row r="451" spans="3:8" ht="14" x14ac:dyDescent="0.2">
      <c r="C451" s="147"/>
      <c r="D451" s="147"/>
      <c r="E451" s="147"/>
      <c r="F451" s="147"/>
      <c r="G451" s="147"/>
      <c r="H451" s="147"/>
    </row>
    <row r="452" spans="3:8" ht="14" x14ac:dyDescent="0.2">
      <c r="C452" s="147"/>
      <c r="D452" s="147"/>
      <c r="E452" s="147"/>
      <c r="F452" s="147"/>
      <c r="G452" s="147"/>
      <c r="H452" s="147"/>
    </row>
    <row r="453" spans="3:8" ht="14" x14ac:dyDescent="0.2">
      <c r="C453" s="147"/>
      <c r="D453" s="147"/>
      <c r="E453" s="147"/>
      <c r="F453" s="147"/>
      <c r="G453" s="147"/>
      <c r="H453" s="147"/>
    </row>
    <row r="454" spans="3:8" ht="14" x14ac:dyDescent="0.2">
      <c r="C454" s="147"/>
      <c r="D454" s="147"/>
      <c r="E454" s="147"/>
      <c r="F454" s="147"/>
      <c r="G454" s="147"/>
      <c r="H454" s="147"/>
    </row>
    <row r="455" spans="3:8" ht="14" x14ac:dyDescent="0.2">
      <c r="C455" s="147"/>
      <c r="D455" s="147"/>
      <c r="E455" s="147"/>
      <c r="F455" s="147"/>
      <c r="G455" s="147"/>
      <c r="H455" s="147"/>
    </row>
    <row r="456" spans="3:8" ht="14" x14ac:dyDescent="0.2">
      <c r="C456" s="147"/>
      <c r="D456" s="147"/>
      <c r="E456" s="147"/>
      <c r="F456" s="147"/>
      <c r="G456" s="147"/>
      <c r="H456" s="147"/>
    </row>
    <row r="457" spans="3:8" ht="14" x14ac:dyDescent="0.2">
      <c r="C457" s="147"/>
      <c r="D457" s="147"/>
      <c r="E457" s="147"/>
      <c r="F457" s="147"/>
      <c r="G457" s="147"/>
      <c r="H457" s="147"/>
    </row>
    <row r="458" spans="3:8" ht="14" x14ac:dyDescent="0.2">
      <c r="C458" s="147"/>
      <c r="D458" s="147"/>
      <c r="E458" s="147"/>
      <c r="F458" s="147"/>
      <c r="G458" s="147"/>
      <c r="H458" s="147"/>
    </row>
    <row r="459" spans="3:8" ht="14" x14ac:dyDescent="0.2">
      <c r="C459" s="147"/>
      <c r="D459" s="147"/>
      <c r="E459" s="147"/>
      <c r="F459" s="147"/>
      <c r="G459" s="147"/>
      <c r="H459" s="147"/>
    </row>
    <row r="460" spans="3:8" ht="14" x14ac:dyDescent="0.2">
      <c r="C460" s="147"/>
      <c r="D460" s="147"/>
      <c r="E460" s="147"/>
      <c r="F460" s="147"/>
      <c r="G460" s="147"/>
      <c r="H460" s="147"/>
    </row>
    <row r="461" spans="3:8" ht="14" x14ac:dyDescent="0.2">
      <c r="C461" s="147"/>
      <c r="D461" s="147"/>
      <c r="E461" s="147"/>
      <c r="F461" s="147"/>
      <c r="G461" s="147"/>
      <c r="H461" s="147"/>
    </row>
    <row r="462" spans="3:8" ht="14" x14ac:dyDescent="0.2">
      <c r="C462" s="147"/>
      <c r="D462" s="147"/>
      <c r="E462" s="147"/>
      <c r="F462" s="147"/>
      <c r="G462" s="147"/>
      <c r="H462" s="147"/>
    </row>
    <row r="463" spans="3:8" ht="14" x14ac:dyDescent="0.2">
      <c r="C463" s="147"/>
      <c r="D463" s="147"/>
      <c r="E463" s="147"/>
      <c r="F463" s="147"/>
      <c r="G463" s="147"/>
      <c r="H463" s="147"/>
    </row>
    <row r="464" spans="3:8" ht="14" x14ac:dyDescent="0.2">
      <c r="C464" s="147"/>
      <c r="D464" s="147"/>
      <c r="E464" s="147"/>
      <c r="F464" s="147"/>
      <c r="G464" s="147"/>
      <c r="H464" s="147"/>
    </row>
    <row r="465" spans="3:8" ht="14" x14ac:dyDescent="0.2">
      <c r="C465" s="147"/>
      <c r="D465" s="147"/>
      <c r="E465" s="147"/>
      <c r="F465" s="147"/>
      <c r="G465" s="147"/>
      <c r="H465" s="147"/>
    </row>
    <row r="466" spans="3:8" ht="14" x14ac:dyDescent="0.2">
      <c r="C466" s="147"/>
      <c r="D466" s="147"/>
      <c r="E466" s="147"/>
      <c r="F466" s="147"/>
      <c r="G466" s="147"/>
      <c r="H466" s="147"/>
    </row>
    <row r="467" spans="3:8" ht="14" x14ac:dyDescent="0.2">
      <c r="C467" s="147"/>
      <c r="D467" s="147"/>
      <c r="E467" s="147"/>
      <c r="F467" s="147"/>
      <c r="G467" s="147"/>
      <c r="H467" s="147"/>
    </row>
    <row r="468" spans="3:8" ht="14" x14ac:dyDescent="0.2">
      <c r="C468" s="147"/>
      <c r="D468" s="147"/>
      <c r="E468" s="147"/>
      <c r="F468" s="147"/>
      <c r="G468" s="147"/>
      <c r="H468" s="147"/>
    </row>
    <row r="469" spans="3:8" ht="14" x14ac:dyDescent="0.2">
      <c r="C469" s="147"/>
      <c r="D469" s="147"/>
      <c r="E469" s="147"/>
      <c r="F469" s="147"/>
      <c r="G469" s="147"/>
      <c r="H469" s="147"/>
    </row>
    <row r="470" spans="3:8" ht="14" x14ac:dyDescent="0.2">
      <c r="C470" s="147"/>
      <c r="D470" s="147"/>
      <c r="E470" s="147"/>
      <c r="F470" s="147"/>
      <c r="G470" s="147"/>
      <c r="H470" s="147"/>
    </row>
    <row r="471" spans="3:8" ht="14" x14ac:dyDescent="0.2">
      <c r="C471" s="147"/>
      <c r="D471" s="147"/>
      <c r="E471" s="147"/>
      <c r="F471" s="147"/>
      <c r="G471" s="147"/>
      <c r="H471" s="147"/>
    </row>
    <row r="472" spans="3:8" ht="14" x14ac:dyDescent="0.2">
      <c r="C472" s="147"/>
      <c r="D472" s="147"/>
      <c r="E472" s="147"/>
      <c r="F472" s="147"/>
      <c r="G472" s="147"/>
      <c r="H472" s="147"/>
    </row>
    <row r="473" spans="3:8" ht="14" x14ac:dyDescent="0.2">
      <c r="C473" s="147"/>
      <c r="D473" s="147"/>
      <c r="E473" s="147"/>
      <c r="F473" s="147"/>
      <c r="G473" s="147"/>
      <c r="H473" s="147"/>
    </row>
    <row r="474" spans="3:8" ht="14" x14ac:dyDescent="0.2">
      <c r="C474" s="147"/>
      <c r="D474" s="147"/>
      <c r="E474" s="147"/>
      <c r="F474" s="147"/>
      <c r="G474" s="147"/>
      <c r="H474" s="147"/>
    </row>
    <row r="475" spans="3:8" ht="14" x14ac:dyDescent="0.2">
      <c r="C475" s="147"/>
      <c r="D475" s="147"/>
      <c r="E475" s="147"/>
      <c r="F475" s="147"/>
      <c r="G475" s="147"/>
      <c r="H475" s="147"/>
    </row>
    <row r="476" spans="3:8" ht="14" x14ac:dyDescent="0.2">
      <c r="C476" s="147"/>
      <c r="D476" s="147"/>
      <c r="E476" s="147"/>
      <c r="F476" s="147"/>
      <c r="G476" s="147"/>
      <c r="H476" s="147"/>
    </row>
    <row r="477" spans="3:8" ht="14" x14ac:dyDescent="0.2">
      <c r="C477" s="147"/>
      <c r="D477" s="147"/>
      <c r="E477" s="147"/>
      <c r="F477" s="147"/>
      <c r="G477" s="147"/>
      <c r="H477" s="147"/>
    </row>
    <row r="478" spans="3:8" ht="14" x14ac:dyDescent="0.2">
      <c r="C478" s="147"/>
      <c r="D478" s="147"/>
      <c r="E478" s="147"/>
      <c r="F478" s="147"/>
      <c r="G478" s="147"/>
      <c r="H478" s="147"/>
    </row>
    <row r="479" spans="3:8" ht="14" x14ac:dyDescent="0.2">
      <c r="C479" s="147"/>
      <c r="D479" s="147"/>
      <c r="E479" s="147"/>
      <c r="F479" s="147"/>
      <c r="G479" s="147"/>
      <c r="H479" s="147"/>
    </row>
    <row r="480" spans="3:8" ht="14" x14ac:dyDescent="0.2">
      <c r="C480" s="147"/>
      <c r="D480" s="147"/>
      <c r="E480" s="147"/>
      <c r="F480" s="147"/>
      <c r="G480" s="147"/>
      <c r="H480" s="147"/>
    </row>
    <row r="481" spans="3:8" ht="14" x14ac:dyDescent="0.2">
      <c r="C481" s="147"/>
      <c r="D481" s="147"/>
      <c r="E481" s="147"/>
      <c r="F481" s="147"/>
      <c r="G481" s="147"/>
      <c r="H481" s="147"/>
    </row>
    <row r="482" spans="3:8" ht="14" x14ac:dyDescent="0.2">
      <c r="C482" s="147"/>
      <c r="D482" s="147"/>
      <c r="E482" s="147"/>
      <c r="F482" s="147"/>
      <c r="G482" s="147"/>
      <c r="H482" s="147"/>
    </row>
    <row r="483" spans="3:8" ht="14" x14ac:dyDescent="0.2">
      <c r="C483" s="147"/>
      <c r="D483" s="147"/>
      <c r="E483" s="147"/>
      <c r="F483" s="147"/>
      <c r="G483" s="147"/>
      <c r="H483" s="147"/>
    </row>
    <row r="484" spans="3:8" ht="14" x14ac:dyDescent="0.2">
      <c r="C484" s="147"/>
      <c r="D484" s="147"/>
      <c r="E484" s="147"/>
      <c r="F484" s="147"/>
      <c r="G484" s="147"/>
      <c r="H484" s="147"/>
    </row>
    <row r="485" spans="3:8" ht="14" x14ac:dyDescent="0.2">
      <c r="C485" s="147"/>
      <c r="D485" s="147"/>
      <c r="E485" s="147"/>
      <c r="F485" s="147"/>
      <c r="G485" s="147"/>
      <c r="H485" s="147"/>
    </row>
    <row r="486" spans="3:8" ht="14" x14ac:dyDescent="0.2">
      <c r="C486" s="147"/>
      <c r="D486" s="147"/>
      <c r="E486" s="147"/>
      <c r="F486" s="147"/>
      <c r="G486" s="147"/>
      <c r="H486" s="147"/>
    </row>
    <row r="487" spans="3:8" ht="14" x14ac:dyDescent="0.2">
      <c r="C487" s="147"/>
      <c r="D487" s="147"/>
      <c r="E487" s="147"/>
      <c r="F487" s="147"/>
      <c r="G487" s="147"/>
      <c r="H487" s="147"/>
    </row>
    <row r="488" spans="3:8" ht="14" x14ac:dyDescent="0.2">
      <c r="C488" s="147"/>
      <c r="D488" s="147"/>
      <c r="E488" s="147"/>
      <c r="F488" s="147"/>
      <c r="G488" s="147"/>
      <c r="H488" s="147"/>
    </row>
    <row r="489" spans="3:8" ht="14" x14ac:dyDescent="0.2">
      <c r="C489" s="147"/>
      <c r="D489" s="147"/>
      <c r="E489" s="147"/>
      <c r="F489" s="147"/>
      <c r="G489" s="147"/>
      <c r="H489" s="147"/>
    </row>
    <row r="490" spans="3:8" ht="14" x14ac:dyDescent="0.2">
      <c r="C490" s="147"/>
      <c r="D490" s="147"/>
      <c r="E490" s="147"/>
      <c r="F490" s="147"/>
      <c r="G490" s="147"/>
      <c r="H490" s="147"/>
    </row>
    <row r="491" spans="3:8" ht="14" x14ac:dyDescent="0.2">
      <c r="C491" s="147"/>
      <c r="D491" s="147"/>
      <c r="E491" s="147"/>
      <c r="F491" s="147"/>
      <c r="G491" s="147"/>
      <c r="H491" s="147"/>
    </row>
    <row r="492" spans="3:8" ht="14" x14ac:dyDescent="0.2">
      <c r="C492" s="147"/>
      <c r="D492" s="147"/>
      <c r="E492" s="147"/>
      <c r="F492" s="147"/>
      <c r="G492" s="147"/>
      <c r="H492" s="147"/>
    </row>
    <row r="493" spans="3:8" ht="14" x14ac:dyDescent="0.2">
      <c r="C493" s="147"/>
      <c r="D493" s="147"/>
      <c r="E493" s="147"/>
      <c r="F493" s="147"/>
      <c r="G493" s="147"/>
      <c r="H493" s="147"/>
    </row>
    <row r="494" spans="3:8" ht="14" x14ac:dyDescent="0.2">
      <c r="C494" s="147"/>
      <c r="D494" s="147"/>
      <c r="E494" s="147"/>
      <c r="F494" s="147"/>
      <c r="G494" s="147"/>
      <c r="H494" s="147"/>
    </row>
    <row r="495" spans="3:8" ht="14" x14ac:dyDescent="0.2">
      <c r="C495" s="147"/>
      <c r="D495" s="147"/>
      <c r="E495" s="147"/>
      <c r="F495" s="147"/>
      <c r="G495" s="147"/>
      <c r="H495" s="147"/>
    </row>
    <row r="496" spans="3:8" ht="14" x14ac:dyDescent="0.2">
      <c r="C496" s="147"/>
      <c r="D496" s="147"/>
      <c r="E496" s="147"/>
      <c r="F496" s="147"/>
      <c r="G496" s="147"/>
      <c r="H496" s="147"/>
    </row>
    <row r="497" spans="3:8" ht="14" x14ac:dyDescent="0.2">
      <c r="C497" s="147"/>
      <c r="D497" s="147"/>
      <c r="E497" s="147"/>
      <c r="F497" s="147"/>
      <c r="G497" s="147"/>
      <c r="H497" s="147"/>
    </row>
    <row r="498" spans="3:8" ht="14" x14ac:dyDescent="0.2">
      <c r="C498" s="147"/>
      <c r="D498" s="147"/>
      <c r="E498" s="147"/>
      <c r="F498" s="147"/>
      <c r="G498" s="147"/>
      <c r="H498" s="147"/>
    </row>
    <row r="499" spans="3:8" ht="14" x14ac:dyDescent="0.2">
      <c r="C499" s="147"/>
      <c r="D499" s="147"/>
      <c r="E499" s="147"/>
      <c r="F499" s="147"/>
      <c r="G499" s="147"/>
      <c r="H499" s="147"/>
    </row>
    <row r="500" spans="3:8" ht="14" x14ac:dyDescent="0.2">
      <c r="C500" s="147"/>
      <c r="D500" s="147"/>
      <c r="E500" s="147"/>
      <c r="F500" s="147"/>
      <c r="G500" s="147"/>
      <c r="H500" s="147"/>
    </row>
    <row r="501" spans="3:8" ht="14" x14ac:dyDescent="0.2">
      <c r="C501" s="147"/>
      <c r="D501" s="147"/>
      <c r="E501" s="147"/>
      <c r="F501" s="147"/>
      <c r="G501" s="147"/>
      <c r="H501" s="147"/>
    </row>
    <row r="502" spans="3:8" ht="14" x14ac:dyDescent="0.2">
      <c r="C502" s="147"/>
      <c r="D502" s="147"/>
      <c r="E502" s="147"/>
      <c r="F502" s="147"/>
      <c r="G502" s="147"/>
      <c r="H502" s="147"/>
    </row>
    <row r="503" spans="3:8" ht="14" x14ac:dyDescent="0.2">
      <c r="C503" s="147"/>
      <c r="D503" s="147"/>
      <c r="E503" s="147"/>
      <c r="F503" s="147"/>
      <c r="G503" s="147"/>
      <c r="H503" s="147"/>
    </row>
    <row r="504" spans="3:8" ht="14" x14ac:dyDescent="0.2">
      <c r="C504" s="147"/>
      <c r="D504" s="147"/>
      <c r="E504" s="147"/>
      <c r="F504" s="147"/>
      <c r="G504" s="147"/>
      <c r="H504" s="147"/>
    </row>
    <row r="505" spans="3:8" ht="14" x14ac:dyDescent="0.2">
      <c r="C505" s="147"/>
      <c r="D505" s="147"/>
      <c r="E505" s="147"/>
      <c r="F505" s="147"/>
      <c r="G505" s="147"/>
      <c r="H505" s="147"/>
    </row>
    <row r="506" spans="3:8" ht="14" x14ac:dyDescent="0.2">
      <c r="C506" s="147"/>
      <c r="D506" s="147"/>
      <c r="E506" s="147"/>
      <c r="F506" s="147"/>
      <c r="G506" s="147"/>
      <c r="H506" s="147"/>
    </row>
    <row r="507" spans="3:8" ht="14" x14ac:dyDescent="0.2">
      <c r="C507" s="147"/>
      <c r="D507" s="147"/>
      <c r="E507" s="147"/>
      <c r="F507" s="147"/>
      <c r="G507" s="147"/>
      <c r="H507" s="147"/>
    </row>
    <row r="508" spans="3:8" ht="14" x14ac:dyDescent="0.2">
      <c r="C508" s="147"/>
      <c r="D508" s="147"/>
      <c r="E508" s="147"/>
      <c r="F508" s="147"/>
      <c r="G508" s="147"/>
      <c r="H508" s="147"/>
    </row>
    <row r="509" spans="3:8" ht="14" x14ac:dyDescent="0.2">
      <c r="C509" s="147"/>
      <c r="D509" s="147"/>
      <c r="E509" s="147"/>
      <c r="F509" s="147"/>
      <c r="G509" s="147"/>
      <c r="H509" s="147"/>
    </row>
    <row r="510" spans="3:8" ht="14" x14ac:dyDescent="0.2">
      <c r="C510" s="147"/>
      <c r="D510" s="147"/>
      <c r="E510" s="147"/>
      <c r="F510" s="147"/>
      <c r="G510" s="147"/>
      <c r="H510" s="147"/>
    </row>
    <row r="511" spans="3:8" ht="14" x14ac:dyDescent="0.2">
      <c r="C511" s="147"/>
      <c r="D511" s="147"/>
      <c r="E511" s="147"/>
      <c r="F511" s="147"/>
      <c r="G511" s="147"/>
      <c r="H511" s="147"/>
    </row>
    <row r="512" spans="3:8" ht="14" x14ac:dyDescent="0.2">
      <c r="C512" s="147"/>
      <c r="D512" s="147"/>
      <c r="E512" s="147"/>
      <c r="F512" s="147"/>
      <c r="G512" s="147"/>
      <c r="H512" s="147"/>
    </row>
    <row r="513" spans="3:8" ht="14" x14ac:dyDescent="0.2">
      <c r="C513" s="147"/>
      <c r="D513" s="147"/>
      <c r="E513" s="147"/>
      <c r="F513" s="147"/>
      <c r="G513" s="147"/>
      <c r="H513" s="147"/>
    </row>
    <row r="514" spans="3:8" ht="14" x14ac:dyDescent="0.2">
      <c r="C514" s="147"/>
      <c r="D514" s="147"/>
      <c r="E514" s="147"/>
      <c r="F514" s="147"/>
      <c r="G514" s="147"/>
      <c r="H514" s="147"/>
    </row>
    <row r="515" spans="3:8" ht="14" x14ac:dyDescent="0.2">
      <c r="C515" s="147"/>
      <c r="D515" s="147"/>
      <c r="E515" s="147"/>
      <c r="F515" s="147"/>
      <c r="G515" s="147"/>
      <c r="H515" s="147"/>
    </row>
    <row r="516" spans="3:8" ht="14" x14ac:dyDescent="0.2">
      <c r="C516" s="147"/>
      <c r="D516" s="147"/>
      <c r="E516" s="147"/>
      <c r="F516" s="147"/>
      <c r="G516" s="147"/>
      <c r="H516" s="147"/>
    </row>
    <row r="517" spans="3:8" ht="14" x14ac:dyDescent="0.2">
      <c r="C517" s="147"/>
      <c r="D517" s="147"/>
      <c r="E517" s="147"/>
      <c r="F517" s="147"/>
      <c r="G517" s="147"/>
      <c r="H517" s="147"/>
    </row>
    <row r="518" spans="3:8" ht="14" x14ac:dyDescent="0.2">
      <c r="C518" s="147"/>
      <c r="D518" s="147"/>
      <c r="E518" s="147"/>
      <c r="F518" s="147"/>
      <c r="G518" s="147"/>
      <c r="H518" s="147"/>
    </row>
    <row r="519" spans="3:8" ht="14" x14ac:dyDescent="0.2">
      <c r="C519" s="147"/>
      <c r="D519" s="147"/>
      <c r="E519" s="147"/>
      <c r="F519" s="147"/>
      <c r="G519" s="147"/>
      <c r="H519" s="147"/>
    </row>
    <row r="520" spans="3:8" ht="14" x14ac:dyDescent="0.2">
      <c r="C520" s="147"/>
      <c r="D520" s="147"/>
      <c r="E520" s="147"/>
      <c r="F520" s="147"/>
      <c r="G520" s="147"/>
      <c r="H520" s="147"/>
    </row>
    <row r="521" spans="3:8" ht="14" x14ac:dyDescent="0.2">
      <c r="C521" s="147"/>
      <c r="D521" s="147"/>
      <c r="E521" s="147"/>
      <c r="F521" s="147"/>
      <c r="G521" s="147"/>
      <c r="H521" s="147"/>
    </row>
    <row r="522" spans="3:8" ht="14" x14ac:dyDescent="0.2">
      <c r="C522" s="147"/>
      <c r="D522" s="147"/>
      <c r="E522" s="147"/>
      <c r="F522" s="147"/>
      <c r="G522" s="147"/>
      <c r="H522" s="147"/>
    </row>
    <row r="523" spans="3:8" ht="14" x14ac:dyDescent="0.2">
      <c r="C523" s="147"/>
      <c r="D523" s="147"/>
      <c r="E523" s="147"/>
      <c r="F523" s="147"/>
      <c r="G523" s="147"/>
      <c r="H523" s="147"/>
    </row>
    <row r="524" spans="3:8" ht="14" x14ac:dyDescent="0.2">
      <c r="C524" s="147"/>
      <c r="D524" s="147"/>
      <c r="E524" s="147"/>
      <c r="F524" s="147"/>
      <c r="G524" s="147"/>
      <c r="H524" s="147"/>
    </row>
    <row r="525" spans="3:8" ht="14" x14ac:dyDescent="0.2">
      <c r="C525" s="147"/>
      <c r="D525" s="147"/>
      <c r="E525" s="147"/>
      <c r="F525" s="147"/>
      <c r="G525" s="147"/>
      <c r="H525" s="147"/>
    </row>
    <row r="526" spans="3:8" ht="14" x14ac:dyDescent="0.2">
      <c r="C526" s="147"/>
      <c r="D526" s="147"/>
      <c r="E526" s="147"/>
      <c r="F526" s="147"/>
      <c r="G526" s="147"/>
      <c r="H526" s="147"/>
    </row>
    <row r="527" spans="3:8" ht="14" x14ac:dyDescent="0.2">
      <c r="C527" s="147"/>
      <c r="D527" s="147"/>
      <c r="E527" s="147"/>
      <c r="F527" s="147"/>
      <c r="G527" s="147"/>
      <c r="H527" s="147"/>
    </row>
    <row r="528" spans="3:8" ht="14" x14ac:dyDescent="0.2">
      <c r="C528" s="147"/>
      <c r="D528" s="147"/>
      <c r="E528" s="147"/>
      <c r="F528" s="147"/>
      <c r="G528" s="147"/>
      <c r="H528" s="147"/>
    </row>
    <row r="529" spans="3:8" ht="14" x14ac:dyDescent="0.2">
      <c r="C529" s="147"/>
      <c r="D529" s="147"/>
      <c r="E529" s="147"/>
      <c r="F529" s="147"/>
      <c r="G529" s="147"/>
      <c r="H529" s="147"/>
    </row>
    <row r="530" spans="3:8" ht="14" x14ac:dyDescent="0.2">
      <c r="C530" s="147"/>
      <c r="D530" s="147"/>
      <c r="E530" s="147"/>
      <c r="F530" s="147"/>
      <c r="G530" s="147"/>
      <c r="H530" s="147"/>
    </row>
    <row r="531" spans="3:8" ht="14" x14ac:dyDescent="0.2">
      <c r="C531" s="147"/>
      <c r="D531" s="147"/>
      <c r="E531" s="147"/>
      <c r="F531" s="147"/>
      <c r="G531" s="147"/>
      <c r="H531" s="147"/>
    </row>
    <row r="532" spans="3:8" ht="14" x14ac:dyDescent="0.2">
      <c r="C532" s="147"/>
      <c r="D532" s="147"/>
      <c r="E532" s="147"/>
      <c r="F532" s="147"/>
      <c r="G532" s="147"/>
      <c r="H532" s="147"/>
    </row>
    <row r="533" spans="3:8" ht="14" x14ac:dyDescent="0.2">
      <c r="C533" s="147"/>
      <c r="D533" s="147"/>
      <c r="E533" s="147"/>
      <c r="F533" s="147"/>
      <c r="G533" s="147"/>
      <c r="H533" s="147"/>
    </row>
    <row r="534" spans="3:8" ht="14" x14ac:dyDescent="0.2">
      <c r="C534" s="147"/>
      <c r="D534" s="147"/>
      <c r="E534" s="147"/>
      <c r="F534" s="147"/>
      <c r="G534" s="147"/>
      <c r="H534" s="147"/>
    </row>
    <row r="535" spans="3:8" ht="14" x14ac:dyDescent="0.2">
      <c r="C535" s="147"/>
      <c r="D535" s="147"/>
      <c r="E535" s="147"/>
      <c r="F535" s="147"/>
      <c r="G535" s="147"/>
      <c r="H535" s="147"/>
    </row>
    <row r="536" spans="3:8" ht="14" x14ac:dyDescent="0.2">
      <c r="C536" s="147"/>
      <c r="D536" s="147"/>
      <c r="E536" s="147"/>
      <c r="F536" s="147"/>
      <c r="G536" s="147"/>
      <c r="H536" s="147"/>
    </row>
    <row r="537" spans="3:8" ht="14" x14ac:dyDescent="0.2">
      <c r="C537" s="147"/>
      <c r="D537" s="147"/>
      <c r="E537" s="147"/>
      <c r="F537" s="147"/>
      <c r="G537" s="147"/>
      <c r="H537" s="147"/>
    </row>
    <row r="538" spans="3:8" ht="14" x14ac:dyDescent="0.2">
      <c r="C538" s="147"/>
      <c r="D538" s="147"/>
      <c r="E538" s="147"/>
      <c r="F538" s="147"/>
      <c r="G538" s="147"/>
      <c r="H538" s="147"/>
    </row>
    <row r="539" spans="3:8" ht="14" x14ac:dyDescent="0.2">
      <c r="C539" s="147"/>
      <c r="D539" s="147"/>
      <c r="E539" s="147"/>
      <c r="F539" s="147"/>
      <c r="G539" s="147"/>
      <c r="H539" s="147"/>
    </row>
    <row r="540" spans="3:8" ht="14" x14ac:dyDescent="0.2">
      <c r="C540" s="147"/>
      <c r="D540" s="147"/>
      <c r="E540" s="147"/>
      <c r="F540" s="147"/>
      <c r="G540" s="147"/>
      <c r="H540" s="147"/>
    </row>
    <row r="541" spans="3:8" ht="14" x14ac:dyDescent="0.2">
      <c r="C541" s="147"/>
      <c r="D541" s="147"/>
      <c r="E541" s="147"/>
      <c r="F541" s="147"/>
      <c r="G541" s="147"/>
      <c r="H541" s="147"/>
    </row>
    <row r="542" spans="3:8" ht="14" x14ac:dyDescent="0.2">
      <c r="C542" s="147"/>
      <c r="D542" s="147"/>
      <c r="E542" s="147"/>
      <c r="F542" s="147"/>
      <c r="G542" s="147"/>
      <c r="H542" s="147"/>
    </row>
    <row r="543" spans="3:8" ht="14" x14ac:dyDescent="0.2">
      <c r="C543" s="147"/>
      <c r="D543" s="147"/>
      <c r="E543" s="147"/>
      <c r="F543" s="147"/>
      <c r="G543" s="147"/>
      <c r="H543" s="147"/>
    </row>
    <row r="544" spans="3:8" ht="14" x14ac:dyDescent="0.2">
      <c r="C544" s="147"/>
      <c r="D544" s="147"/>
      <c r="E544" s="147"/>
      <c r="F544" s="147"/>
      <c r="G544" s="147"/>
      <c r="H544" s="147"/>
    </row>
    <row r="545" spans="3:8" ht="14" x14ac:dyDescent="0.2">
      <c r="C545" s="147"/>
      <c r="D545" s="147"/>
      <c r="E545" s="147"/>
      <c r="F545" s="147"/>
      <c r="G545" s="147"/>
      <c r="H545" s="147"/>
    </row>
    <row r="546" spans="3:8" ht="14" x14ac:dyDescent="0.2">
      <c r="C546" s="147"/>
      <c r="D546" s="147"/>
      <c r="E546" s="147"/>
      <c r="F546" s="147"/>
      <c r="G546" s="147"/>
      <c r="H546" s="147"/>
    </row>
    <row r="547" spans="3:8" ht="14" x14ac:dyDescent="0.2">
      <c r="C547" s="147"/>
      <c r="D547" s="147"/>
      <c r="E547" s="147"/>
      <c r="F547" s="147"/>
      <c r="G547" s="147"/>
      <c r="H547" s="147"/>
    </row>
    <row r="548" spans="3:8" ht="14" x14ac:dyDescent="0.2">
      <c r="C548" s="147"/>
      <c r="D548" s="147"/>
      <c r="E548" s="147"/>
      <c r="F548" s="147"/>
      <c r="G548" s="147"/>
      <c r="H548" s="147"/>
    </row>
    <row r="549" spans="3:8" ht="14" x14ac:dyDescent="0.2">
      <c r="C549" s="147"/>
      <c r="D549" s="147"/>
      <c r="E549" s="147"/>
      <c r="F549" s="147"/>
      <c r="G549" s="147"/>
      <c r="H549" s="147"/>
    </row>
    <row r="550" spans="3:8" ht="14" x14ac:dyDescent="0.2">
      <c r="C550" s="147"/>
      <c r="D550" s="147"/>
      <c r="E550" s="147"/>
      <c r="F550" s="147"/>
      <c r="G550" s="147"/>
      <c r="H550" s="147"/>
    </row>
    <row r="551" spans="3:8" ht="14" x14ac:dyDescent="0.2">
      <c r="C551" s="147"/>
      <c r="D551" s="147"/>
      <c r="E551" s="147"/>
      <c r="F551" s="147"/>
      <c r="G551" s="147"/>
      <c r="H551" s="147"/>
    </row>
    <row r="552" spans="3:8" ht="14" x14ac:dyDescent="0.2">
      <c r="C552" s="147"/>
      <c r="D552" s="147"/>
      <c r="E552" s="147"/>
      <c r="F552" s="147"/>
      <c r="G552" s="147"/>
      <c r="H552" s="147"/>
    </row>
    <row r="553" spans="3:8" ht="14" x14ac:dyDescent="0.2">
      <c r="C553" s="147"/>
      <c r="D553" s="147"/>
      <c r="E553" s="147"/>
      <c r="F553" s="147"/>
      <c r="G553" s="147"/>
      <c r="H553" s="147"/>
    </row>
    <row r="554" spans="3:8" ht="14" x14ac:dyDescent="0.2">
      <c r="C554" s="147"/>
      <c r="D554" s="147"/>
      <c r="E554" s="147"/>
      <c r="F554" s="147"/>
      <c r="G554" s="147"/>
      <c r="H554" s="147"/>
    </row>
    <row r="555" spans="3:8" ht="14" x14ac:dyDescent="0.2">
      <c r="C555" s="147"/>
      <c r="D555" s="147"/>
      <c r="E555" s="147"/>
      <c r="F555" s="147"/>
      <c r="G555" s="147"/>
      <c r="H555" s="147"/>
    </row>
    <row r="556" spans="3:8" ht="14" x14ac:dyDescent="0.2">
      <c r="C556" s="147"/>
      <c r="D556" s="147"/>
      <c r="E556" s="147"/>
      <c r="F556" s="147"/>
      <c r="G556" s="147"/>
      <c r="H556" s="147"/>
    </row>
    <row r="557" spans="3:8" ht="14" x14ac:dyDescent="0.2">
      <c r="C557" s="147"/>
      <c r="D557" s="147"/>
      <c r="E557" s="147"/>
      <c r="F557" s="147"/>
      <c r="G557" s="147"/>
      <c r="H557" s="147"/>
    </row>
    <row r="558" spans="3:8" ht="14" x14ac:dyDescent="0.2">
      <c r="C558" s="147"/>
      <c r="D558" s="147"/>
      <c r="E558" s="147"/>
      <c r="F558" s="147"/>
      <c r="G558" s="147"/>
      <c r="H558" s="147"/>
    </row>
    <row r="559" spans="3:8" ht="14" x14ac:dyDescent="0.2">
      <c r="C559" s="147"/>
      <c r="D559" s="147"/>
      <c r="E559" s="147"/>
      <c r="F559" s="147"/>
      <c r="G559" s="147"/>
      <c r="H559" s="147"/>
    </row>
    <row r="560" spans="3:8" ht="14" x14ac:dyDescent="0.2">
      <c r="C560" s="147"/>
      <c r="D560" s="147"/>
      <c r="E560" s="147"/>
      <c r="F560" s="147"/>
      <c r="G560" s="147"/>
      <c r="H560" s="147"/>
    </row>
    <row r="561" spans="3:8" ht="14" x14ac:dyDescent="0.2">
      <c r="C561" s="147"/>
      <c r="D561" s="147"/>
      <c r="E561" s="147"/>
      <c r="F561" s="147"/>
      <c r="G561" s="147"/>
      <c r="H561" s="147"/>
    </row>
    <row r="562" spans="3:8" ht="14" x14ac:dyDescent="0.2">
      <c r="C562" s="147"/>
      <c r="D562" s="147"/>
      <c r="E562" s="147"/>
      <c r="F562" s="147"/>
      <c r="G562" s="147"/>
      <c r="H562" s="147"/>
    </row>
    <row r="563" spans="3:8" ht="14" x14ac:dyDescent="0.2">
      <c r="C563" s="147"/>
      <c r="D563" s="147"/>
      <c r="E563" s="147"/>
      <c r="F563" s="147"/>
      <c r="G563" s="147"/>
      <c r="H563" s="147"/>
    </row>
    <row r="564" spans="3:8" ht="14" x14ac:dyDescent="0.2">
      <c r="C564" s="147"/>
      <c r="D564" s="147"/>
      <c r="E564" s="147"/>
      <c r="F564" s="147"/>
      <c r="G564" s="147"/>
      <c r="H564" s="147"/>
    </row>
    <row r="565" spans="3:8" ht="14" x14ac:dyDescent="0.2">
      <c r="C565" s="147"/>
      <c r="D565" s="147"/>
      <c r="E565" s="147"/>
      <c r="F565" s="147"/>
      <c r="G565" s="147"/>
      <c r="H565" s="147"/>
    </row>
    <row r="566" spans="3:8" ht="14" x14ac:dyDescent="0.2">
      <c r="C566" s="147"/>
      <c r="D566" s="147"/>
      <c r="E566" s="147"/>
      <c r="F566" s="147"/>
      <c r="G566" s="147"/>
      <c r="H566" s="147"/>
    </row>
    <row r="567" spans="3:8" ht="14" x14ac:dyDescent="0.2">
      <c r="C567" s="147"/>
      <c r="D567" s="147"/>
      <c r="E567" s="147"/>
      <c r="F567" s="147"/>
      <c r="G567" s="147"/>
      <c r="H567" s="147"/>
    </row>
    <row r="568" spans="3:8" ht="14" x14ac:dyDescent="0.2">
      <c r="C568" s="147"/>
      <c r="D568" s="147"/>
      <c r="E568" s="147"/>
      <c r="F568" s="147"/>
      <c r="G568" s="147"/>
      <c r="H568" s="147"/>
    </row>
    <row r="569" spans="3:8" ht="14" x14ac:dyDescent="0.2">
      <c r="C569" s="147"/>
      <c r="D569" s="147"/>
      <c r="E569" s="147"/>
      <c r="F569" s="147"/>
      <c r="G569" s="147"/>
      <c r="H569" s="147"/>
    </row>
    <row r="570" spans="3:8" ht="14" x14ac:dyDescent="0.2">
      <c r="C570" s="147"/>
      <c r="D570" s="147"/>
      <c r="E570" s="147"/>
      <c r="F570" s="147"/>
      <c r="G570" s="147"/>
      <c r="H570" s="147"/>
    </row>
    <row r="571" spans="3:8" ht="14" x14ac:dyDescent="0.2">
      <c r="C571" s="147"/>
      <c r="D571" s="147"/>
      <c r="E571" s="147"/>
      <c r="F571" s="147"/>
      <c r="G571" s="147"/>
      <c r="H571" s="147"/>
    </row>
    <row r="572" spans="3:8" ht="14" x14ac:dyDescent="0.2">
      <c r="C572" s="147"/>
      <c r="D572" s="147"/>
      <c r="E572" s="147"/>
      <c r="F572" s="147"/>
      <c r="G572" s="147"/>
      <c r="H572" s="147"/>
    </row>
    <row r="573" spans="3:8" ht="14" x14ac:dyDescent="0.2">
      <c r="C573" s="147"/>
      <c r="D573" s="147"/>
      <c r="E573" s="147"/>
      <c r="F573" s="147"/>
      <c r="G573" s="147"/>
      <c r="H573" s="147"/>
    </row>
    <row r="574" spans="3:8" ht="14" x14ac:dyDescent="0.2">
      <c r="C574" s="147"/>
      <c r="D574" s="147"/>
      <c r="E574" s="147"/>
      <c r="F574" s="147"/>
      <c r="G574" s="147"/>
      <c r="H574" s="147"/>
    </row>
    <row r="575" spans="3:8" ht="14" x14ac:dyDescent="0.2">
      <c r="C575" s="147"/>
      <c r="D575" s="147"/>
      <c r="E575" s="147"/>
      <c r="F575" s="147"/>
      <c r="G575" s="147"/>
      <c r="H575" s="147"/>
    </row>
    <row r="576" spans="3:8" ht="14" x14ac:dyDescent="0.2">
      <c r="C576" s="147"/>
      <c r="D576" s="147"/>
      <c r="E576" s="147"/>
      <c r="F576" s="147"/>
      <c r="G576" s="147"/>
      <c r="H576" s="147"/>
    </row>
    <row r="577" spans="3:8" ht="14" x14ac:dyDescent="0.2">
      <c r="C577" s="147"/>
      <c r="D577" s="147"/>
      <c r="E577" s="147"/>
      <c r="F577" s="147"/>
      <c r="G577" s="147"/>
      <c r="H577" s="147"/>
    </row>
    <row r="578" spans="3:8" ht="14" x14ac:dyDescent="0.2">
      <c r="C578" s="147"/>
      <c r="D578" s="147"/>
      <c r="E578" s="147"/>
      <c r="F578" s="147"/>
      <c r="G578" s="147"/>
      <c r="H578" s="147"/>
    </row>
    <row r="579" spans="3:8" ht="14" x14ac:dyDescent="0.2">
      <c r="C579" s="147"/>
      <c r="D579" s="147"/>
      <c r="E579" s="147"/>
      <c r="F579" s="147"/>
      <c r="G579" s="147"/>
      <c r="H579" s="147"/>
    </row>
    <row r="580" spans="3:8" ht="14" x14ac:dyDescent="0.2">
      <c r="C580" s="147"/>
      <c r="D580" s="147"/>
      <c r="E580" s="147"/>
      <c r="F580" s="147"/>
      <c r="G580" s="147"/>
      <c r="H580" s="147"/>
    </row>
    <row r="581" spans="3:8" ht="14" x14ac:dyDescent="0.2">
      <c r="C581" s="147"/>
      <c r="D581" s="147"/>
      <c r="E581" s="147"/>
      <c r="F581" s="147"/>
      <c r="G581" s="147"/>
      <c r="H581" s="147"/>
    </row>
    <row r="582" spans="3:8" ht="14" x14ac:dyDescent="0.2">
      <c r="C582" s="147"/>
      <c r="D582" s="147"/>
      <c r="E582" s="147"/>
      <c r="F582" s="147"/>
      <c r="G582" s="147"/>
      <c r="H582" s="147"/>
    </row>
    <row r="583" spans="3:8" ht="14" x14ac:dyDescent="0.2">
      <c r="C583" s="147"/>
      <c r="D583" s="147"/>
      <c r="E583" s="147"/>
      <c r="F583" s="147"/>
      <c r="G583" s="147"/>
      <c r="H583" s="147"/>
    </row>
    <row r="584" spans="3:8" ht="14" x14ac:dyDescent="0.2">
      <c r="C584" s="147"/>
      <c r="D584" s="147"/>
      <c r="E584" s="147"/>
      <c r="F584" s="147"/>
      <c r="G584" s="147"/>
      <c r="H584" s="147"/>
    </row>
    <row r="585" spans="3:8" ht="14" x14ac:dyDescent="0.2">
      <c r="C585" s="147"/>
      <c r="D585" s="147"/>
      <c r="E585" s="147"/>
      <c r="F585" s="147"/>
      <c r="G585" s="147"/>
      <c r="H585" s="147"/>
    </row>
    <row r="586" spans="3:8" ht="14" x14ac:dyDescent="0.2">
      <c r="C586" s="147"/>
      <c r="D586" s="147"/>
      <c r="E586" s="147"/>
      <c r="F586" s="147"/>
      <c r="G586" s="147"/>
      <c r="H586" s="147"/>
    </row>
    <row r="587" spans="3:8" ht="14" x14ac:dyDescent="0.2">
      <c r="C587" s="147"/>
      <c r="D587" s="147"/>
      <c r="E587" s="147"/>
      <c r="F587" s="147"/>
      <c r="G587" s="147"/>
      <c r="H587" s="147"/>
    </row>
    <row r="588" spans="3:8" ht="14" x14ac:dyDescent="0.2">
      <c r="C588" s="147"/>
      <c r="D588" s="147"/>
      <c r="E588" s="147"/>
      <c r="F588" s="147"/>
      <c r="G588" s="147"/>
      <c r="H588" s="147"/>
    </row>
    <row r="589" spans="3:8" ht="14" x14ac:dyDescent="0.2">
      <c r="C589" s="147"/>
      <c r="D589" s="147"/>
      <c r="E589" s="147"/>
      <c r="F589" s="147"/>
      <c r="G589" s="147"/>
      <c r="H589" s="147"/>
    </row>
    <row r="590" spans="3:8" ht="14" x14ac:dyDescent="0.2">
      <c r="C590" s="147"/>
      <c r="D590" s="147"/>
      <c r="E590" s="147"/>
      <c r="F590" s="147"/>
      <c r="G590" s="147"/>
      <c r="H590" s="147"/>
    </row>
    <row r="591" spans="3:8" ht="14" x14ac:dyDescent="0.2">
      <c r="C591" s="147"/>
      <c r="D591" s="147"/>
      <c r="E591" s="147"/>
      <c r="F591" s="147"/>
      <c r="G591" s="147"/>
      <c r="H591" s="147"/>
    </row>
    <row r="592" spans="3:8" ht="14" x14ac:dyDescent="0.2">
      <c r="C592" s="147"/>
      <c r="D592" s="147"/>
      <c r="E592" s="147"/>
      <c r="F592" s="147"/>
      <c r="G592" s="147"/>
      <c r="H592" s="147"/>
    </row>
    <row r="593" spans="3:8" ht="14" x14ac:dyDescent="0.2">
      <c r="C593" s="147"/>
      <c r="D593" s="147"/>
      <c r="E593" s="147"/>
      <c r="F593" s="147"/>
      <c r="G593" s="147"/>
      <c r="H593" s="147"/>
    </row>
    <row r="594" spans="3:8" ht="14" x14ac:dyDescent="0.2">
      <c r="C594" s="147"/>
      <c r="D594" s="147"/>
      <c r="E594" s="147"/>
      <c r="F594" s="147"/>
      <c r="G594" s="147"/>
      <c r="H594" s="147"/>
    </row>
    <row r="595" spans="3:8" ht="14" x14ac:dyDescent="0.2">
      <c r="C595" s="147"/>
      <c r="D595" s="147"/>
      <c r="E595" s="147"/>
      <c r="F595" s="147"/>
      <c r="G595" s="147"/>
      <c r="H595" s="147"/>
    </row>
    <row r="596" spans="3:8" ht="14" x14ac:dyDescent="0.2">
      <c r="C596" s="147"/>
      <c r="D596" s="147"/>
      <c r="E596" s="147"/>
      <c r="F596" s="147"/>
      <c r="G596" s="147"/>
      <c r="H596" s="147"/>
    </row>
    <row r="597" spans="3:8" ht="14" x14ac:dyDescent="0.2">
      <c r="C597" s="147"/>
      <c r="D597" s="147"/>
      <c r="E597" s="147"/>
      <c r="F597" s="147"/>
      <c r="G597" s="147"/>
      <c r="H597" s="147"/>
    </row>
    <row r="598" spans="3:8" ht="14" x14ac:dyDescent="0.2">
      <c r="C598" s="147"/>
      <c r="D598" s="147"/>
      <c r="E598" s="147"/>
      <c r="F598" s="147"/>
      <c r="G598" s="147"/>
      <c r="H598" s="147"/>
    </row>
    <row r="599" spans="3:8" ht="14" x14ac:dyDescent="0.2">
      <c r="C599" s="147"/>
      <c r="D599" s="147"/>
      <c r="E599" s="147"/>
      <c r="F599" s="147"/>
      <c r="G599" s="147"/>
      <c r="H599" s="147"/>
    </row>
    <row r="600" spans="3:8" ht="14" x14ac:dyDescent="0.2">
      <c r="C600" s="147"/>
      <c r="D600" s="147"/>
      <c r="E600" s="147"/>
      <c r="F600" s="147"/>
      <c r="G600" s="147"/>
      <c r="H600" s="147"/>
    </row>
    <row r="601" spans="3:8" ht="14" x14ac:dyDescent="0.2">
      <c r="C601" s="147"/>
      <c r="D601" s="147"/>
      <c r="E601" s="147"/>
      <c r="F601" s="147"/>
      <c r="G601" s="147"/>
      <c r="H601" s="147"/>
    </row>
    <row r="602" spans="3:8" ht="14" x14ac:dyDescent="0.2">
      <c r="C602" s="147"/>
      <c r="D602" s="147"/>
      <c r="E602" s="147"/>
      <c r="F602" s="147"/>
      <c r="G602" s="147"/>
      <c r="H602" s="147"/>
    </row>
    <row r="603" spans="3:8" ht="14" x14ac:dyDescent="0.2">
      <c r="C603" s="147"/>
      <c r="D603" s="147"/>
      <c r="E603" s="147"/>
      <c r="F603" s="147"/>
      <c r="G603" s="147"/>
      <c r="H603" s="147"/>
    </row>
    <row r="604" spans="3:8" ht="14" x14ac:dyDescent="0.2">
      <c r="C604" s="147"/>
      <c r="D604" s="147"/>
      <c r="E604" s="147"/>
      <c r="F604" s="147"/>
      <c r="G604" s="147"/>
      <c r="H604" s="147"/>
    </row>
    <row r="605" spans="3:8" ht="14" x14ac:dyDescent="0.2">
      <c r="C605" s="147"/>
      <c r="D605" s="147"/>
      <c r="E605" s="147"/>
      <c r="F605" s="147"/>
      <c r="G605" s="147"/>
      <c r="H605" s="147"/>
    </row>
    <row r="606" spans="3:8" ht="14" x14ac:dyDescent="0.2">
      <c r="C606" s="147"/>
      <c r="D606" s="147"/>
      <c r="E606" s="147"/>
      <c r="F606" s="147"/>
      <c r="G606" s="147"/>
      <c r="H606" s="147"/>
    </row>
    <row r="607" spans="3:8" ht="14" x14ac:dyDescent="0.2">
      <c r="C607" s="147"/>
      <c r="D607" s="147"/>
      <c r="E607" s="147"/>
      <c r="F607" s="147"/>
      <c r="G607" s="147"/>
      <c r="H607" s="147"/>
    </row>
    <row r="608" spans="3:8" ht="14" x14ac:dyDescent="0.2">
      <c r="C608" s="147"/>
      <c r="D608" s="147"/>
      <c r="E608" s="147"/>
      <c r="F608" s="147"/>
      <c r="G608" s="147"/>
      <c r="H608" s="147"/>
    </row>
    <row r="609" spans="3:8" ht="14" x14ac:dyDescent="0.2">
      <c r="C609" s="147"/>
      <c r="D609" s="147"/>
      <c r="E609" s="147"/>
      <c r="F609" s="147"/>
      <c r="G609" s="147"/>
      <c r="H609" s="147"/>
    </row>
    <row r="610" spans="3:8" ht="14" x14ac:dyDescent="0.2">
      <c r="C610" s="147"/>
      <c r="D610" s="147"/>
      <c r="E610" s="147"/>
      <c r="F610" s="147"/>
      <c r="G610" s="147"/>
      <c r="H610" s="147"/>
    </row>
    <row r="611" spans="3:8" ht="14" x14ac:dyDescent="0.2">
      <c r="C611" s="147"/>
      <c r="D611" s="147"/>
      <c r="E611" s="147"/>
      <c r="F611" s="147"/>
      <c r="G611" s="147"/>
      <c r="H611" s="147"/>
    </row>
    <row r="612" spans="3:8" ht="14" x14ac:dyDescent="0.2">
      <c r="C612" s="147"/>
      <c r="D612" s="147"/>
      <c r="E612" s="147"/>
      <c r="F612" s="147"/>
      <c r="G612" s="147"/>
      <c r="H612" s="147"/>
    </row>
    <row r="613" spans="3:8" ht="14" x14ac:dyDescent="0.2">
      <c r="C613" s="147"/>
      <c r="D613" s="147"/>
      <c r="E613" s="147"/>
      <c r="F613" s="147"/>
      <c r="G613" s="147"/>
      <c r="H613" s="147"/>
    </row>
    <row r="614" spans="3:8" ht="14" x14ac:dyDescent="0.2">
      <c r="C614" s="147"/>
      <c r="D614" s="147"/>
      <c r="E614" s="147"/>
      <c r="F614" s="147"/>
      <c r="G614" s="147"/>
      <c r="H614" s="147"/>
    </row>
    <row r="615" spans="3:8" ht="14" x14ac:dyDescent="0.2">
      <c r="C615" s="147"/>
      <c r="D615" s="147"/>
      <c r="E615" s="147"/>
      <c r="F615" s="147"/>
      <c r="G615" s="147"/>
      <c r="H615" s="147"/>
    </row>
    <row r="616" spans="3:8" ht="14" x14ac:dyDescent="0.2">
      <c r="C616" s="147"/>
      <c r="D616" s="147"/>
      <c r="E616" s="147"/>
      <c r="F616" s="147"/>
      <c r="G616" s="147"/>
      <c r="H616" s="147"/>
    </row>
    <row r="617" spans="3:8" ht="14" x14ac:dyDescent="0.2">
      <c r="C617" s="147"/>
      <c r="D617" s="147"/>
      <c r="E617" s="147"/>
      <c r="F617" s="147"/>
      <c r="G617" s="147"/>
      <c r="H617" s="147"/>
    </row>
    <row r="618" spans="3:8" ht="14" x14ac:dyDescent="0.2">
      <c r="C618" s="147"/>
      <c r="D618" s="147"/>
      <c r="E618" s="147"/>
      <c r="F618" s="147"/>
      <c r="G618" s="147"/>
      <c r="H618" s="147"/>
    </row>
    <row r="619" spans="3:8" ht="14" x14ac:dyDescent="0.2">
      <c r="C619" s="147"/>
      <c r="D619" s="147"/>
      <c r="E619" s="147"/>
      <c r="F619" s="147"/>
      <c r="G619" s="147"/>
      <c r="H619" s="147"/>
    </row>
    <row r="620" spans="3:8" ht="14" x14ac:dyDescent="0.2">
      <c r="C620" s="147"/>
      <c r="D620" s="147"/>
      <c r="E620" s="147"/>
      <c r="F620" s="147"/>
      <c r="G620" s="147"/>
      <c r="H620" s="147"/>
    </row>
    <row r="621" spans="3:8" ht="14" x14ac:dyDescent="0.2">
      <c r="C621" s="147"/>
      <c r="D621" s="147"/>
      <c r="E621" s="147"/>
      <c r="F621" s="147"/>
      <c r="G621" s="147"/>
      <c r="H621" s="147"/>
    </row>
    <row r="622" spans="3:8" ht="14" x14ac:dyDescent="0.2">
      <c r="C622" s="147"/>
      <c r="D622" s="147"/>
      <c r="E622" s="147"/>
      <c r="F622" s="147"/>
      <c r="G622" s="147"/>
      <c r="H622" s="147"/>
    </row>
    <row r="623" spans="3:8" ht="14" x14ac:dyDescent="0.2">
      <c r="C623" s="147"/>
      <c r="D623" s="147"/>
      <c r="E623" s="147"/>
      <c r="F623" s="147"/>
      <c r="G623" s="147"/>
      <c r="H623" s="147"/>
    </row>
    <row r="624" spans="3:8" ht="14" x14ac:dyDescent="0.2">
      <c r="C624" s="147"/>
      <c r="D624" s="147"/>
      <c r="E624" s="147"/>
      <c r="F624" s="147"/>
      <c r="G624" s="147"/>
      <c r="H624" s="147"/>
    </row>
    <row r="625" spans="3:8" ht="14" x14ac:dyDescent="0.2">
      <c r="C625" s="147"/>
      <c r="D625" s="147"/>
      <c r="E625" s="147"/>
      <c r="F625" s="147"/>
      <c r="G625" s="147"/>
      <c r="H625" s="147"/>
    </row>
    <row r="626" spans="3:8" ht="14" x14ac:dyDescent="0.2">
      <c r="C626" s="147"/>
      <c r="D626" s="147"/>
      <c r="E626" s="147"/>
      <c r="F626" s="147"/>
      <c r="G626" s="147"/>
      <c r="H626" s="147"/>
    </row>
    <row r="627" spans="3:8" ht="14" x14ac:dyDescent="0.2">
      <c r="C627" s="147"/>
      <c r="D627" s="147"/>
      <c r="E627" s="147"/>
      <c r="F627" s="147"/>
      <c r="G627" s="147"/>
      <c r="H627" s="147"/>
    </row>
    <row r="628" spans="3:8" ht="14" x14ac:dyDescent="0.2">
      <c r="C628" s="147"/>
      <c r="D628" s="147"/>
      <c r="E628" s="147"/>
      <c r="F628" s="147"/>
      <c r="G628" s="147"/>
      <c r="H628" s="147"/>
    </row>
    <row r="629" spans="3:8" ht="14" x14ac:dyDescent="0.2">
      <c r="C629" s="147"/>
      <c r="D629" s="147"/>
      <c r="E629" s="147"/>
      <c r="F629" s="147"/>
      <c r="G629" s="147"/>
      <c r="H629" s="147"/>
    </row>
    <row r="630" spans="3:8" ht="14" x14ac:dyDescent="0.2">
      <c r="C630" s="147"/>
      <c r="D630" s="147"/>
      <c r="E630" s="147"/>
      <c r="F630" s="147"/>
      <c r="G630" s="147"/>
      <c r="H630" s="147"/>
    </row>
    <row r="631" spans="3:8" ht="14" x14ac:dyDescent="0.2">
      <c r="C631" s="147"/>
      <c r="D631" s="147"/>
      <c r="E631" s="147"/>
      <c r="F631" s="147"/>
      <c r="G631" s="147"/>
      <c r="H631" s="147"/>
    </row>
    <row r="632" spans="3:8" ht="14" x14ac:dyDescent="0.2">
      <c r="C632" s="147"/>
      <c r="D632" s="147"/>
      <c r="E632" s="147"/>
      <c r="F632" s="147"/>
      <c r="G632" s="147"/>
      <c r="H632" s="147"/>
    </row>
    <row r="633" spans="3:8" ht="14" x14ac:dyDescent="0.2">
      <c r="C633" s="147"/>
      <c r="D633" s="147"/>
      <c r="E633" s="147"/>
      <c r="F633" s="147"/>
      <c r="G633" s="147"/>
      <c r="H633" s="147"/>
    </row>
    <row r="634" spans="3:8" ht="14" x14ac:dyDescent="0.2">
      <c r="C634" s="147"/>
      <c r="D634" s="147"/>
      <c r="E634" s="147"/>
      <c r="F634" s="147"/>
      <c r="G634" s="147"/>
      <c r="H634" s="147"/>
    </row>
    <row r="635" spans="3:8" ht="14" x14ac:dyDescent="0.2">
      <c r="C635" s="147"/>
      <c r="D635" s="147"/>
      <c r="E635" s="147"/>
      <c r="F635" s="147"/>
      <c r="G635" s="147"/>
      <c r="H635" s="147"/>
    </row>
    <row r="636" spans="3:8" ht="14" x14ac:dyDescent="0.2">
      <c r="C636" s="147"/>
      <c r="D636" s="147"/>
      <c r="E636" s="147"/>
      <c r="F636" s="147"/>
      <c r="G636" s="147"/>
      <c r="H636" s="147"/>
    </row>
    <row r="637" spans="3:8" ht="14" x14ac:dyDescent="0.2">
      <c r="C637" s="147"/>
      <c r="D637" s="147"/>
      <c r="E637" s="147"/>
      <c r="F637" s="147"/>
      <c r="G637" s="147"/>
      <c r="H637" s="147"/>
    </row>
    <row r="638" spans="3:8" ht="14" x14ac:dyDescent="0.2">
      <c r="C638" s="147"/>
      <c r="D638" s="147"/>
      <c r="E638" s="147"/>
      <c r="F638" s="147"/>
      <c r="G638" s="147"/>
      <c r="H638" s="147"/>
    </row>
    <row r="639" spans="3:8" ht="14" x14ac:dyDescent="0.2">
      <c r="C639" s="147"/>
      <c r="D639" s="147"/>
      <c r="E639" s="147"/>
      <c r="F639" s="147"/>
      <c r="G639" s="147"/>
      <c r="H639" s="147"/>
    </row>
    <row r="640" spans="3:8" ht="14" x14ac:dyDescent="0.2">
      <c r="C640" s="147"/>
      <c r="D640" s="147"/>
      <c r="E640" s="147"/>
      <c r="F640" s="147"/>
      <c r="G640" s="147"/>
      <c r="H640" s="147"/>
    </row>
    <row r="641" spans="3:8" ht="14" x14ac:dyDescent="0.2">
      <c r="C641" s="147"/>
      <c r="D641" s="147"/>
      <c r="E641" s="147"/>
      <c r="F641" s="147"/>
      <c r="G641" s="147"/>
      <c r="H641" s="147"/>
    </row>
    <row r="642" spans="3:8" ht="14" x14ac:dyDescent="0.2">
      <c r="C642" s="147"/>
      <c r="D642" s="147"/>
      <c r="E642" s="147"/>
      <c r="F642" s="147"/>
      <c r="G642" s="147"/>
      <c r="H642" s="147"/>
    </row>
    <row r="643" spans="3:8" ht="14" x14ac:dyDescent="0.2">
      <c r="C643" s="147"/>
      <c r="D643" s="147"/>
      <c r="E643" s="147"/>
      <c r="F643" s="147"/>
      <c r="G643" s="147"/>
      <c r="H643" s="147"/>
    </row>
    <row r="644" spans="3:8" ht="14" x14ac:dyDescent="0.2">
      <c r="C644" s="147"/>
      <c r="D644" s="147"/>
      <c r="E644" s="147"/>
      <c r="F644" s="147"/>
      <c r="G644" s="147"/>
      <c r="H644" s="147"/>
    </row>
    <row r="645" spans="3:8" ht="14" x14ac:dyDescent="0.2">
      <c r="C645" s="147"/>
      <c r="D645" s="147"/>
      <c r="E645" s="147"/>
      <c r="F645" s="147"/>
      <c r="G645" s="147"/>
      <c r="H645" s="147"/>
    </row>
    <row r="646" spans="3:8" ht="14" x14ac:dyDescent="0.2">
      <c r="C646" s="147"/>
      <c r="D646" s="147"/>
      <c r="E646" s="147"/>
      <c r="F646" s="147"/>
      <c r="G646" s="147"/>
      <c r="H646" s="147"/>
    </row>
    <row r="647" spans="3:8" ht="14" x14ac:dyDescent="0.2">
      <c r="C647" s="147"/>
      <c r="D647" s="147"/>
      <c r="E647" s="147"/>
      <c r="F647" s="147"/>
      <c r="G647" s="147"/>
      <c r="H647" s="147"/>
    </row>
    <row r="648" spans="3:8" ht="14" x14ac:dyDescent="0.2">
      <c r="C648" s="147"/>
      <c r="D648" s="147"/>
      <c r="E648" s="147"/>
      <c r="F648" s="147"/>
      <c r="G648" s="147"/>
      <c r="H648" s="147"/>
    </row>
    <row r="649" spans="3:8" ht="14" x14ac:dyDescent="0.2">
      <c r="C649" s="147"/>
      <c r="D649" s="147"/>
      <c r="E649" s="147"/>
      <c r="F649" s="147"/>
      <c r="G649" s="147"/>
      <c r="H649" s="147"/>
    </row>
    <row r="650" spans="3:8" ht="14" x14ac:dyDescent="0.2">
      <c r="C650" s="147"/>
      <c r="D650" s="147"/>
      <c r="E650" s="147"/>
      <c r="F650" s="147"/>
      <c r="G650" s="147"/>
      <c r="H650" s="147"/>
    </row>
    <row r="651" spans="3:8" ht="14" x14ac:dyDescent="0.2">
      <c r="C651" s="147"/>
      <c r="D651" s="147"/>
      <c r="E651" s="147"/>
      <c r="F651" s="147"/>
      <c r="G651" s="147"/>
      <c r="H651" s="147"/>
    </row>
    <row r="652" spans="3:8" ht="14" x14ac:dyDescent="0.2">
      <c r="C652" s="147"/>
      <c r="D652" s="147"/>
      <c r="E652" s="147"/>
      <c r="F652" s="147"/>
      <c r="G652" s="147"/>
      <c r="H652" s="147"/>
    </row>
    <row r="653" spans="3:8" ht="14" x14ac:dyDescent="0.2">
      <c r="C653" s="147"/>
      <c r="D653" s="147"/>
      <c r="E653" s="147"/>
      <c r="F653" s="147"/>
      <c r="G653" s="147"/>
      <c r="H653" s="147"/>
    </row>
    <row r="654" spans="3:8" ht="14" x14ac:dyDescent="0.2">
      <c r="C654" s="147"/>
      <c r="D654" s="147"/>
      <c r="E654" s="147"/>
      <c r="F654" s="147"/>
      <c r="G654" s="147"/>
      <c r="H654" s="147"/>
    </row>
    <row r="655" spans="3:8" ht="14" x14ac:dyDescent="0.2">
      <c r="C655" s="147"/>
      <c r="D655" s="147"/>
      <c r="E655" s="147"/>
      <c r="F655" s="147"/>
      <c r="G655" s="147"/>
      <c r="H655" s="147"/>
    </row>
    <row r="656" spans="3:8" ht="14" x14ac:dyDescent="0.2">
      <c r="C656" s="147"/>
      <c r="D656" s="147"/>
      <c r="E656" s="147"/>
      <c r="F656" s="147"/>
      <c r="G656" s="147"/>
      <c r="H656" s="147"/>
    </row>
    <row r="657" spans="3:8" ht="14" x14ac:dyDescent="0.2">
      <c r="C657" s="147"/>
      <c r="D657" s="147"/>
      <c r="E657" s="147"/>
      <c r="F657" s="147"/>
      <c r="G657" s="147"/>
      <c r="H657" s="147"/>
    </row>
    <row r="658" spans="3:8" ht="14" x14ac:dyDescent="0.2">
      <c r="C658" s="147"/>
      <c r="D658" s="147"/>
      <c r="E658" s="147"/>
      <c r="F658" s="147"/>
      <c r="G658" s="147"/>
      <c r="H658" s="147"/>
    </row>
    <row r="659" spans="3:8" ht="14" x14ac:dyDescent="0.2">
      <c r="C659" s="147"/>
      <c r="D659" s="147"/>
      <c r="E659" s="147"/>
      <c r="F659" s="147"/>
      <c r="G659" s="147"/>
      <c r="H659" s="147"/>
    </row>
    <row r="660" spans="3:8" ht="14" x14ac:dyDescent="0.2">
      <c r="C660" s="147"/>
      <c r="D660" s="147"/>
      <c r="E660" s="147"/>
      <c r="F660" s="147"/>
      <c r="G660" s="147"/>
      <c r="H660" s="147"/>
    </row>
    <row r="661" spans="3:8" ht="14" x14ac:dyDescent="0.2">
      <c r="C661" s="147"/>
      <c r="D661" s="147"/>
      <c r="E661" s="147"/>
      <c r="F661" s="147"/>
      <c r="G661" s="147"/>
      <c r="H661" s="147"/>
    </row>
    <row r="662" spans="3:8" ht="14" x14ac:dyDescent="0.2">
      <c r="C662" s="147"/>
      <c r="D662" s="147"/>
      <c r="E662" s="147"/>
      <c r="F662" s="147"/>
      <c r="G662" s="147"/>
      <c r="H662" s="147"/>
    </row>
    <row r="663" spans="3:8" ht="14" x14ac:dyDescent="0.2">
      <c r="C663" s="147"/>
      <c r="D663" s="147"/>
      <c r="E663" s="147"/>
      <c r="F663" s="147"/>
      <c r="G663" s="147"/>
      <c r="H663" s="147"/>
    </row>
    <row r="664" spans="3:8" ht="14" x14ac:dyDescent="0.2">
      <c r="C664" s="147"/>
      <c r="D664" s="147"/>
      <c r="E664" s="147"/>
      <c r="F664" s="147"/>
      <c r="G664" s="147"/>
      <c r="H664" s="147"/>
    </row>
    <row r="665" spans="3:8" ht="14" x14ac:dyDescent="0.2">
      <c r="C665" s="147"/>
      <c r="D665" s="147"/>
      <c r="E665" s="147"/>
      <c r="F665" s="147"/>
      <c r="G665" s="147"/>
      <c r="H665" s="147"/>
    </row>
    <row r="666" spans="3:8" ht="14" x14ac:dyDescent="0.2">
      <c r="C666" s="147"/>
      <c r="D666" s="147"/>
      <c r="E666" s="147"/>
      <c r="F666" s="147"/>
      <c r="G666" s="147"/>
      <c r="H666" s="147"/>
    </row>
    <row r="667" spans="3:8" ht="14" x14ac:dyDescent="0.2">
      <c r="C667" s="147"/>
      <c r="D667" s="147"/>
      <c r="E667" s="147"/>
      <c r="F667" s="147"/>
      <c r="G667" s="147"/>
      <c r="H667" s="147"/>
    </row>
    <row r="668" spans="3:8" ht="14" x14ac:dyDescent="0.2">
      <c r="C668" s="147"/>
      <c r="D668" s="147"/>
      <c r="E668" s="147"/>
      <c r="F668" s="147"/>
      <c r="G668" s="147"/>
      <c r="H668" s="147"/>
    </row>
    <row r="669" spans="3:8" ht="14" x14ac:dyDescent="0.2">
      <c r="C669" s="147"/>
      <c r="D669" s="147"/>
      <c r="E669" s="147"/>
      <c r="F669" s="147"/>
      <c r="G669" s="147"/>
      <c r="H669" s="147"/>
    </row>
    <row r="670" spans="3:8" ht="14" x14ac:dyDescent="0.2">
      <c r="C670" s="147"/>
      <c r="D670" s="147"/>
      <c r="E670" s="147"/>
      <c r="F670" s="147"/>
      <c r="G670" s="147"/>
      <c r="H670" s="147"/>
    </row>
    <row r="671" spans="3:8" ht="14" x14ac:dyDescent="0.2">
      <c r="C671" s="147"/>
      <c r="D671" s="147"/>
      <c r="E671" s="147"/>
      <c r="F671" s="147"/>
      <c r="G671" s="147"/>
      <c r="H671" s="147"/>
    </row>
    <row r="672" spans="3:8" ht="14" x14ac:dyDescent="0.2">
      <c r="C672" s="147"/>
      <c r="D672" s="147"/>
      <c r="E672" s="147"/>
      <c r="F672" s="147"/>
      <c r="G672" s="147"/>
      <c r="H672" s="147"/>
    </row>
    <row r="673" spans="3:8" ht="14" x14ac:dyDescent="0.2">
      <c r="C673" s="147"/>
      <c r="D673" s="147"/>
      <c r="E673" s="147"/>
      <c r="F673" s="147"/>
      <c r="G673" s="147"/>
      <c r="H673" s="147"/>
    </row>
    <row r="674" spans="3:8" ht="14" x14ac:dyDescent="0.2">
      <c r="C674" s="147"/>
      <c r="D674" s="147"/>
      <c r="E674" s="147"/>
      <c r="F674" s="147"/>
      <c r="G674" s="147"/>
      <c r="H674" s="147"/>
    </row>
    <row r="675" spans="3:8" ht="14" x14ac:dyDescent="0.2">
      <c r="C675" s="147"/>
      <c r="D675" s="147"/>
      <c r="E675" s="147"/>
      <c r="F675" s="147"/>
      <c r="G675" s="147"/>
      <c r="H675" s="147"/>
    </row>
    <row r="676" spans="3:8" ht="14" x14ac:dyDescent="0.2">
      <c r="C676" s="147"/>
      <c r="D676" s="147"/>
      <c r="E676" s="147"/>
      <c r="F676" s="147"/>
      <c r="G676" s="147"/>
      <c r="H676" s="147"/>
    </row>
    <row r="677" spans="3:8" ht="14" x14ac:dyDescent="0.2">
      <c r="C677" s="147"/>
      <c r="D677" s="147"/>
      <c r="E677" s="147"/>
      <c r="F677" s="147"/>
      <c r="G677" s="147"/>
      <c r="H677" s="147"/>
    </row>
    <row r="678" spans="3:8" ht="14" x14ac:dyDescent="0.2">
      <c r="C678" s="147"/>
      <c r="D678" s="147"/>
      <c r="E678" s="147"/>
      <c r="F678" s="147"/>
      <c r="G678" s="147"/>
      <c r="H678" s="147"/>
    </row>
    <row r="679" spans="3:8" ht="14" x14ac:dyDescent="0.2">
      <c r="C679" s="147"/>
      <c r="D679" s="147"/>
      <c r="E679" s="147"/>
      <c r="F679" s="147"/>
      <c r="G679" s="147"/>
      <c r="H679" s="147"/>
    </row>
    <row r="680" spans="3:8" ht="14" x14ac:dyDescent="0.2">
      <c r="C680" s="147"/>
      <c r="D680" s="147"/>
      <c r="E680" s="147"/>
      <c r="F680" s="147"/>
      <c r="G680" s="147"/>
      <c r="H680" s="147"/>
    </row>
    <row r="681" spans="3:8" ht="14" x14ac:dyDescent="0.2">
      <c r="C681" s="147"/>
      <c r="D681" s="147"/>
      <c r="E681" s="147"/>
      <c r="F681" s="147"/>
      <c r="G681" s="147"/>
      <c r="H681" s="147"/>
    </row>
    <row r="682" spans="3:8" ht="14" x14ac:dyDescent="0.2">
      <c r="C682" s="147"/>
      <c r="D682" s="147"/>
      <c r="E682" s="147"/>
      <c r="F682" s="147"/>
      <c r="G682" s="147"/>
      <c r="H682" s="147"/>
    </row>
    <row r="683" spans="3:8" ht="14" x14ac:dyDescent="0.2">
      <c r="C683" s="147"/>
      <c r="D683" s="147"/>
      <c r="E683" s="147"/>
      <c r="F683" s="147"/>
      <c r="G683" s="147"/>
      <c r="H683" s="147"/>
    </row>
    <row r="684" spans="3:8" ht="14" x14ac:dyDescent="0.2">
      <c r="C684" s="147"/>
      <c r="D684" s="147"/>
      <c r="E684" s="147"/>
      <c r="F684" s="147"/>
      <c r="G684" s="147"/>
      <c r="H684" s="147"/>
    </row>
    <row r="685" spans="3:8" ht="14" x14ac:dyDescent="0.2">
      <c r="C685" s="147"/>
      <c r="D685" s="147"/>
      <c r="E685" s="147"/>
      <c r="F685" s="147"/>
      <c r="G685" s="147"/>
      <c r="H685" s="147"/>
    </row>
    <row r="686" spans="3:8" ht="14" x14ac:dyDescent="0.2">
      <c r="C686" s="147"/>
      <c r="D686" s="147"/>
      <c r="E686" s="147"/>
      <c r="F686" s="147"/>
      <c r="G686" s="147"/>
      <c r="H686" s="147"/>
    </row>
    <row r="687" spans="3:8" ht="14" x14ac:dyDescent="0.2">
      <c r="C687" s="147"/>
      <c r="D687" s="147"/>
      <c r="E687" s="147"/>
      <c r="F687" s="147"/>
      <c r="G687" s="147"/>
      <c r="H687" s="147"/>
    </row>
    <row r="688" spans="3:8" ht="14" x14ac:dyDescent="0.2">
      <c r="C688" s="147"/>
      <c r="D688" s="147"/>
      <c r="E688" s="147"/>
      <c r="F688" s="147"/>
      <c r="G688" s="147"/>
      <c r="H688" s="147"/>
    </row>
    <row r="689" spans="3:8" ht="14" x14ac:dyDescent="0.2">
      <c r="C689" s="147"/>
      <c r="D689" s="147"/>
      <c r="E689" s="147"/>
      <c r="F689" s="147"/>
      <c r="G689" s="147"/>
      <c r="H689" s="147"/>
    </row>
    <row r="690" spans="3:8" ht="14" x14ac:dyDescent="0.2">
      <c r="C690" s="147"/>
      <c r="D690" s="147"/>
      <c r="E690" s="147"/>
      <c r="F690" s="147"/>
      <c r="G690" s="147"/>
      <c r="H690" s="147"/>
    </row>
    <row r="691" spans="3:8" ht="14" x14ac:dyDescent="0.2">
      <c r="C691" s="147"/>
      <c r="D691" s="147"/>
      <c r="E691" s="147"/>
      <c r="F691" s="147"/>
      <c r="G691" s="147"/>
      <c r="H691" s="147"/>
    </row>
    <row r="692" spans="3:8" ht="14" x14ac:dyDescent="0.2">
      <c r="C692" s="147"/>
      <c r="D692" s="147"/>
      <c r="E692" s="147"/>
      <c r="F692" s="147"/>
      <c r="G692" s="147"/>
      <c r="H692" s="147"/>
    </row>
    <row r="693" spans="3:8" ht="14" x14ac:dyDescent="0.2">
      <c r="C693" s="147"/>
      <c r="D693" s="147"/>
      <c r="E693" s="147"/>
      <c r="F693" s="147"/>
      <c r="G693" s="147"/>
      <c r="H693" s="147"/>
    </row>
    <row r="694" spans="3:8" ht="14" x14ac:dyDescent="0.2">
      <c r="C694" s="147"/>
      <c r="D694" s="147"/>
      <c r="E694" s="147"/>
      <c r="F694" s="147"/>
      <c r="G694" s="147"/>
      <c r="H694" s="147"/>
    </row>
    <row r="695" spans="3:8" ht="14" x14ac:dyDescent="0.2">
      <c r="C695" s="147"/>
      <c r="D695" s="147"/>
      <c r="E695" s="147"/>
      <c r="F695" s="147"/>
      <c r="G695" s="147"/>
      <c r="H695" s="147"/>
    </row>
    <row r="696" spans="3:8" ht="14" x14ac:dyDescent="0.2">
      <c r="C696" s="147"/>
      <c r="D696" s="147"/>
      <c r="E696" s="147"/>
      <c r="F696" s="147"/>
      <c r="G696" s="147"/>
      <c r="H696" s="147"/>
    </row>
    <row r="697" spans="3:8" ht="14" x14ac:dyDescent="0.2">
      <c r="C697" s="147"/>
      <c r="D697" s="147"/>
      <c r="E697" s="147"/>
      <c r="F697" s="147"/>
      <c r="G697" s="147"/>
      <c r="H697" s="147"/>
    </row>
    <row r="698" spans="3:8" ht="14" x14ac:dyDescent="0.2">
      <c r="C698" s="147"/>
      <c r="D698" s="147"/>
      <c r="E698" s="147"/>
      <c r="F698" s="147"/>
      <c r="G698" s="147"/>
      <c r="H698" s="147"/>
    </row>
    <row r="699" spans="3:8" ht="14" x14ac:dyDescent="0.2">
      <c r="C699" s="147"/>
      <c r="D699" s="147"/>
      <c r="E699" s="147"/>
      <c r="F699" s="147"/>
      <c r="G699" s="147"/>
      <c r="H699" s="147"/>
    </row>
    <row r="700" spans="3:8" ht="14" x14ac:dyDescent="0.2">
      <c r="C700" s="147"/>
      <c r="D700" s="147"/>
      <c r="E700" s="147"/>
      <c r="F700" s="147"/>
      <c r="G700" s="147"/>
      <c r="H700" s="147"/>
    </row>
    <row r="701" spans="3:8" ht="14" x14ac:dyDescent="0.2">
      <c r="C701" s="147"/>
      <c r="D701" s="147"/>
      <c r="E701" s="147"/>
      <c r="F701" s="147"/>
      <c r="G701" s="147"/>
      <c r="H701" s="147"/>
    </row>
    <row r="702" spans="3:8" ht="14" x14ac:dyDescent="0.2">
      <c r="C702" s="147"/>
      <c r="D702" s="147"/>
      <c r="E702" s="147"/>
      <c r="F702" s="147"/>
      <c r="G702" s="147"/>
      <c r="H702" s="147"/>
    </row>
    <row r="703" spans="3:8" ht="14" x14ac:dyDescent="0.2">
      <c r="C703" s="147"/>
      <c r="D703" s="147"/>
      <c r="E703" s="147"/>
      <c r="F703" s="147"/>
      <c r="G703" s="147"/>
      <c r="H703" s="147"/>
    </row>
    <row r="704" spans="3:8" ht="14" x14ac:dyDescent="0.2">
      <c r="C704" s="147"/>
      <c r="D704" s="147"/>
      <c r="E704" s="147"/>
      <c r="F704" s="147"/>
      <c r="G704" s="147"/>
      <c r="H704" s="147"/>
    </row>
    <row r="705" spans="3:8" ht="14" x14ac:dyDescent="0.2">
      <c r="C705" s="147"/>
      <c r="D705" s="147"/>
      <c r="E705" s="147"/>
      <c r="F705" s="147"/>
      <c r="G705" s="147"/>
      <c r="H705" s="147"/>
    </row>
    <row r="706" spans="3:8" ht="14" x14ac:dyDescent="0.2">
      <c r="C706" s="147"/>
      <c r="D706" s="147"/>
      <c r="E706" s="147"/>
      <c r="F706" s="147"/>
      <c r="G706" s="147"/>
      <c r="H706" s="147"/>
    </row>
    <row r="707" spans="3:8" ht="14" x14ac:dyDescent="0.2">
      <c r="C707" s="147"/>
      <c r="D707" s="147"/>
      <c r="E707" s="147"/>
      <c r="F707" s="147"/>
      <c r="G707" s="147"/>
      <c r="H707" s="147"/>
    </row>
    <row r="708" spans="3:8" ht="14" x14ac:dyDescent="0.2">
      <c r="C708" s="147"/>
      <c r="D708" s="147"/>
      <c r="E708" s="147"/>
      <c r="F708" s="147"/>
      <c r="G708" s="147"/>
      <c r="H708" s="147"/>
    </row>
    <row r="709" spans="3:8" ht="14" x14ac:dyDescent="0.2">
      <c r="C709" s="147"/>
      <c r="D709" s="147"/>
      <c r="E709" s="147"/>
      <c r="F709" s="147"/>
      <c r="G709" s="147"/>
      <c r="H709" s="147"/>
    </row>
    <row r="710" spans="3:8" ht="14" x14ac:dyDescent="0.2">
      <c r="C710" s="147"/>
      <c r="D710" s="147"/>
      <c r="E710" s="147"/>
      <c r="F710" s="147"/>
      <c r="G710" s="147"/>
      <c r="H710" s="147"/>
    </row>
    <row r="711" spans="3:8" ht="14" x14ac:dyDescent="0.2">
      <c r="C711" s="147"/>
      <c r="D711" s="147"/>
      <c r="E711" s="147"/>
      <c r="F711" s="147"/>
      <c r="G711" s="147"/>
      <c r="H711" s="147"/>
    </row>
    <row r="712" spans="3:8" ht="14" x14ac:dyDescent="0.2">
      <c r="C712" s="147"/>
      <c r="D712" s="147"/>
      <c r="E712" s="147"/>
      <c r="F712" s="147"/>
      <c r="G712" s="147"/>
      <c r="H712" s="147"/>
    </row>
    <row r="713" spans="3:8" ht="14" x14ac:dyDescent="0.2">
      <c r="C713" s="147"/>
      <c r="D713" s="147"/>
      <c r="E713" s="147"/>
      <c r="F713" s="147"/>
      <c r="G713" s="147"/>
      <c r="H713" s="147"/>
    </row>
    <row r="714" spans="3:8" ht="14" x14ac:dyDescent="0.2">
      <c r="C714" s="147"/>
      <c r="D714" s="147"/>
      <c r="E714" s="147"/>
      <c r="F714" s="147"/>
      <c r="G714" s="147"/>
      <c r="H714" s="147"/>
    </row>
    <row r="715" spans="3:8" ht="14" x14ac:dyDescent="0.2">
      <c r="C715" s="147"/>
      <c r="D715" s="147"/>
      <c r="E715" s="147"/>
      <c r="F715" s="147"/>
      <c r="G715" s="147"/>
      <c r="H715" s="147"/>
    </row>
    <row r="716" spans="3:8" ht="14" x14ac:dyDescent="0.2">
      <c r="C716" s="147"/>
      <c r="D716" s="147"/>
      <c r="E716" s="147"/>
      <c r="F716" s="147"/>
      <c r="G716" s="147"/>
      <c r="H716" s="147"/>
    </row>
    <row r="717" spans="3:8" ht="14" x14ac:dyDescent="0.2">
      <c r="C717" s="147"/>
      <c r="D717" s="147"/>
      <c r="E717" s="147"/>
      <c r="F717" s="147"/>
      <c r="G717" s="147"/>
      <c r="H717" s="147"/>
    </row>
    <row r="718" spans="3:8" ht="14" x14ac:dyDescent="0.2">
      <c r="C718" s="147"/>
      <c r="D718" s="147"/>
      <c r="E718" s="147"/>
      <c r="F718" s="147"/>
      <c r="G718" s="147"/>
      <c r="H718" s="147"/>
    </row>
    <row r="719" spans="3:8" ht="14" x14ac:dyDescent="0.2">
      <c r="C719" s="147"/>
      <c r="D719" s="147"/>
      <c r="E719" s="147"/>
      <c r="F719" s="147"/>
      <c r="G719" s="147"/>
      <c r="H719" s="147"/>
    </row>
    <row r="720" spans="3:8" ht="14" x14ac:dyDescent="0.2">
      <c r="C720" s="147"/>
      <c r="D720" s="147"/>
      <c r="E720" s="147"/>
      <c r="F720" s="147"/>
      <c r="G720" s="147"/>
      <c r="H720" s="147"/>
    </row>
    <row r="721" spans="3:8" ht="14" x14ac:dyDescent="0.2">
      <c r="C721" s="147"/>
      <c r="D721" s="147"/>
      <c r="E721" s="147"/>
      <c r="F721" s="147"/>
      <c r="G721" s="147"/>
      <c r="H721" s="147"/>
    </row>
    <row r="722" spans="3:8" ht="14" x14ac:dyDescent="0.2">
      <c r="C722" s="147"/>
      <c r="D722" s="147"/>
      <c r="E722" s="147"/>
      <c r="F722" s="147"/>
      <c r="G722" s="147"/>
      <c r="H722" s="147"/>
    </row>
    <row r="723" spans="3:8" ht="14" x14ac:dyDescent="0.2">
      <c r="C723" s="147"/>
      <c r="D723" s="147"/>
      <c r="E723" s="147"/>
      <c r="F723" s="147"/>
      <c r="G723" s="147"/>
      <c r="H723" s="147"/>
    </row>
    <row r="724" spans="3:8" ht="14" x14ac:dyDescent="0.2">
      <c r="C724" s="147"/>
      <c r="D724" s="147"/>
      <c r="E724" s="147"/>
      <c r="F724" s="147"/>
      <c r="G724" s="147"/>
      <c r="H724" s="147"/>
    </row>
    <row r="725" spans="3:8" ht="14" x14ac:dyDescent="0.2">
      <c r="C725" s="147"/>
      <c r="D725" s="147"/>
      <c r="E725" s="147"/>
      <c r="F725" s="147"/>
      <c r="G725" s="147"/>
      <c r="H725" s="147"/>
    </row>
    <row r="726" spans="3:8" ht="14" x14ac:dyDescent="0.2">
      <c r="C726" s="147"/>
      <c r="D726" s="147"/>
      <c r="E726" s="147"/>
      <c r="F726" s="147"/>
      <c r="G726" s="147"/>
      <c r="H726" s="147"/>
    </row>
    <row r="727" spans="3:8" ht="14" x14ac:dyDescent="0.2">
      <c r="C727" s="147"/>
      <c r="D727" s="147"/>
      <c r="E727" s="147"/>
      <c r="F727" s="147"/>
      <c r="G727" s="147"/>
      <c r="H727" s="147"/>
    </row>
    <row r="728" spans="3:8" ht="14" x14ac:dyDescent="0.2">
      <c r="C728" s="147"/>
      <c r="D728" s="147"/>
      <c r="E728" s="147"/>
      <c r="F728" s="147"/>
      <c r="G728" s="147"/>
      <c r="H728" s="147"/>
    </row>
    <row r="729" spans="3:8" ht="14" x14ac:dyDescent="0.2">
      <c r="C729" s="147"/>
      <c r="D729" s="147"/>
      <c r="E729" s="147"/>
      <c r="F729" s="147"/>
      <c r="G729" s="147"/>
      <c r="H729" s="147"/>
    </row>
    <row r="730" spans="3:8" ht="14" x14ac:dyDescent="0.2">
      <c r="C730" s="147"/>
      <c r="D730" s="147"/>
      <c r="E730" s="147"/>
      <c r="F730" s="147"/>
      <c r="G730" s="147"/>
      <c r="H730" s="147"/>
    </row>
    <row r="731" spans="3:8" ht="14" x14ac:dyDescent="0.2">
      <c r="C731" s="147"/>
      <c r="D731" s="147"/>
      <c r="E731" s="147"/>
      <c r="F731" s="147"/>
      <c r="G731" s="147"/>
      <c r="H731" s="147"/>
    </row>
    <row r="732" spans="3:8" ht="14" x14ac:dyDescent="0.2">
      <c r="C732" s="147"/>
      <c r="D732" s="147"/>
      <c r="E732" s="147"/>
      <c r="F732" s="147"/>
      <c r="G732" s="147"/>
      <c r="H732" s="147"/>
    </row>
    <row r="733" spans="3:8" ht="14" x14ac:dyDescent="0.2">
      <c r="C733" s="147"/>
      <c r="D733" s="147"/>
      <c r="E733" s="147"/>
      <c r="F733" s="147"/>
      <c r="G733" s="147"/>
      <c r="H733" s="147"/>
    </row>
    <row r="734" spans="3:8" ht="14" x14ac:dyDescent="0.2">
      <c r="C734" s="147"/>
      <c r="D734" s="147"/>
      <c r="E734" s="147"/>
      <c r="F734" s="147"/>
      <c r="G734" s="147"/>
      <c r="H734" s="147"/>
    </row>
    <row r="735" spans="3:8" ht="14" x14ac:dyDescent="0.2">
      <c r="C735" s="147"/>
      <c r="D735" s="147"/>
      <c r="E735" s="147"/>
      <c r="F735" s="147"/>
      <c r="G735" s="147"/>
      <c r="H735" s="147"/>
    </row>
    <row r="736" spans="3:8" ht="14" x14ac:dyDescent="0.2">
      <c r="C736" s="147"/>
      <c r="D736" s="147"/>
      <c r="E736" s="147"/>
      <c r="F736" s="147"/>
      <c r="G736" s="147"/>
      <c r="H736" s="147"/>
    </row>
    <row r="737" spans="3:8" ht="14" x14ac:dyDescent="0.2">
      <c r="C737" s="147"/>
      <c r="D737" s="147"/>
      <c r="E737" s="147"/>
      <c r="F737" s="147"/>
      <c r="G737" s="147"/>
      <c r="H737" s="147"/>
    </row>
    <row r="738" spans="3:8" ht="14" x14ac:dyDescent="0.2">
      <c r="C738" s="147"/>
      <c r="D738" s="147"/>
      <c r="E738" s="147"/>
      <c r="F738" s="147"/>
      <c r="G738" s="147"/>
      <c r="H738" s="147"/>
    </row>
    <row r="739" spans="3:8" ht="14" x14ac:dyDescent="0.2">
      <c r="C739" s="147"/>
      <c r="D739" s="147"/>
      <c r="E739" s="147"/>
      <c r="F739" s="147"/>
      <c r="G739" s="147"/>
      <c r="H739" s="147"/>
    </row>
    <row r="740" spans="3:8" ht="14" x14ac:dyDescent="0.2">
      <c r="C740" s="147"/>
      <c r="D740" s="147"/>
      <c r="E740" s="147"/>
      <c r="F740" s="147"/>
      <c r="G740" s="147"/>
      <c r="H740" s="147"/>
    </row>
    <row r="741" spans="3:8" ht="14" x14ac:dyDescent="0.2">
      <c r="C741" s="147"/>
      <c r="D741" s="147"/>
      <c r="E741" s="147"/>
      <c r="F741" s="147"/>
      <c r="G741" s="147"/>
      <c r="H741" s="147"/>
    </row>
    <row r="742" spans="3:8" ht="14" x14ac:dyDescent="0.2">
      <c r="C742" s="147"/>
      <c r="D742" s="147"/>
      <c r="E742" s="147"/>
      <c r="F742" s="147"/>
      <c r="G742" s="147"/>
      <c r="H742" s="147"/>
    </row>
    <row r="743" spans="3:8" ht="14" x14ac:dyDescent="0.2">
      <c r="C743" s="147"/>
      <c r="D743" s="147"/>
      <c r="E743" s="147"/>
      <c r="F743" s="147"/>
      <c r="G743" s="147"/>
      <c r="H743" s="147"/>
    </row>
    <row r="744" spans="3:8" ht="14" x14ac:dyDescent="0.2">
      <c r="C744" s="147"/>
      <c r="D744" s="147"/>
      <c r="E744" s="147"/>
      <c r="F744" s="147"/>
      <c r="G744" s="147"/>
      <c r="H744" s="147"/>
    </row>
    <row r="745" spans="3:8" ht="14" x14ac:dyDescent="0.2">
      <c r="C745" s="147"/>
      <c r="D745" s="147"/>
      <c r="E745" s="147"/>
      <c r="F745" s="147"/>
      <c r="G745" s="147"/>
      <c r="H745" s="147"/>
    </row>
    <row r="746" spans="3:8" ht="14" x14ac:dyDescent="0.2">
      <c r="C746" s="147"/>
      <c r="D746" s="147"/>
      <c r="E746" s="147"/>
      <c r="F746" s="147"/>
      <c r="G746" s="147"/>
      <c r="H746" s="147"/>
    </row>
    <row r="747" spans="3:8" ht="14" x14ac:dyDescent="0.2">
      <c r="C747" s="147"/>
      <c r="D747" s="147"/>
      <c r="E747" s="147"/>
      <c r="F747" s="147"/>
      <c r="G747" s="147"/>
      <c r="H747" s="147"/>
    </row>
    <row r="748" spans="3:8" ht="14" x14ac:dyDescent="0.2">
      <c r="C748" s="147"/>
      <c r="D748" s="147"/>
      <c r="E748" s="147"/>
      <c r="F748" s="147"/>
      <c r="G748" s="147"/>
      <c r="H748" s="147"/>
    </row>
    <row r="749" spans="3:8" ht="14" x14ac:dyDescent="0.2">
      <c r="C749" s="147"/>
      <c r="D749" s="147"/>
      <c r="E749" s="147"/>
      <c r="F749" s="147"/>
      <c r="G749" s="147"/>
      <c r="H749" s="147"/>
    </row>
    <row r="750" spans="3:8" ht="14" x14ac:dyDescent="0.2">
      <c r="C750" s="147"/>
      <c r="D750" s="147"/>
      <c r="E750" s="147"/>
      <c r="F750" s="147"/>
      <c r="G750" s="147"/>
      <c r="H750" s="147"/>
    </row>
    <row r="751" spans="3:8" ht="14" x14ac:dyDescent="0.2">
      <c r="C751" s="147"/>
      <c r="D751" s="147"/>
      <c r="E751" s="147"/>
      <c r="F751" s="147"/>
      <c r="G751" s="147"/>
      <c r="H751" s="147"/>
    </row>
    <row r="752" spans="3:8" ht="14" x14ac:dyDescent="0.2">
      <c r="C752" s="147"/>
      <c r="D752" s="147"/>
      <c r="E752" s="147"/>
      <c r="F752" s="147"/>
      <c r="G752" s="147"/>
      <c r="H752" s="147"/>
    </row>
    <row r="753" spans="3:8" ht="14" x14ac:dyDescent="0.2">
      <c r="C753" s="147"/>
      <c r="D753" s="147"/>
      <c r="E753" s="147"/>
      <c r="F753" s="147"/>
      <c r="G753" s="147"/>
      <c r="H753" s="147"/>
    </row>
    <row r="754" spans="3:8" ht="14" x14ac:dyDescent="0.2">
      <c r="C754" s="147"/>
      <c r="D754" s="147"/>
      <c r="E754" s="147"/>
      <c r="F754" s="147"/>
      <c r="G754" s="147"/>
      <c r="H754" s="147"/>
    </row>
    <row r="755" spans="3:8" ht="14" x14ac:dyDescent="0.2">
      <c r="C755" s="147"/>
      <c r="D755" s="147"/>
      <c r="E755" s="147"/>
      <c r="F755" s="147"/>
      <c r="G755" s="147"/>
      <c r="H755" s="147"/>
    </row>
    <row r="756" spans="3:8" ht="14" x14ac:dyDescent="0.2">
      <c r="C756" s="147"/>
      <c r="D756" s="147"/>
      <c r="E756" s="147"/>
      <c r="F756" s="147"/>
      <c r="G756" s="147"/>
      <c r="H756" s="147"/>
    </row>
    <row r="757" spans="3:8" ht="14" x14ac:dyDescent="0.2">
      <c r="C757" s="147"/>
      <c r="D757" s="147"/>
      <c r="E757" s="147"/>
      <c r="F757" s="147"/>
      <c r="G757" s="147"/>
      <c r="H757" s="147"/>
    </row>
    <row r="758" spans="3:8" ht="14" x14ac:dyDescent="0.2">
      <c r="C758" s="147"/>
      <c r="D758" s="147"/>
      <c r="E758" s="147"/>
      <c r="F758" s="147"/>
      <c r="G758" s="147"/>
      <c r="H758" s="147"/>
    </row>
    <row r="759" spans="3:8" ht="14" x14ac:dyDescent="0.2">
      <c r="C759" s="147"/>
      <c r="D759" s="147"/>
      <c r="E759" s="147"/>
      <c r="F759" s="147"/>
      <c r="G759" s="147"/>
      <c r="H759" s="147"/>
    </row>
    <row r="760" spans="3:8" ht="14" x14ac:dyDescent="0.2">
      <c r="C760" s="147"/>
      <c r="D760" s="147"/>
      <c r="E760" s="147"/>
      <c r="F760" s="147"/>
      <c r="G760" s="147"/>
      <c r="H760" s="147"/>
    </row>
    <row r="761" spans="3:8" ht="14" x14ac:dyDescent="0.2">
      <c r="C761" s="147"/>
      <c r="D761" s="147"/>
      <c r="E761" s="147"/>
      <c r="F761" s="147"/>
      <c r="G761" s="147"/>
      <c r="H761" s="147"/>
    </row>
    <row r="762" spans="3:8" ht="14" x14ac:dyDescent="0.2">
      <c r="C762" s="147"/>
      <c r="D762" s="147"/>
      <c r="E762" s="147"/>
      <c r="F762" s="147"/>
      <c r="G762" s="147"/>
      <c r="H762" s="147"/>
    </row>
    <row r="763" spans="3:8" ht="14" x14ac:dyDescent="0.2">
      <c r="C763" s="147"/>
      <c r="D763" s="147"/>
      <c r="E763" s="147"/>
      <c r="F763" s="147"/>
      <c r="G763" s="147"/>
      <c r="H763" s="147"/>
    </row>
    <row r="764" spans="3:8" ht="14" x14ac:dyDescent="0.2">
      <c r="C764" s="147"/>
      <c r="D764" s="147"/>
      <c r="E764" s="147"/>
      <c r="F764" s="147"/>
      <c r="G764" s="147"/>
      <c r="H764" s="147"/>
    </row>
    <row r="765" spans="3:8" ht="14" x14ac:dyDescent="0.2">
      <c r="C765" s="147"/>
      <c r="D765" s="147"/>
      <c r="E765" s="147"/>
      <c r="F765" s="147"/>
      <c r="G765" s="147"/>
      <c r="H765" s="147"/>
    </row>
    <row r="766" spans="3:8" ht="14" x14ac:dyDescent="0.2">
      <c r="C766" s="147"/>
      <c r="D766" s="147"/>
      <c r="E766" s="147"/>
      <c r="F766" s="147"/>
      <c r="G766" s="147"/>
      <c r="H766" s="147"/>
    </row>
    <row r="767" spans="3:8" ht="14" x14ac:dyDescent="0.2">
      <c r="C767" s="147"/>
      <c r="D767" s="147"/>
      <c r="E767" s="147"/>
      <c r="F767" s="147"/>
      <c r="G767" s="147"/>
      <c r="H767" s="147"/>
    </row>
    <row r="768" spans="3:8" ht="14" x14ac:dyDescent="0.2">
      <c r="C768" s="147"/>
      <c r="D768" s="147"/>
      <c r="E768" s="147"/>
      <c r="F768" s="147"/>
      <c r="G768" s="147"/>
      <c r="H768" s="147"/>
    </row>
    <row r="769" spans="3:8" ht="14" x14ac:dyDescent="0.2">
      <c r="C769" s="147"/>
      <c r="D769" s="147"/>
      <c r="E769" s="147"/>
      <c r="F769" s="147"/>
      <c r="G769" s="147"/>
      <c r="H769" s="147"/>
    </row>
    <row r="770" spans="3:8" ht="14" x14ac:dyDescent="0.2">
      <c r="C770" s="147"/>
      <c r="D770" s="147"/>
      <c r="E770" s="147"/>
      <c r="F770" s="147"/>
      <c r="G770" s="147"/>
      <c r="H770" s="147"/>
    </row>
    <row r="771" spans="3:8" ht="14" x14ac:dyDescent="0.2">
      <c r="C771" s="147"/>
      <c r="D771" s="147"/>
      <c r="E771" s="147"/>
      <c r="F771" s="147"/>
      <c r="G771" s="147"/>
      <c r="H771" s="147"/>
    </row>
    <row r="772" spans="3:8" ht="14" x14ac:dyDescent="0.2">
      <c r="C772" s="147"/>
      <c r="D772" s="147"/>
      <c r="E772" s="147"/>
      <c r="F772" s="147"/>
      <c r="G772" s="147"/>
      <c r="H772" s="147"/>
    </row>
    <row r="773" spans="3:8" ht="14" x14ac:dyDescent="0.2">
      <c r="C773" s="147"/>
      <c r="D773" s="147"/>
      <c r="E773" s="147"/>
      <c r="F773" s="147"/>
      <c r="G773" s="147"/>
      <c r="H773" s="147"/>
    </row>
    <row r="774" spans="3:8" ht="14" x14ac:dyDescent="0.2">
      <c r="C774" s="147"/>
      <c r="D774" s="147"/>
      <c r="E774" s="147"/>
      <c r="F774" s="147"/>
      <c r="G774" s="147"/>
      <c r="H774" s="147"/>
    </row>
    <row r="775" spans="3:8" ht="14" x14ac:dyDescent="0.2">
      <c r="C775" s="147"/>
      <c r="D775" s="147"/>
      <c r="E775" s="147"/>
      <c r="F775" s="147"/>
      <c r="G775" s="147"/>
      <c r="H775" s="147"/>
    </row>
    <row r="776" spans="3:8" ht="14" x14ac:dyDescent="0.2">
      <c r="C776" s="147"/>
      <c r="D776" s="147"/>
      <c r="E776" s="147"/>
      <c r="F776" s="147"/>
      <c r="G776" s="147"/>
      <c r="H776" s="147"/>
    </row>
    <row r="777" spans="3:8" ht="14" x14ac:dyDescent="0.2">
      <c r="C777" s="147"/>
      <c r="D777" s="147"/>
      <c r="E777" s="147"/>
      <c r="F777" s="147"/>
      <c r="G777" s="147"/>
      <c r="H777" s="147"/>
    </row>
    <row r="778" spans="3:8" ht="14" x14ac:dyDescent="0.2">
      <c r="C778" s="147"/>
      <c r="D778" s="147"/>
      <c r="E778" s="147"/>
      <c r="F778" s="147"/>
      <c r="G778" s="147"/>
      <c r="H778" s="147"/>
    </row>
    <row r="779" spans="3:8" ht="14" x14ac:dyDescent="0.2">
      <c r="C779" s="147"/>
      <c r="D779" s="147"/>
      <c r="E779" s="147"/>
      <c r="F779" s="147"/>
      <c r="G779" s="147"/>
      <c r="H779" s="147"/>
    </row>
    <row r="780" spans="3:8" ht="14" x14ac:dyDescent="0.2">
      <c r="C780" s="147"/>
      <c r="D780" s="147"/>
      <c r="E780" s="147"/>
      <c r="F780" s="147"/>
      <c r="G780" s="147"/>
      <c r="H780" s="147"/>
    </row>
    <row r="781" spans="3:8" ht="14" x14ac:dyDescent="0.2">
      <c r="C781" s="147"/>
      <c r="D781" s="147"/>
      <c r="E781" s="147"/>
      <c r="F781" s="147"/>
      <c r="G781" s="147"/>
      <c r="H781" s="147"/>
    </row>
    <row r="782" spans="3:8" ht="14" x14ac:dyDescent="0.2">
      <c r="C782" s="147"/>
      <c r="D782" s="147"/>
      <c r="E782" s="147"/>
      <c r="F782" s="147"/>
      <c r="G782" s="147"/>
      <c r="H782" s="147"/>
    </row>
    <row r="783" spans="3:8" ht="14" x14ac:dyDescent="0.2">
      <c r="C783" s="147"/>
      <c r="D783" s="147"/>
      <c r="E783" s="147"/>
      <c r="F783" s="147"/>
      <c r="G783" s="147"/>
      <c r="H783" s="147"/>
    </row>
    <row r="784" spans="3:8" ht="14" x14ac:dyDescent="0.2">
      <c r="C784" s="147"/>
      <c r="D784" s="147"/>
      <c r="E784" s="147"/>
      <c r="F784" s="147"/>
      <c r="G784" s="147"/>
      <c r="H784" s="147"/>
    </row>
    <row r="785" spans="3:8" ht="14" x14ac:dyDescent="0.2">
      <c r="C785" s="147"/>
      <c r="D785" s="147"/>
      <c r="E785" s="147"/>
      <c r="F785" s="147"/>
      <c r="G785" s="147"/>
      <c r="H785" s="147"/>
    </row>
    <row r="786" spans="3:8" ht="14" x14ac:dyDescent="0.2">
      <c r="C786" s="147"/>
      <c r="D786" s="147"/>
      <c r="E786" s="147"/>
      <c r="F786" s="147"/>
      <c r="G786" s="147"/>
      <c r="H786" s="147"/>
    </row>
    <row r="787" spans="3:8" ht="14" x14ac:dyDescent="0.2">
      <c r="C787" s="147"/>
      <c r="D787" s="147"/>
      <c r="E787" s="147"/>
      <c r="F787" s="147"/>
      <c r="G787" s="147"/>
      <c r="H787" s="147"/>
    </row>
    <row r="788" spans="3:8" ht="14" x14ac:dyDescent="0.2">
      <c r="C788" s="147"/>
      <c r="D788" s="147"/>
      <c r="E788" s="147"/>
      <c r="F788" s="147"/>
      <c r="G788" s="147"/>
      <c r="H788" s="147"/>
    </row>
    <row r="789" spans="3:8" ht="14" x14ac:dyDescent="0.2">
      <c r="C789" s="147"/>
      <c r="D789" s="147"/>
      <c r="E789" s="147"/>
      <c r="F789" s="147"/>
      <c r="G789" s="147"/>
      <c r="H789" s="147"/>
    </row>
    <row r="790" spans="3:8" ht="14" x14ac:dyDescent="0.2">
      <c r="C790" s="147"/>
      <c r="D790" s="147"/>
      <c r="E790" s="147"/>
      <c r="F790" s="147"/>
      <c r="G790" s="147"/>
      <c r="H790" s="147"/>
    </row>
    <row r="791" spans="3:8" ht="14" x14ac:dyDescent="0.2">
      <c r="C791" s="147"/>
      <c r="D791" s="147"/>
      <c r="E791" s="147"/>
      <c r="F791" s="147"/>
      <c r="G791" s="147"/>
      <c r="H791" s="147"/>
    </row>
    <row r="792" spans="3:8" ht="14" x14ac:dyDescent="0.2">
      <c r="C792" s="147"/>
      <c r="D792" s="147"/>
      <c r="E792" s="147"/>
      <c r="F792" s="147"/>
      <c r="G792" s="147"/>
      <c r="H792" s="147"/>
    </row>
    <row r="793" spans="3:8" ht="14" x14ac:dyDescent="0.2">
      <c r="C793" s="147"/>
      <c r="D793" s="147"/>
      <c r="E793" s="147"/>
      <c r="F793" s="147"/>
      <c r="G793" s="147"/>
      <c r="H793" s="147"/>
    </row>
    <row r="794" spans="3:8" ht="14" x14ac:dyDescent="0.2">
      <c r="C794" s="147"/>
      <c r="D794" s="147"/>
      <c r="E794" s="147"/>
      <c r="F794" s="147"/>
      <c r="G794" s="147"/>
      <c r="H794" s="147"/>
    </row>
    <row r="795" spans="3:8" ht="14" x14ac:dyDescent="0.2">
      <c r="C795" s="147"/>
      <c r="D795" s="147"/>
      <c r="E795" s="147"/>
      <c r="F795" s="147"/>
      <c r="G795" s="147"/>
      <c r="H795" s="147"/>
    </row>
    <row r="796" spans="3:8" ht="14" x14ac:dyDescent="0.2">
      <c r="C796" s="147"/>
      <c r="D796" s="147"/>
      <c r="E796" s="147"/>
      <c r="F796" s="147"/>
      <c r="G796" s="147"/>
      <c r="H796" s="147"/>
    </row>
    <row r="797" spans="3:8" ht="14" x14ac:dyDescent="0.2">
      <c r="C797" s="147"/>
      <c r="D797" s="147"/>
      <c r="E797" s="147"/>
      <c r="F797" s="147"/>
      <c r="G797" s="147"/>
      <c r="H797" s="147"/>
    </row>
    <row r="798" spans="3:8" ht="14" x14ac:dyDescent="0.2">
      <c r="C798" s="147"/>
      <c r="D798" s="147"/>
      <c r="E798" s="147"/>
      <c r="F798" s="147"/>
      <c r="G798" s="147"/>
      <c r="H798" s="147"/>
    </row>
    <row r="799" spans="3:8" ht="14" x14ac:dyDescent="0.2">
      <c r="C799" s="147"/>
      <c r="D799" s="147"/>
      <c r="E799" s="147"/>
      <c r="F799" s="147"/>
      <c r="G799" s="147"/>
      <c r="H799" s="147"/>
    </row>
    <row r="800" spans="3:8" ht="14" x14ac:dyDescent="0.2">
      <c r="C800" s="147"/>
      <c r="D800" s="147"/>
      <c r="E800" s="147"/>
      <c r="F800" s="147"/>
      <c r="G800" s="147"/>
      <c r="H800" s="147"/>
    </row>
    <row r="801" spans="3:8" ht="14" x14ac:dyDescent="0.2">
      <c r="C801" s="147"/>
      <c r="D801" s="147"/>
      <c r="E801" s="147"/>
      <c r="F801" s="147"/>
      <c r="G801" s="147"/>
      <c r="H801" s="147"/>
    </row>
    <row r="802" spans="3:8" ht="14" x14ac:dyDescent="0.2">
      <c r="C802" s="147"/>
      <c r="D802" s="147"/>
      <c r="E802" s="147"/>
      <c r="F802" s="147"/>
      <c r="G802" s="147"/>
      <c r="H802" s="147"/>
    </row>
    <row r="803" spans="3:8" ht="14" x14ac:dyDescent="0.2">
      <c r="C803" s="147"/>
      <c r="D803" s="147"/>
      <c r="E803" s="147"/>
      <c r="F803" s="147"/>
      <c r="G803" s="147"/>
      <c r="H803" s="147"/>
    </row>
    <row r="804" spans="3:8" ht="14" x14ac:dyDescent="0.2">
      <c r="C804" s="147"/>
      <c r="D804" s="147"/>
      <c r="E804" s="147"/>
      <c r="F804" s="147"/>
      <c r="G804" s="147"/>
      <c r="H804" s="147"/>
    </row>
    <row r="805" spans="3:8" ht="14" x14ac:dyDescent="0.2">
      <c r="C805" s="147"/>
      <c r="D805" s="147"/>
      <c r="E805" s="147"/>
      <c r="F805" s="147"/>
      <c r="G805" s="147"/>
      <c r="H805" s="147"/>
    </row>
    <row r="806" spans="3:8" ht="14" x14ac:dyDescent="0.2">
      <c r="C806" s="147"/>
      <c r="D806" s="147"/>
      <c r="E806" s="147"/>
      <c r="F806" s="147"/>
      <c r="G806" s="147"/>
      <c r="H806" s="147"/>
    </row>
    <row r="807" spans="3:8" ht="14" x14ac:dyDescent="0.2">
      <c r="C807" s="147"/>
      <c r="D807" s="147"/>
      <c r="E807" s="147"/>
      <c r="F807" s="147"/>
      <c r="G807" s="147"/>
      <c r="H807" s="147"/>
    </row>
    <row r="808" spans="3:8" ht="14" x14ac:dyDescent="0.2">
      <c r="C808" s="147"/>
      <c r="D808" s="147"/>
      <c r="E808" s="147"/>
      <c r="F808" s="147"/>
      <c r="G808" s="147"/>
      <c r="H808" s="147"/>
    </row>
    <row r="809" spans="3:8" ht="14" x14ac:dyDescent="0.2">
      <c r="C809" s="147"/>
      <c r="D809" s="147"/>
      <c r="E809" s="147"/>
      <c r="F809" s="147"/>
      <c r="G809" s="147"/>
      <c r="H809" s="147"/>
    </row>
    <row r="810" spans="3:8" ht="14" x14ac:dyDescent="0.2">
      <c r="C810" s="147"/>
      <c r="D810" s="147"/>
      <c r="E810" s="147"/>
      <c r="F810" s="147"/>
      <c r="G810" s="147"/>
      <c r="H810" s="147"/>
    </row>
    <row r="811" spans="3:8" ht="14" x14ac:dyDescent="0.2">
      <c r="C811" s="147"/>
      <c r="D811" s="147"/>
      <c r="E811" s="147"/>
      <c r="F811" s="147"/>
      <c r="G811" s="147"/>
      <c r="H811" s="147"/>
    </row>
    <row r="812" spans="3:8" ht="14" x14ac:dyDescent="0.2">
      <c r="C812" s="147"/>
      <c r="D812" s="147"/>
      <c r="E812" s="147"/>
      <c r="F812" s="147"/>
      <c r="G812" s="147"/>
      <c r="H812" s="147"/>
    </row>
    <row r="813" spans="3:8" ht="14" x14ac:dyDescent="0.2">
      <c r="C813" s="147"/>
      <c r="D813" s="147"/>
      <c r="E813" s="147"/>
      <c r="F813" s="147"/>
      <c r="G813" s="147"/>
      <c r="H813" s="147"/>
    </row>
    <row r="814" spans="3:8" ht="14" x14ac:dyDescent="0.2">
      <c r="C814" s="147"/>
      <c r="D814" s="147"/>
      <c r="E814" s="147"/>
      <c r="F814" s="147"/>
      <c r="G814" s="147"/>
      <c r="H814" s="147"/>
    </row>
    <row r="815" spans="3:8" ht="14" x14ac:dyDescent="0.2">
      <c r="C815" s="147"/>
      <c r="D815" s="147"/>
      <c r="E815" s="147"/>
      <c r="F815" s="147"/>
      <c r="G815" s="147"/>
      <c r="H815" s="147"/>
    </row>
    <row r="816" spans="3:8" ht="14" x14ac:dyDescent="0.2">
      <c r="C816" s="147"/>
      <c r="D816" s="147"/>
      <c r="E816" s="147"/>
      <c r="F816" s="147"/>
      <c r="G816" s="147"/>
      <c r="H816" s="147"/>
    </row>
    <row r="817" spans="3:8" ht="14" x14ac:dyDescent="0.2">
      <c r="C817" s="147"/>
      <c r="D817" s="147"/>
      <c r="E817" s="147"/>
      <c r="F817" s="147"/>
      <c r="G817" s="147"/>
      <c r="H817" s="147"/>
    </row>
    <row r="818" spans="3:8" ht="14" x14ac:dyDescent="0.2">
      <c r="C818" s="147"/>
      <c r="D818" s="147"/>
      <c r="E818" s="147"/>
      <c r="F818" s="147"/>
      <c r="G818" s="147"/>
      <c r="H818" s="147"/>
    </row>
    <row r="819" spans="3:8" ht="14" x14ac:dyDescent="0.2">
      <c r="C819" s="147"/>
      <c r="D819" s="147"/>
      <c r="E819" s="147"/>
      <c r="F819" s="147"/>
      <c r="G819" s="147"/>
      <c r="H819" s="147"/>
    </row>
    <row r="820" spans="3:8" ht="14" x14ac:dyDescent="0.2">
      <c r="C820" s="147"/>
      <c r="D820" s="147"/>
      <c r="E820" s="147"/>
      <c r="F820" s="147"/>
      <c r="G820" s="147"/>
      <c r="H820" s="147"/>
    </row>
    <row r="821" spans="3:8" ht="14" x14ac:dyDescent="0.2">
      <c r="C821" s="147"/>
      <c r="D821" s="147"/>
      <c r="E821" s="147"/>
      <c r="F821" s="147"/>
      <c r="G821" s="147"/>
      <c r="H821" s="147"/>
    </row>
    <row r="822" spans="3:8" ht="14" x14ac:dyDescent="0.2">
      <c r="C822" s="147"/>
      <c r="D822" s="147"/>
      <c r="E822" s="147"/>
      <c r="F822" s="147"/>
      <c r="G822" s="147"/>
      <c r="H822" s="147"/>
    </row>
    <row r="823" spans="3:8" ht="14" x14ac:dyDescent="0.2">
      <c r="C823" s="147"/>
      <c r="D823" s="147"/>
      <c r="E823" s="147"/>
      <c r="F823" s="147"/>
      <c r="G823" s="147"/>
      <c r="H823" s="147"/>
    </row>
    <row r="824" spans="3:8" ht="14" x14ac:dyDescent="0.2">
      <c r="C824" s="147"/>
      <c r="D824" s="147"/>
      <c r="E824" s="147"/>
      <c r="F824" s="147"/>
      <c r="G824" s="147"/>
      <c r="H824" s="147"/>
    </row>
    <row r="825" spans="3:8" ht="14" x14ac:dyDescent="0.2">
      <c r="C825" s="147"/>
      <c r="D825" s="147"/>
      <c r="E825" s="147"/>
      <c r="F825" s="147"/>
      <c r="G825" s="147"/>
      <c r="H825" s="147"/>
    </row>
    <row r="826" spans="3:8" ht="14" x14ac:dyDescent="0.2">
      <c r="C826" s="147"/>
      <c r="D826" s="147"/>
      <c r="E826" s="147"/>
      <c r="F826" s="147"/>
      <c r="G826" s="147"/>
      <c r="H826" s="147"/>
    </row>
    <row r="827" spans="3:8" ht="14" x14ac:dyDescent="0.2">
      <c r="C827" s="147"/>
      <c r="D827" s="147"/>
      <c r="E827" s="147"/>
      <c r="F827" s="147"/>
      <c r="G827" s="147"/>
      <c r="H827" s="147"/>
    </row>
    <row r="828" spans="3:8" ht="14" x14ac:dyDescent="0.2">
      <c r="C828" s="147"/>
      <c r="D828" s="147"/>
      <c r="E828" s="147"/>
      <c r="F828" s="147"/>
      <c r="G828" s="147"/>
      <c r="H828" s="147"/>
    </row>
    <row r="829" spans="3:8" ht="14" x14ac:dyDescent="0.2">
      <c r="C829" s="147"/>
      <c r="D829" s="147"/>
      <c r="E829" s="147"/>
      <c r="F829" s="147"/>
      <c r="G829" s="147"/>
      <c r="H829" s="147"/>
    </row>
    <row r="830" spans="3:8" ht="14" x14ac:dyDescent="0.2">
      <c r="C830" s="147"/>
      <c r="D830" s="147"/>
      <c r="E830" s="147"/>
      <c r="F830" s="147"/>
      <c r="G830" s="147"/>
      <c r="H830" s="147"/>
    </row>
    <row r="831" spans="3:8" ht="14" x14ac:dyDescent="0.2">
      <c r="C831" s="147"/>
      <c r="D831" s="147"/>
      <c r="E831" s="147"/>
      <c r="F831" s="147"/>
      <c r="G831" s="147"/>
      <c r="H831" s="147"/>
    </row>
    <row r="832" spans="3:8" ht="14" x14ac:dyDescent="0.2">
      <c r="C832" s="147"/>
      <c r="D832" s="147"/>
      <c r="E832" s="147"/>
      <c r="F832" s="147"/>
      <c r="G832" s="147"/>
      <c r="H832" s="147"/>
    </row>
    <row r="833" spans="3:8" ht="14" x14ac:dyDescent="0.2">
      <c r="C833" s="147"/>
      <c r="D833" s="147"/>
      <c r="E833" s="147"/>
      <c r="F833" s="147"/>
      <c r="G833" s="147"/>
      <c r="H833" s="147"/>
    </row>
    <row r="834" spans="3:8" ht="14" x14ac:dyDescent="0.2">
      <c r="C834" s="147"/>
      <c r="D834" s="147"/>
      <c r="E834" s="147"/>
      <c r="F834" s="147"/>
      <c r="G834" s="147"/>
      <c r="H834" s="147"/>
    </row>
    <row r="835" spans="3:8" ht="14" x14ac:dyDescent="0.2">
      <c r="C835" s="147"/>
      <c r="D835" s="147"/>
      <c r="E835" s="147"/>
      <c r="F835" s="147"/>
      <c r="G835" s="147"/>
      <c r="H835" s="147"/>
    </row>
    <row r="836" spans="3:8" ht="14" x14ac:dyDescent="0.2">
      <c r="C836" s="147"/>
      <c r="D836" s="147"/>
      <c r="E836" s="147"/>
      <c r="F836" s="147"/>
      <c r="G836" s="147"/>
      <c r="H836" s="147"/>
    </row>
    <row r="837" spans="3:8" ht="14" x14ac:dyDescent="0.2">
      <c r="C837" s="147"/>
      <c r="D837" s="147"/>
      <c r="E837" s="147"/>
      <c r="F837" s="147"/>
      <c r="G837" s="147"/>
      <c r="H837" s="147"/>
    </row>
    <row r="838" spans="3:8" ht="14" x14ac:dyDescent="0.2">
      <c r="C838" s="147"/>
      <c r="D838" s="147"/>
      <c r="E838" s="147"/>
      <c r="F838" s="147"/>
      <c r="G838" s="147"/>
      <c r="H838" s="147"/>
    </row>
    <row r="839" spans="3:8" ht="14" x14ac:dyDescent="0.2">
      <c r="C839" s="147"/>
      <c r="D839" s="147"/>
      <c r="E839" s="147"/>
      <c r="F839" s="147"/>
      <c r="G839" s="147"/>
      <c r="H839" s="147"/>
    </row>
    <row r="840" spans="3:8" ht="14" x14ac:dyDescent="0.2">
      <c r="C840" s="147"/>
      <c r="D840" s="147"/>
      <c r="E840" s="147"/>
      <c r="F840" s="147"/>
      <c r="G840" s="147"/>
      <c r="H840" s="147"/>
    </row>
    <row r="841" spans="3:8" ht="14" x14ac:dyDescent="0.2">
      <c r="C841" s="147"/>
      <c r="D841" s="147"/>
      <c r="E841" s="147"/>
      <c r="F841" s="147"/>
      <c r="G841" s="147"/>
      <c r="H841" s="147"/>
    </row>
    <row r="842" spans="3:8" ht="14" x14ac:dyDescent="0.2">
      <c r="C842" s="147"/>
      <c r="D842" s="147"/>
      <c r="E842" s="147"/>
      <c r="F842" s="147"/>
      <c r="G842" s="147"/>
      <c r="H842" s="147"/>
    </row>
    <row r="843" spans="3:8" ht="14" x14ac:dyDescent="0.2">
      <c r="C843" s="147"/>
      <c r="D843" s="147"/>
      <c r="E843" s="147"/>
      <c r="F843" s="147"/>
      <c r="G843" s="147"/>
      <c r="H843" s="147"/>
    </row>
    <row r="844" spans="3:8" ht="14" x14ac:dyDescent="0.2">
      <c r="C844" s="147"/>
      <c r="D844" s="147"/>
      <c r="E844" s="147"/>
      <c r="F844" s="147"/>
      <c r="G844" s="147"/>
      <c r="H844" s="147"/>
    </row>
    <row r="845" spans="3:8" ht="14" x14ac:dyDescent="0.2">
      <c r="C845" s="147"/>
      <c r="D845" s="147"/>
      <c r="E845" s="147"/>
      <c r="F845" s="147"/>
      <c r="G845" s="147"/>
      <c r="H845" s="147"/>
    </row>
    <row r="846" spans="3:8" ht="14" x14ac:dyDescent="0.2">
      <c r="C846" s="147"/>
      <c r="D846" s="147"/>
      <c r="E846" s="147"/>
      <c r="F846" s="147"/>
      <c r="G846" s="147"/>
      <c r="H846" s="147"/>
    </row>
    <row r="847" spans="3:8" ht="14" x14ac:dyDescent="0.2">
      <c r="C847" s="147"/>
      <c r="D847" s="147"/>
      <c r="E847" s="147"/>
      <c r="F847" s="147"/>
      <c r="G847" s="147"/>
      <c r="H847" s="147"/>
    </row>
    <row r="848" spans="3:8" ht="14" x14ac:dyDescent="0.2">
      <c r="C848" s="147"/>
      <c r="D848" s="147"/>
      <c r="E848" s="147"/>
      <c r="F848" s="147"/>
      <c r="G848" s="147"/>
      <c r="H848" s="147"/>
    </row>
    <row r="849" spans="3:8" ht="14" x14ac:dyDescent="0.2">
      <c r="C849" s="147"/>
      <c r="D849" s="147"/>
      <c r="E849" s="147"/>
      <c r="F849" s="147"/>
      <c r="G849" s="147"/>
      <c r="H849" s="147"/>
    </row>
    <row r="850" spans="3:8" ht="14" x14ac:dyDescent="0.2">
      <c r="C850" s="147"/>
      <c r="D850" s="147"/>
      <c r="E850" s="147"/>
      <c r="F850" s="147"/>
      <c r="G850" s="147"/>
      <c r="H850" s="147"/>
    </row>
    <row r="851" spans="3:8" ht="14" x14ac:dyDescent="0.2">
      <c r="C851" s="147"/>
      <c r="D851" s="147"/>
      <c r="E851" s="147"/>
      <c r="F851" s="147"/>
      <c r="G851" s="147"/>
      <c r="H851" s="147"/>
    </row>
    <row r="852" spans="3:8" ht="14" x14ac:dyDescent="0.2">
      <c r="C852" s="147"/>
      <c r="D852" s="147"/>
      <c r="E852" s="147"/>
      <c r="F852" s="147"/>
      <c r="G852" s="147"/>
      <c r="H852" s="147"/>
    </row>
    <row r="853" spans="3:8" ht="14" x14ac:dyDescent="0.2">
      <c r="C853" s="147"/>
      <c r="D853" s="147"/>
      <c r="E853" s="147"/>
      <c r="F853" s="147"/>
      <c r="G853" s="147"/>
      <c r="H853" s="147"/>
    </row>
    <row r="854" spans="3:8" ht="14" x14ac:dyDescent="0.2">
      <c r="C854" s="147"/>
      <c r="D854" s="147"/>
      <c r="E854" s="147"/>
      <c r="F854" s="147"/>
      <c r="G854" s="147"/>
      <c r="H854" s="147"/>
    </row>
    <row r="855" spans="3:8" ht="14" x14ac:dyDescent="0.2">
      <c r="C855" s="147"/>
      <c r="D855" s="147"/>
      <c r="E855" s="147"/>
      <c r="F855" s="147"/>
      <c r="G855" s="147"/>
      <c r="H855" s="147"/>
    </row>
    <row r="856" spans="3:8" ht="14" x14ac:dyDescent="0.2">
      <c r="C856" s="147"/>
      <c r="D856" s="147"/>
      <c r="E856" s="147"/>
      <c r="F856" s="147"/>
      <c r="G856" s="147"/>
      <c r="H856" s="147"/>
    </row>
    <row r="857" spans="3:8" ht="14" x14ac:dyDescent="0.2">
      <c r="C857" s="147"/>
      <c r="D857" s="147"/>
      <c r="E857" s="147"/>
      <c r="F857" s="147"/>
      <c r="G857" s="147"/>
      <c r="H857" s="147"/>
    </row>
    <row r="858" spans="3:8" ht="14" x14ac:dyDescent="0.2">
      <c r="C858" s="147"/>
      <c r="D858" s="147"/>
      <c r="E858" s="147"/>
      <c r="F858" s="147"/>
      <c r="G858" s="147"/>
      <c r="H858" s="147"/>
    </row>
    <row r="859" spans="3:8" ht="14" x14ac:dyDescent="0.2">
      <c r="C859" s="147"/>
      <c r="D859" s="147"/>
      <c r="E859" s="147"/>
      <c r="F859" s="147"/>
      <c r="G859" s="147"/>
      <c r="H859" s="147"/>
    </row>
    <row r="860" spans="3:8" ht="14" x14ac:dyDescent="0.2">
      <c r="C860" s="147"/>
      <c r="D860" s="147"/>
      <c r="E860" s="147"/>
      <c r="F860" s="147"/>
      <c r="G860" s="147"/>
      <c r="H860" s="147"/>
    </row>
    <row r="861" spans="3:8" ht="14" x14ac:dyDescent="0.2">
      <c r="C861" s="147"/>
      <c r="D861" s="147"/>
      <c r="E861" s="147"/>
      <c r="F861" s="147"/>
      <c r="G861" s="147"/>
      <c r="H861" s="147"/>
    </row>
    <row r="862" spans="3:8" ht="14" x14ac:dyDescent="0.2">
      <c r="C862" s="147"/>
      <c r="D862" s="147"/>
      <c r="E862" s="147"/>
      <c r="F862" s="147"/>
      <c r="G862" s="147"/>
      <c r="H862" s="147"/>
    </row>
    <row r="863" spans="3:8" ht="14" x14ac:dyDescent="0.2">
      <c r="C863" s="147"/>
      <c r="D863" s="147"/>
      <c r="E863" s="147"/>
      <c r="F863" s="147"/>
      <c r="G863" s="147"/>
      <c r="H863" s="147"/>
    </row>
    <row r="864" spans="3:8" ht="14" x14ac:dyDescent="0.2">
      <c r="C864" s="147"/>
      <c r="D864" s="147"/>
      <c r="E864" s="147"/>
      <c r="F864" s="147"/>
      <c r="G864" s="147"/>
      <c r="H864" s="147"/>
    </row>
    <row r="865" spans="3:8" ht="14" x14ac:dyDescent="0.2">
      <c r="C865" s="147"/>
      <c r="D865" s="147"/>
      <c r="E865" s="147"/>
      <c r="F865" s="147"/>
      <c r="G865" s="147"/>
      <c r="H865" s="147"/>
    </row>
    <row r="866" spans="3:8" ht="14" x14ac:dyDescent="0.2">
      <c r="C866" s="147"/>
      <c r="D866" s="147"/>
      <c r="E866" s="147"/>
      <c r="F866" s="147"/>
      <c r="G866" s="147"/>
      <c r="H866" s="147"/>
    </row>
    <row r="867" spans="3:8" ht="14" x14ac:dyDescent="0.2">
      <c r="C867" s="147"/>
      <c r="D867" s="147"/>
      <c r="E867" s="147"/>
      <c r="F867" s="147"/>
      <c r="G867" s="147"/>
      <c r="H867" s="147"/>
    </row>
    <row r="868" spans="3:8" ht="14" x14ac:dyDescent="0.2">
      <c r="C868" s="147"/>
      <c r="D868" s="147"/>
      <c r="E868" s="147"/>
      <c r="F868" s="147"/>
      <c r="G868" s="147"/>
      <c r="H868" s="147"/>
    </row>
    <row r="869" spans="3:8" ht="14" x14ac:dyDescent="0.2">
      <c r="C869" s="147"/>
      <c r="D869" s="147"/>
      <c r="E869" s="147"/>
      <c r="F869" s="147"/>
      <c r="G869" s="147"/>
      <c r="H869" s="147"/>
    </row>
    <row r="870" spans="3:8" ht="14" x14ac:dyDescent="0.2">
      <c r="C870" s="147"/>
      <c r="D870" s="147"/>
      <c r="E870" s="147"/>
      <c r="F870" s="147"/>
      <c r="G870" s="147"/>
      <c r="H870" s="147"/>
    </row>
    <row r="871" spans="3:8" ht="14" x14ac:dyDescent="0.2">
      <c r="C871" s="147"/>
      <c r="D871" s="147"/>
      <c r="E871" s="147"/>
      <c r="F871" s="147"/>
      <c r="G871" s="147"/>
      <c r="H871" s="147"/>
    </row>
    <row r="872" spans="3:8" ht="14" x14ac:dyDescent="0.2">
      <c r="C872" s="147"/>
      <c r="D872" s="147"/>
      <c r="E872" s="147"/>
      <c r="F872" s="147"/>
      <c r="G872" s="147"/>
      <c r="H872" s="147"/>
    </row>
    <row r="873" spans="3:8" ht="14" x14ac:dyDescent="0.2">
      <c r="C873" s="147"/>
      <c r="D873" s="147"/>
      <c r="E873" s="147"/>
      <c r="F873" s="147"/>
      <c r="G873" s="147"/>
      <c r="H873" s="147"/>
    </row>
    <row r="874" spans="3:8" ht="14" x14ac:dyDescent="0.2">
      <c r="C874" s="147"/>
      <c r="D874" s="147"/>
      <c r="E874" s="147"/>
      <c r="F874" s="147"/>
      <c r="G874" s="147"/>
      <c r="H874" s="147"/>
    </row>
    <row r="875" spans="3:8" ht="14" x14ac:dyDescent="0.2">
      <c r="C875" s="147"/>
      <c r="D875" s="147"/>
      <c r="E875" s="147"/>
      <c r="F875" s="147"/>
      <c r="G875" s="147"/>
      <c r="H875" s="147"/>
    </row>
    <row r="876" spans="3:8" ht="14" x14ac:dyDescent="0.2">
      <c r="C876" s="147"/>
      <c r="D876" s="147"/>
      <c r="E876" s="147"/>
      <c r="F876" s="147"/>
      <c r="G876" s="147"/>
      <c r="H876" s="147"/>
    </row>
    <row r="877" spans="3:8" ht="14" x14ac:dyDescent="0.2">
      <c r="C877" s="147"/>
      <c r="D877" s="147"/>
      <c r="E877" s="147"/>
      <c r="F877" s="147"/>
      <c r="G877" s="147"/>
      <c r="H877" s="147"/>
    </row>
    <row r="878" spans="3:8" ht="14" x14ac:dyDescent="0.2">
      <c r="C878" s="147"/>
      <c r="D878" s="147"/>
      <c r="E878" s="147"/>
      <c r="F878" s="147"/>
      <c r="G878" s="147"/>
      <c r="H878" s="147"/>
    </row>
    <row r="879" spans="3:8" ht="14" x14ac:dyDescent="0.2">
      <c r="C879" s="147"/>
      <c r="D879" s="147"/>
      <c r="E879" s="147"/>
      <c r="F879" s="147"/>
      <c r="G879" s="147"/>
      <c r="H879" s="147"/>
    </row>
    <row r="880" spans="3:8" ht="14" x14ac:dyDescent="0.2">
      <c r="C880" s="147"/>
      <c r="D880" s="147"/>
      <c r="E880" s="147"/>
      <c r="F880" s="147"/>
      <c r="G880" s="147"/>
      <c r="H880" s="147"/>
    </row>
    <row r="881" spans="3:8" ht="14" x14ac:dyDescent="0.2">
      <c r="C881" s="147"/>
      <c r="D881" s="147"/>
      <c r="E881" s="147"/>
      <c r="F881" s="147"/>
      <c r="G881" s="147"/>
      <c r="H881" s="147"/>
    </row>
    <row r="882" spans="3:8" ht="14" x14ac:dyDescent="0.2">
      <c r="C882" s="147"/>
      <c r="D882" s="147"/>
      <c r="E882" s="147"/>
      <c r="F882" s="147"/>
      <c r="G882" s="147"/>
      <c r="H882" s="147"/>
    </row>
    <row r="883" spans="3:8" ht="14" x14ac:dyDescent="0.2">
      <c r="C883" s="147"/>
      <c r="D883" s="147"/>
      <c r="E883" s="147"/>
      <c r="F883" s="147"/>
      <c r="G883" s="147"/>
      <c r="H883" s="147"/>
    </row>
    <row r="884" spans="3:8" ht="14" x14ac:dyDescent="0.2">
      <c r="C884" s="147"/>
      <c r="D884" s="147"/>
      <c r="E884" s="147"/>
      <c r="F884" s="147"/>
      <c r="G884" s="147"/>
      <c r="H884" s="147"/>
    </row>
    <row r="885" spans="3:8" ht="14" x14ac:dyDescent="0.2">
      <c r="C885" s="147"/>
      <c r="D885" s="147"/>
      <c r="E885" s="147"/>
      <c r="F885" s="147"/>
      <c r="G885" s="147"/>
      <c r="H885" s="147"/>
    </row>
    <row r="886" spans="3:8" ht="14" x14ac:dyDescent="0.2">
      <c r="C886" s="147"/>
      <c r="D886" s="147"/>
      <c r="E886" s="147"/>
      <c r="F886" s="147"/>
      <c r="G886" s="147"/>
      <c r="H886" s="147"/>
    </row>
    <row r="887" spans="3:8" ht="14" x14ac:dyDescent="0.2">
      <c r="C887" s="147"/>
      <c r="D887" s="147"/>
      <c r="E887" s="147"/>
      <c r="F887" s="147"/>
      <c r="G887" s="147"/>
      <c r="H887" s="147"/>
    </row>
    <row r="888" spans="3:8" ht="14" x14ac:dyDescent="0.2">
      <c r="C888" s="147"/>
      <c r="D888" s="147"/>
      <c r="E888" s="147"/>
      <c r="F888" s="147"/>
      <c r="G888" s="147"/>
      <c r="H888" s="147"/>
    </row>
    <row r="889" spans="3:8" ht="14" x14ac:dyDescent="0.2">
      <c r="C889" s="147"/>
      <c r="D889" s="147"/>
      <c r="E889" s="147"/>
      <c r="F889" s="147"/>
      <c r="G889" s="147"/>
      <c r="H889" s="147"/>
    </row>
    <row r="890" spans="3:8" ht="14" x14ac:dyDescent="0.2">
      <c r="C890" s="147"/>
      <c r="D890" s="147"/>
      <c r="E890" s="147"/>
      <c r="F890" s="147"/>
      <c r="G890" s="147"/>
      <c r="H890" s="147"/>
    </row>
    <row r="891" spans="3:8" ht="14" x14ac:dyDescent="0.2">
      <c r="C891" s="147"/>
      <c r="D891" s="147"/>
      <c r="E891" s="147"/>
      <c r="F891" s="147"/>
      <c r="G891" s="147"/>
      <c r="H891" s="147"/>
    </row>
    <row r="892" spans="3:8" ht="14" x14ac:dyDescent="0.2">
      <c r="C892" s="147"/>
      <c r="D892" s="147"/>
      <c r="E892" s="147"/>
      <c r="F892" s="147"/>
      <c r="G892" s="147"/>
      <c r="H892" s="147"/>
    </row>
    <row r="893" spans="3:8" ht="14" x14ac:dyDescent="0.2">
      <c r="C893" s="147"/>
      <c r="D893" s="147"/>
      <c r="E893" s="147"/>
      <c r="F893" s="147"/>
      <c r="G893" s="147"/>
      <c r="H893" s="147"/>
    </row>
    <row r="894" spans="3:8" ht="14" x14ac:dyDescent="0.2">
      <c r="C894" s="147"/>
      <c r="D894" s="147"/>
      <c r="E894" s="147"/>
      <c r="F894" s="147"/>
      <c r="G894" s="147"/>
      <c r="H894" s="147"/>
    </row>
    <row r="895" spans="3:8" ht="14" x14ac:dyDescent="0.2">
      <c r="C895" s="147"/>
      <c r="D895" s="147"/>
      <c r="E895" s="147"/>
      <c r="F895" s="147"/>
      <c r="G895" s="147"/>
      <c r="H895" s="147"/>
    </row>
    <row r="896" spans="3:8" ht="14" x14ac:dyDescent="0.2">
      <c r="C896" s="147"/>
      <c r="D896" s="147"/>
      <c r="E896" s="147"/>
      <c r="F896" s="147"/>
      <c r="G896" s="147"/>
      <c r="H896" s="147"/>
    </row>
    <row r="897" spans="3:8" ht="14" x14ac:dyDescent="0.2">
      <c r="C897" s="147"/>
      <c r="D897" s="147"/>
      <c r="E897" s="147"/>
      <c r="F897" s="147"/>
      <c r="G897" s="147"/>
      <c r="H897" s="147"/>
    </row>
    <row r="898" spans="3:8" ht="14" x14ac:dyDescent="0.2">
      <c r="C898" s="147"/>
      <c r="D898" s="147"/>
      <c r="E898" s="147"/>
      <c r="F898" s="147"/>
      <c r="G898" s="147"/>
      <c r="H898" s="147"/>
    </row>
    <row r="899" spans="3:8" ht="14" x14ac:dyDescent="0.2">
      <c r="C899" s="147"/>
      <c r="D899" s="147"/>
      <c r="E899" s="147"/>
      <c r="F899" s="147"/>
      <c r="G899" s="147"/>
      <c r="H899" s="147"/>
    </row>
    <row r="900" spans="3:8" ht="14" x14ac:dyDescent="0.2">
      <c r="C900" s="147"/>
      <c r="D900" s="147"/>
      <c r="E900" s="147"/>
      <c r="F900" s="147"/>
      <c r="G900" s="147"/>
      <c r="H900" s="147"/>
    </row>
    <row r="901" spans="3:8" ht="14" x14ac:dyDescent="0.2">
      <c r="C901" s="147"/>
      <c r="D901" s="147"/>
      <c r="E901" s="147"/>
      <c r="F901" s="147"/>
      <c r="G901" s="147"/>
      <c r="H901" s="147"/>
    </row>
    <row r="902" spans="3:8" ht="14" x14ac:dyDescent="0.2">
      <c r="C902" s="147"/>
      <c r="D902" s="147"/>
      <c r="E902" s="147"/>
      <c r="F902" s="147"/>
      <c r="G902" s="147"/>
      <c r="H902" s="147"/>
    </row>
    <row r="903" spans="3:8" ht="14" x14ac:dyDescent="0.2">
      <c r="C903" s="147"/>
      <c r="D903" s="147"/>
      <c r="E903" s="147"/>
      <c r="F903" s="147"/>
      <c r="G903" s="147"/>
      <c r="H903" s="147"/>
    </row>
    <row r="904" spans="3:8" ht="14" x14ac:dyDescent="0.2">
      <c r="C904" s="147"/>
      <c r="D904" s="147"/>
      <c r="E904" s="147"/>
      <c r="F904" s="147"/>
      <c r="G904" s="147"/>
      <c r="H904" s="147"/>
    </row>
    <row r="905" spans="3:8" ht="14" x14ac:dyDescent="0.2">
      <c r="C905" s="147"/>
      <c r="D905" s="147"/>
      <c r="E905" s="147"/>
      <c r="F905" s="147"/>
      <c r="G905" s="147"/>
      <c r="H905" s="147"/>
    </row>
    <row r="906" spans="3:8" ht="14" x14ac:dyDescent="0.2">
      <c r="C906" s="147"/>
      <c r="D906" s="147"/>
      <c r="E906" s="147"/>
      <c r="F906" s="147"/>
      <c r="G906" s="147"/>
      <c r="H906" s="147"/>
    </row>
    <row r="907" spans="3:8" ht="14" x14ac:dyDescent="0.2">
      <c r="C907" s="147"/>
      <c r="D907" s="147"/>
      <c r="E907" s="147"/>
      <c r="F907" s="147"/>
      <c r="G907" s="147"/>
      <c r="H907" s="147"/>
    </row>
    <row r="908" spans="3:8" ht="14" x14ac:dyDescent="0.2">
      <c r="C908" s="147"/>
      <c r="D908" s="147"/>
      <c r="E908" s="147"/>
      <c r="F908" s="147"/>
      <c r="G908" s="147"/>
      <c r="H908" s="147"/>
    </row>
    <row r="909" spans="3:8" ht="14" x14ac:dyDescent="0.2">
      <c r="C909" s="147"/>
      <c r="D909" s="147"/>
      <c r="E909" s="147"/>
      <c r="F909" s="147"/>
      <c r="G909" s="147"/>
      <c r="H909" s="147"/>
    </row>
    <row r="910" spans="3:8" ht="14" x14ac:dyDescent="0.2">
      <c r="C910" s="147"/>
      <c r="D910" s="147"/>
      <c r="E910" s="147"/>
      <c r="F910" s="147"/>
      <c r="G910" s="147"/>
      <c r="H910" s="147"/>
    </row>
    <row r="911" spans="3:8" ht="14" x14ac:dyDescent="0.2">
      <c r="C911" s="147"/>
      <c r="D911" s="147"/>
      <c r="E911" s="147"/>
      <c r="F911" s="147"/>
      <c r="G911" s="147"/>
      <c r="H911" s="147"/>
    </row>
    <row r="912" spans="3:8" ht="14" x14ac:dyDescent="0.2">
      <c r="C912" s="147"/>
      <c r="D912" s="147"/>
      <c r="E912" s="147"/>
      <c r="F912" s="147"/>
      <c r="G912" s="147"/>
      <c r="H912" s="147"/>
    </row>
    <row r="913" spans="3:8" ht="14" x14ac:dyDescent="0.2">
      <c r="C913" s="147"/>
      <c r="D913" s="147"/>
      <c r="E913" s="147"/>
      <c r="F913" s="147"/>
      <c r="G913" s="147"/>
      <c r="H913" s="147"/>
    </row>
    <row r="914" spans="3:8" ht="14" x14ac:dyDescent="0.2">
      <c r="C914" s="147"/>
      <c r="D914" s="147"/>
      <c r="E914" s="147"/>
      <c r="F914" s="147"/>
      <c r="G914" s="147"/>
      <c r="H914" s="147"/>
    </row>
    <row r="915" spans="3:8" ht="14" x14ac:dyDescent="0.2">
      <c r="C915" s="147"/>
      <c r="D915" s="147"/>
      <c r="E915" s="147"/>
      <c r="F915" s="147"/>
      <c r="G915" s="147"/>
      <c r="H915" s="147"/>
    </row>
    <row r="916" spans="3:8" ht="14" x14ac:dyDescent="0.2">
      <c r="C916" s="147"/>
      <c r="D916" s="147"/>
      <c r="E916" s="147"/>
      <c r="F916" s="147"/>
      <c r="G916" s="147"/>
      <c r="H916" s="147"/>
    </row>
    <row r="917" spans="3:8" ht="14" x14ac:dyDescent="0.2">
      <c r="C917" s="147"/>
      <c r="D917" s="147"/>
      <c r="E917" s="147"/>
      <c r="F917" s="147"/>
      <c r="G917" s="147"/>
      <c r="H917" s="147"/>
    </row>
    <row r="918" spans="3:8" ht="14" x14ac:dyDescent="0.2">
      <c r="C918" s="147"/>
      <c r="D918" s="147"/>
      <c r="E918" s="147"/>
      <c r="F918" s="147"/>
      <c r="G918" s="147"/>
      <c r="H918" s="147"/>
    </row>
    <row r="919" spans="3:8" ht="14" x14ac:dyDescent="0.2">
      <c r="C919" s="147"/>
      <c r="D919" s="147"/>
      <c r="E919" s="147"/>
      <c r="F919" s="147"/>
      <c r="G919" s="147"/>
      <c r="H919" s="147"/>
    </row>
    <row r="920" spans="3:8" ht="14" x14ac:dyDescent="0.2">
      <c r="C920" s="147"/>
      <c r="D920" s="147"/>
      <c r="E920" s="147"/>
      <c r="F920" s="147"/>
      <c r="G920" s="147"/>
      <c r="H920" s="147"/>
    </row>
    <row r="921" spans="3:8" ht="14" x14ac:dyDescent="0.2">
      <c r="C921" s="147"/>
      <c r="D921" s="147"/>
      <c r="E921" s="147"/>
      <c r="F921" s="147"/>
      <c r="G921" s="147"/>
      <c r="H921" s="147"/>
    </row>
    <row r="922" spans="3:8" ht="14" x14ac:dyDescent="0.2">
      <c r="C922" s="147"/>
      <c r="D922" s="147"/>
      <c r="E922" s="147"/>
      <c r="F922" s="147"/>
      <c r="G922" s="147"/>
      <c r="H922" s="147"/>
    </row>
    <row r="923" spans="3:8" ht="14" x14ac:dyDescent="0.2">
      <c r="C923" s="147"/>
      <c r="D923" s="147"/>
      <c r="E923" s="147"/>
      <c r="F923" s="147"/>
      <c r="G923" s="147"/>
      <c r="H923" s="147"/>
    </row>
    <row r="924" spans="3:8" ht="14" x14ac:dyDescent="0.2">
      <c r="C924" s="147"/>
      <c r="D924" s="147"/>
      <c r="E924" s="147"/>
      <c r="F924" s="147"/>
      <c r="G924" s="147"/>
      <c r="H924" s="147"/>
    </row>
    <row r="925" spans="3:8" ht="14" x14ac:dyDescent="0.2">
      <c r="C925" s="147"/>
      <c r="D925" s="147"/>
      <c r="E925" s="147"/>
      <c r="F925" s="147"/>
      <c r="G925" s="147"/>
      <c r="H925" s="147"/>
    </row>
    <row r="926" spans="3:8" ht="14" x14ac:dyDescent="0.2">
      <c r="C926" s="147"/>
      <c r="D926" s="147"/>
      <c r="E926" s="147"/>
      <c r="F926" s="147"/>
      <c r="G926" s="147"/>
      <c r="H926" s="147"/>
    </row>
    <row r="927" spans="3:8" ht="14" x14ac:dyDescent="0.2">
      <c r="C927" s="147"/>
      <c r="D927" s="147"/>
      <c r="E927" s="147"/>
      <c r="F927" s="147"/>
      <c r="G927" s="147"/>
      <c r="H927" s="147"/>
    </row>
    <row r="928" spans="3:8" ht="14" x14ac:dyDescent="0.2">
      <c r="C928" s="147"/>
      <c r="D928" s="147"/>
      <c r="E928" s="147"/>
      <c r="F928" s="147"/>
      <c r="G928" s="147"/>
      <c r="H928" s="147"/>
    </row>
    <row r="929" spans="3:8" ht="14" x14ac:dyDescent="0.2">
      <c r="C929" s="147"/>
      <c r="D929" s="147"/>
      <c r="E929" s="147"/>
      <c r="F929" s="147"/>
      <c r="G929" s="147"/>
      <c r="H929" s="147"/>
    </row>
    <row r="930" spans="3:8" ht="14" x14ac:dyDescent="0.2">
      <c r="C930" s="147"/>
      <c r="D930" s="147"/>
      <c r="E930" s="147"/>
      <c r="F930" s="147"/>
      <c r="G930" s="147"/>
      <c r="H930" s="147"/>
    </row>
    <row r="931" spans="3:8" ht="14" x14ac:dyDescent="0.2">
      <c r="C931" s="147"/>
      <c r="D931" s="147"/>
      <c r="E931" s="147"/>
      <c r="F931" s="147"/>
      <c r="G931" s="147"/>
      <c r="H931" s="147"/>
    </row>
    <row r="932" spans="3:8" ht="14" x14ac:dyDescent="0.2">
      <c r="C932" s="147"/>
      <c r="D932" s="147"/>
      <c r="E932" s="147"/>
      <c r="F932" s="147"/>
      <c r="G932" s="147"/>
      <c r="H932" s="147"/>
    </row>
    <row r="933" spans="3:8" ht="14" x14ac:dyDescent="0.2">
      <c r="C933" s="147"/>
      <c r="D933" s="147"/>
      <c r="E933" s="147"/>
      <c r="F933" s="147"/>
      <c r="G933" s="147"/>
      <c r="H933" s="147"/>
    </row>
    <row r="934" spans="3:8" ht="14" x14ac:dyDescent="0.2">
      <c r="C934" s="147"/>
      <c r="D934" s="147"/>
      <c r="E934" s="147"/>
      <c r="F934" s="147"/>
      <c r="G934" s="147"/>
      <c r="H934" s="147"/>
    </row>
    <row r="935" spans="3:8" ht="14" x14ac:dyDescent="0.2">
      <c r="C935" s="147"/>
      <c r="D935" s="147"/>
      <c r="E935" s="147"/>
      <c r="F935" s="147"/>
      <c r="G935" s="147"/>
      <c r="H935" s="147"/>
    </row>
    <row r="936" spans="3:8" ht="14" x14ac:dyDescent="0.2">
      <c r="C936" s="147"/>
      <c r="D936" s="147"/>
      <c r="E936" s="147"/>
      <c r="F936" s="147"/>
      <c r="G936" s="147"/>
      <c r="H936" s="147"/>
    </row>
    <row r="937" spans="3:8" ht="14" x14ac:dyDescent="0.2">
      <c r="C937" s="147"/>
      <c r="D937" s="147"/>
      <c r="E937" s="147"/>
      <c r="F937" s="147"/>
      <c r="G937" s="147"/>
      <c r="H937" s="147"/>
    </row>
    <row r="938" spans="3:8" ht="14" x14ac:dyDescent="0.2">
      <c r="C938" s="147"/>
      <c r="D938" s="147"/>
      <c r="E938" s="147"/>
      <c r="F938" s="147"/>
      <c r="G938" s="147"/>
      <c r="H938" s="147"/>
    </row>
    <row r="939" spans="3:8" ht="14" x14ac:dyDescent="0.2">
      <c r="C939" s="147"/>
      <c r="D939" s="147"/>
      <c r="E939" s="147"/>
      <c r="F939" s="147"/>
      <c r="G939" s="147"/>
      <c r="H939" s="147"/>
    </row>
    <row r="940" spans="3:8" ht="14" x14ac:dyDescent="0.2">
      <c r="C940" s="147"/>
      <c r="D940" s="147"/>
      <c r="E940" s="147"/>
      <c r="F940" s="147"/>
      <c r="G940" s="147"/>
      <c r="H940" s="147"/>
    </row>
    <row r="941" spans="3:8" ht="14" x14ac:dyDescent="0.2">
      <c r="C941" s="147"/>
      <c r="D941" s="147"/>
      <c r="E941" s="147"/>
      <c r="F941" s="147"/>
      <c r="G941" s="147"/>
      <c r="H941" s="147"/>
    </row>
    <row r="942" spans="3:8" ht="14" x14ac:dyDescent="0.2">
      <c r="C942" s="147"/>
      <c r="D942" s="147"/>
      <c r="E942" s="147"/>
      <c r="F942" s="147"/>
      <c r="G942" s="147"/>
      <c r="H942" s="147"/>
    </row>
    <row r="943" spans="3:8" ht="14" x14ac:dyDescent="0.2">
      <c r="C943" s="147"/>
      <c r="D943" s="147"/>
      <c r="E943" s="147"/>
      <c r="F943" s="147"/>
      <c r="G943" s="147"/>
      <c r="H943" s="147"/>
    </row>
    <row r="944" spans="3:8" ht="14" x14ac:dyDescent="0.2">
      <c r="C944" s="147"/>
      <c r="D944" s="147"/>
      <c r="E944" s="147"/>
      <c r="F944" s="147"/>
      <c r="G944" s="147"/>
      <c r="H944" s="147"/>
    </row>
    <row r="945" spans="3:8" ht="14" x14ac:dyDescent="0.2">
      <c r="C945" s="147"/>
      <c r="D945" s="147"/>
      <c r="E945" s="147"/>
      <c r="F945" s="147"/>
      <c r="G945" s="147"/>
      <c r="H945" s="147"/>
    </row>
    <row r="946" spans="3:8" ht="14" x14ac:dyDescent="0.2">
      <c r="C946" s="147"/>
      <c r="D946" s="147"/>
      <c r="E946" s="147"/>
      <c r="F946" s="147"/>
      <c r="G946" s="147"/>
      <c r="H946" s="147"/>
    </row>
    <row r="947" spans="3:8" ht="14" x14ac:dyDescent="0.2">
      <c r="C947" s="147"/>
      <c r="D947" s="147"/>
      <c r="E947" s="147"/>
      <c r="F947" s="147"/>
      <c r="G947" s="147"/>
      <c r="H947" s="147"/>
    </row>
    <row r="948" spans="3:8" ht="14" x14ac:dyDescent="0.2">
      <c r="C948" s="147"/>
      <c r="D948" s="147"/>
      <c r="E948" s="147"/>
      <c r="F948" s="147"/>
      <c r="G948" s="147"/>
      <c r="H948" s="147"/>
    </row>
    <row r="949" spans="3:8" ht="14" x14ac:dyDescent="0.2">
      <c r="C949" s="147"/>
      <c r="D949" s="147"/>
      <c r="E949" s="147"/>
      <c r="F949" s="147"/>
      <c r="G949" s="147"/>
      <c r="H949" s="147"/>
    </row>
    <row r="950" spans="3:8" ht="14" x14ac:dyDescent="0.2">
      <c r="C950" s="147"/>
      <c r="D950" s="147"/>
      <c r="E950" s="147"/>
      <c r="F950" s="147"/>
      <c r="G950" s="147"/>
      <c r="H950" s="147"/>
    </row>
    <row r="951" spans="3:8" ht="14" x14ac:dyDescent="0.2">
      <c r="C951" s="147"/>
      <c r="D951" s="147"/>
      <c r="E951" s="147"/>
      <c r="F951" s="147"/>
      <c r="G951" s="147"/>
      <c r="H951" s="147"/>
    </row>
    <row r="952" spans="3:8" ht="14" x14ac:dyDescent="0.2">
      <c r="C952" s="147"/>
      <c r="D952" s="147"/>
      <c r="E952" s="147"/>
      <c r="F952" s="147"/>
      <c r="G952" s="147"/>
      <c r="H952" s="147"/>
    </row>
    <row r="953" spans="3:8" ht="14" x14ac:dyDescent="0.2">
      <c r="C953" s="147"/>
      <c r="D953" s="147"/>
      <c r="E953" s="147"/>
      <c r="F953" s="147"/>
      <c r="G953" s="147"/>
      <c r="H953" s="147"/>
    </row>
    <row r="954" spans="3:8" ht="14" x14ac:dyDescent="0.2">
      <c r="C954" s="147"/>
      <c r="D954" s="147"/>
      <c r="E954" s="147"/>
      <c r="F954" s="147"/>
      <c r="G954" s="147"/>
      <c r="H954" s="147"/>
    </row>
    <row r="955" spans="3:8" ht="14" x14ac:dyDescent="0.2">
      <c r="C955" s="147"/>
      <c r="D955" s="147"/>
      <c r="E955" s="147"/>
      <c r="F955" s="147"/>
      <c r="G955" s="147"/>
      <c r="H955" s="147"/>
    </row>
    <row r="956" spans="3:8" ht="14" x14ac:dyDescent="0.2">
      <c r="C956" s="147"/>
      <c r="D956" s="147"/>
      <c r="E956" s="147"/>
      <c r="F956" s="147"/>
      <c r="G956" s="147"/>
      <c r="H956" s="147"/>
    </row>
    <row r="957" spans="3:8" ht="14" x14ac:dyDescent="0.2">
      <c r="C957" s="147"/>
      <c r="D957" s="147"/>
      <c r="E957" s="147"/>
      <c r="F957" s="147"/>
      <c r="G957" s="147"/>
      <c r="H957" s="147"/>
    </row>
    <row r="958" spans="3:8" ht="14" x14ac:dyDescent="0.2">
      <c r="C958" s="147"/>
      <c r="D958" s="147"/>
      <c r="E958" s="147"/>
      <c r="F958" s="147"/>
      <c r="G958" s="147"/>
      <c r="H958" s="147"/>
    </row>
    <row r="959" spans="3:8" ht="14" x14ac:dyDescent="0.2">
      <c r="C959" s="147"/>
      <c r="D959" s="147"/>
      <c r="E959" s="147"/>
      <c r="F959" s="147"/>
      <c r="G959" s="147"/>
      <c r="H959" s="147"/>
    </row>
    <row r="960" spans="3:8" ht="14" x14ac:dyDescent="0.2">
      <c r="C960" s="147"/>
      <c r="D960" s="147"/>
      <c r="E960" s="147"/>
      <c r="F960" s="147"/>
      <c r="G960" s="147"/>
      <c r="H960" s="147"/>
    </row>
    <row r="961" spans="3:8" ht="14" x14ac:dyDescent="0.2">
      <c r="C961" s="147"/>
      <c r="D961" s="147"/>
      <c r="E961" s="147"/>
      <c r="F961" s="147"/>
      <c r="G961" s="147"/>
      <c r="H961" s="147"/>
    </row>
    <row r="962" spans="3:8" ht="14" x14ac:dyDescent="0.2">
      <c r="C962" s="147"/>
      <c r="D962" s="147"/>
      <c r="E962" s="147"/>
      <c r="F962" s="147"/>
      <c r="G962" s="147"/>
      <c r="H962" s="147"/>
    </row>
    <row r="963" spans="3:8" ht="14" x14ac:dyDescent="0.2">
      <c r="C963" s="147"/>
      <c r="D963" s="147"/>
      <c r="E963" s="147"/>
      <c r="F963" s="147"/>
      <c r="G963" s="147"/>
      <c r="H963" s="147"/>
    </row>
    <row r="964" spans="3:8" ht="14" x14ac:dyDescent="0.2">
      <c r="C964" s="147"/>
      <c r="D964" s="147"/>
      <c r="E964" s="147"/>
      <c r="F964" s="147"/>
      <c r="G964" s="147"/>
      <c r="H964" s="147"/>
    </row>
    <row r="965" spans="3:8" ht="14" x14ac:dyDescent="0.2">
      <c r="C965" s="147"/>
      <c r="D965" s="147"/>
      <c r="E965" s="147"/>
      <c r="F965" s="147"/>
      <c r="G965" s="147"/>
      <c r="H965" s="147"/>
    </row>
    <row r="966" spans="3:8" ht="14" x14ac:dyDescent="0.2">
      <c r="C966" s="147"/>
      <c r="D966" s="147"/>
      <c r="E966" s="147"/>
      <c r="F966" s="147"/>
      <c r="G966" s="147"/>
      <c r="H966" s="147"/>
    </row>
    <row r="967" spans="3:8" ht="14" x14ac:dyDescent="0.2">
      <c r="C967" s="147"/>
      <c r="D967" s="147"/>
      <c r="E967" s="147"/>
      <c r="F967" s="147"/>
      <c r="G967" s="147"/>
      <c r="H967" s="147"/>
    </row>
    <row r="968" spans="3:8" ht="14" x14ac:dyDescent="0.2">
      <c r="C968" s="147"/>
      <c r="D968" s="147"/>
      <c r="E968" s="147"/>
      <c r="F968" s="147"/>
      <c r="G968" s="147"/>
      <c r="H968" s="147"/>
    </row>
    <row r="969" spans="3:8" ht="14" x14ac:dyDescent="0.2">
      <c r="C969" s="147"/>
      <c r="D969" s="147"/>
      <c r="E969" s="147"/>
      <c r="F969" s="147"/>
      <c r="G969" s="147"/>
      <c r="H969" s="147"/>
    </row>
    <row r="970" spans="3:8" ht="14" x14ac:dyDescent="0.2">
      <c r="C970" s="147"/>
      <c r="D970" s="147"/>
      <c r="E970" s="147"/>
      <c r="F970" s="147"/>
      <c r="G970" s="147"/>
      <c r="H970" s="147"/>
    </row>
    <row r="971" spans="3:8" ht="14" x14ac:dyDescent="0.2">
      <c r="C971" s="147"/>
      <c r="D971" s="147"/>
      <c r="E971" s="147"/>
      <c r="F971" s="147"/>
      <c r="G971" s="147"/>
      <c r="H971" s="147"/>
    </row>
    <row r="972" spans="3:8" ht="14" x14ac:dyDescent="0.2">
      <c r="C972" s="147"/>
      <c r="D972" s="147"/>
      <c r="E972" s="147"/>
      <c r="F972" s="147"/>
      <c r="G972" s="147"/>
      <c r="H972" s="147"/>
    </row>
    <row r="973" spans="3:8" ht="14" x14ac:dyDescent="0.2">
      <c r="C973" s="147"/>
      <c r="D973" s="147"/>
      <c r="E973" s="147"/>
      <c r="F973" s="147"/>
      <c r="G973" s="147"/>
      <c r="H973" s="147"/>
    </row>
    <row r="974" spans="3:8" ht="14" x14ac:dyDescent="0.2">
      <c r="C974" s="147"/>
      <c r="D974" s="147"/>
      <c r="E974" s="147"/>
      <c r="F974" s="147"/>
      <c r="G974" s="147"/>
      <c r="H974" s="147"/>
    </row>
    <row r="975" spans="3:8" ht="14" x14ac:dyDescent="0.2">
      <c r="C975" s="147"/>
      <c r="D975" s="147"/>
      <c r="E975" s="147"/>
      <c r="F975" s="147"/>
      <c r="G975" s="147"/>
      <c r="H975" s="147"/>
    </row>
    <row r="976" spans="3:8" ht="14" x14ac:dyDescent="0.2">
      <c r="C976" s="147"/>
      <c r="D976" s="147"/>
      <c r="E976" s="147"/>
      <c r="F976" s="147"/>
      <c r="G976" s="147"/>
      <c r="H976" s="147"/>
    </row>
    <row r="977" spans="3:8" ht="14" x14ac:dyDescent="0.2">
      <c r="C977" s="147"/>
      <c r="D977" s="147"/>
      <c r="E977" s="147"/>
      <c r="F977" s="147"/>
      <c r="G977" s="147"/>
      <c r="H977" s="147"/>
    </row>
    <row r="978" spans="3:8" ht="14" x14ac:dyDescent="0.2">
      <c r="C978" s="147"/>
      <c r="D978" s="147"/>
      <c r="E978" s="147"/>
      <c r="F978" s="147"/>
      <c r="G978" s="147"/>
      <c r="H978" s="147"/>
    </row>
    <row r="979" spans="3:8" ht="14" x14ac:dyDescent="0.2">
      <c r="C979" s="147"/>
      <c r="D979" s="147"/>
      <c r="E979" s="147"/>
      <c r="F979" s="147"/>
      <c r="G979" s="147"/>
      <c r="H979" s="147"/>
    </row>
    <row r="980" spans="3:8" ht="14" x14ac:dyDescent="0.2">
      <c r="C980" s="147"/>
      <c r="D980" s="147"/>
      <c r="E980" s="147"/>
      <c r="F980" s="147"/>
      <c r="G980" s="147"/>
      <c r="H980" s="147"/>
    </row>
    <row r="981" spans="3:8" ht="14" x14ac:dyDescent="0.2">
      <c r="C981" s="147"/>
      <c r="D981" s="147"/>
      <c r="E981" s="147"/>
      <c r="F981" s="147"/>
      <c r="G981" s="147"/>
      <c r="H981" s="147"/>
    </row>
    <row r="982" spans="3:8" ht="14" x14ac:dyDescent="0.2">
      <c r="C982" s="147"/>
      <c r="D982" s="147"/>
      <c r="E982" s="147"/>
      <c r="F982" s="147"/>
      <c r="G982" s="147"/>
      <c r="H982" s="147"/>
    </row>
    <row r="983" spans="3:8" ht="14" x14ac:dyDescent="0.2">
      <c r="C983" s="147"/>
      <c r="D983" s="147"/>
      <c r="E983" s="147"/>
      <c r="F983" s="147"/>
      <c r="G983" s="147"/>
      <c r="H983" s="147"/>
    </row>
    <row r="984" spans="3:8" ht="14" x14ac:dyDescent="0.2">
      <c r="C984" s="147"/>
      <c r="D984" s="147"/>
      <c r="E984" s="147"/>
      <c r="F984" s="147"/>
      <c r="G984" s="147"/>
      <c r="H984" s="147"/>
    </row>
    <row r="985" spans="3:8" ht="14" x14ac:dyDescent="0.2">
      <c r="C985" s="147"/>
      <c r="D985" s="147"/>
      <c r="E985" s="147"/>
      <c r="F985" s="147"/>
      <c r="G985" s="147"/>
      <c r="H985" s="147"/>
    </row>
    <row r="986" spans="3:8" ht="14" x14ac:dyDescent="0.2">
      <c r="C986" s="147"/>
      <c r="D986" s="147"/>
      <c r="E986" s="147"/>
      <c r="F986" s="147"/>
      <c r="G986" s="147"/>
      <c r="H986" s="147"/>
    </row>
    <row r="987" spans="3:8" ht="14" x14ac:dyDescent="0.2">
      <c r="C987" s="147"/>
      <c r="D987" s="147"/>
      <c r="E987" s="147"/>
      <c r="F987" s="147"/>
      <c r="G987" s="147"/>
      <c r="H987" s="147"/>
    </row>
    <row r="988" spans="3:8" ht="14" x14ac:dyDescent="0.2">
      <c r="C988" s="147"/>
      <c r="D988" s="147"/>
      <c r="E988" s="147"/>
      <c r="F988" s="147"/>
      <c r="G988" s="147"/>
      <c r="H988" s="147"/>
    </row>
    <row r="989" spans="3:8" ht="14" x14ac:dyDescent="0.2">
      <c r="C989" s="147"/>
      <c r="D989" s="147"/>
      <c r="E989" s="147"/>
      <c r="F989" s="147"/>
      <c r="G989" s="147"/>
      <c r="H989" s="147"/>
    </row>
    <row r="990" spans="3:8" ht="14" x14ac:dyDescent="0.2">
      <c r="C990" s="147"/>
      <c r="D990" s="147"/>
      <c r="E990" s="147"/>
      <c r="F990" s="147"/>
      <c r="G990" s="147"/>
      <c r="H990" s="147"/>
    </row>
    <row r="991" spans="3:8" ht="14" x14ac:dyDescent="0.2">
      <c r="C991" s="147"/>
      <c r="D991" s="147"/>
      <c r="E991" s="147"/>
      <c r="F991" s="147"/>
      <c r="G991" s="147"/>
      <c r="H991" s="147"/>
    </row>
    <row r="992" spans="3:8" ht="14" x14ac:dyDescent="0.2">
      <c r="C992" s="147"/>
      <c r="D992" s="147"/>
      <c r="E992" s="147"/>
      <c r="F992" s="147"/>
      <c r="G992" s="147"/>
      <c r="H992" s="147"/>
    </row>
    <row r="993" spans="3:8" ht="14" x14ac:dyDescent="0.2">
      <c r="C993" s="147"/>
      <c r="D993" s="147"/>
      <c r="E993" s="147"/>
      <c r="F993" s="147"/>
      <c r="G993" s="147"/>
      <c r="H993" s="147"/>
    </row>
    <row r="994" spans="3:8" ht="14" x14ac:dyDescent="0.2">
      <c r="C994" s="147"/>
      <c r="D994" s="147"/>
      <c r="E994" s="147"/>
      <c r="F994" s="147"/>
      <c r="G994" s="147"/>
      <c r="H994" s="147"/>
    </row>
    <row r="995" spans="3:8" ht="14" x14ac:dyDescent="0.2">
      <c r="C995" s="147"/>
      <c r="D995" s="147"/>
      <c r="E995" s="147"/>
      <c r="F995" s="147"/>
      <c r="G995" s="147"/>
      <c r="H995" s="147"/>
    </row>
    <row r="996" spans="3:8" ht="14" x14ac:dyDescent="0.2">
      <c r="C996" s="147"/>
      <c r="D996" s="147"/>
      <c r="E996" s="147"/>
      <c r="F996" s="147"/>
      <c r="G996" s="147"/>
      <c r="H996" s="147"/>
    </row>
    <row r="997" spans="3:8" ht="14" x14ac:dyDescent="0.2">
      <c r="C997" s="147"/>
      <c r="D997" s="147"/>
      <c r="E997" s="147"/>
      <c r="F997" s="147"/>
      <c r="G997" s="147"/>
      <c r="H997" s="147"/>
    </row>
  </sheetData>
  <mergeCells count="29">
    <mergeCell ref="A1:H1"/>
    <mergeCell ref="A3:B3"/>
    <mergeCell ref="A4:B4"/>
    <mergeCell ref="B5:C5"/>
    <mergeCell ref="B6:C6"/>
    <mergeCell ref="B21:C21"/>
    <mergeCell ref="B7:C7"/>
    <mergeCell ref="A10:B10"/>
    <mergeCell ref="B11:C11"/>
    <mergeCell ref="B12:C12"/>
    <mergeCell ref="B13:C13"/>
    <mergeCell ref="B14:C14"/>
    <mergeCell ref="B15:C15"/>
    <mergeCell ref="B16:C16"/>
    <mergeCell ref="B17:C17"/>
    <mergeCell ref="B18:C18"/>
    <mergeCell ref="B20:C20"/>
    <mergeCell ref="A43:B43"/>
    <mergeCell ref="A23:B23"/>
    <mergeCell ref="B24:C24"/>
    <mergeCell ref="B25:C25"/>
    <mergeCell ref="B26:C26"/>
    <mergeCell ref="A28:B28"/>
    <mergeCell ref="B29:C29"/>
    <mergeCell ref="B30:C30"/>
    <mergeCell ref="B31:C31"/>
    <mergeCell ref="B32:C32"/>
    <mergeCell ref="B33:C33"/>
    <mergeCell ref="B35:C35"/>
  </mergeCells>
  <pageMargins left="0.7" right="0.7" top="0.25" bottom="0.2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26F84-5D91-4FCA-BE1F-207996D5CDE7}">
  <sheetPr>
    <pageSetUpPr fitToPage="1"/>
  </sheetPr>
  <dimension ref="A1:U90"/>
  <sheetViews>
    <sheetView showGridLines="0" topLeftCell="A13" zoomScale="85" zoomScaleNormal="85" zoomScalePageLayoutView="85" workbookViewId="0">
      <selection activeCell="J64" sqref="J64"/>
    </sheetView>
  </sheetViews>
  <sheetFormatPr baseColWidth="10" defaultColWidth="11" defaultRowHeight="16" x14ac:dyDescent="0.2"/>
  <cols>
    <col min="1" max="1" width="1.6640625" customWidth="1"/>
    <col min="2" max="2" width="28" style="3" customWidth="1"/>
    <col min="3" max="3" width="11.83203125" customWidth="1"/>
    <col min="4" max="13" width="11" customWidth="1"/>
    <col min="14" max="14" width="12.6640625" customWidth="1"/>
    <col min="15" max="15" width="11" customWidth="1"/>
    <col min="16" max="16" width="10.6640625" customWidth="1"/>
    <col min="17" max="17" width="9.6640625" customWidth="1"/>
    <col min="18" max="18" width="8.33203125" customWidth="1"/>
  </cols>
  <sheetData>
    <row r="1" spans="2:19" ht="8" customHeight="1" x14ac:dyDescent="0.2"/>
    <row r="2" spans="2:19" ht="21" customHeight="1" x14ac:dyDescent="0.2">
      <c r="B2" s="236" t="s">
        <v>221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8"/>
      <c r="P2" t="s">
        <v>224</v>
      </c>
      <c r="R2" s="7"/>
    </row>
    <row r="3" spans="2:19" ht="18.75" customHeight="1" x14ac:dyDescent="0.2">
      <c r="B3" s="3" t="s">
        <v>219</v>
      </c>
      <c r="E3">
        <v>154</v>
      </c>
      <c r="F3">
        <v>171</v>
      </c>
      <c r="G3">
        <v>178</v>
      </c>
      <c r="H3">
        <v>180</v>
      </c>
      <c r="I3">
        <v>180</v>
      </c>
      <c r="P3">
        <v>6</v>
      </c>
    </row>
    <row r="4" spans="2:19" x14ac:dyDescent="0.2">
      <c r="B4" s="5" t="s">
        <v>34</v>
      </c>
      <c r="C4" s="109" t="s">
        <v>0</v>
      </c>
      <c r="D4" s="109" t="s">
        <v>1</v>
      </c>
      <c r="E4" s="109" t="s">
        <v>2</v>
      </c>
      <c r="F4" s="109" t="s">
        <v>3</v>
      </c>
      <c r="G4" s="109" t="s">
        <v>4</v>
      </c>
      <c r="H4" s="109" t="s">
        <v>36</v>
      </c>
      <c r="I4" s="109" t="s">
        <v>37</v>
      </c>
      <c r="J4" s="109" t="s">
        <v>5</v>
      </c>
      <c r="K4" s="109" t="s">
        <v>6</v>
      </c>
      <c r="L4" s="109" t="s">
        <v>7</v>
      </c>
      <c r="M4" s="109" t="s">
        <v>8</v>
      </c>
      <c r="N4" s="109" t="s">
        <v>9</v>
      </c>
      <c r="O4" s="5" t="s">
        <v>39</v>
      </c>
      <c r="P4" s="40" t="s">
        <v>183</v>
      </c>
      <c r="S4" s="3" t="s">
        <v>175</v>
      </c>
    </row>
    <row r="5" spans="2:19" x14ac:dyDescent="0.2">
      <c r="B5" s="11" t="s">
        <v>220</v>
      </c>
      <c r="C5" s="104">
        <v>1640</v>
      </c>
      <c r="D5" s="104">
        <f>440*70</f>
        <v>30800</v>
      </c>
      <c r="E5" s="104">
        <v>38055</v>
      </c>
      <c r="F5" s="104">
        <v>6612</v>
      </c>
      <c r="G5" s="104">
        <f>4265-58</f>
        <v>4207</v>
      </c>
      <c r="H5" s="104">
        <v>880</v>
      </c>
      <c r="I5" s="104">
        <v>342</v>
      </c>
      <c r="J5" s="104">
        <v>0</v>
      </c>
      <c r="K5" s="104">
        <v>0</v>
      </c>
      <c r="L5" s="104">
        <v>40</v>
      </c>
      <c r="M5" s="104">
        <v>0</v>
      </c>
      <c r="N5" s="104">
        <v>500.5</v>
      </c>
      <c r="O5" s="14">
        <f>SUM(C5:N5)</f>
        <v>83076.5</v>
      </c>
      <c r="P5" s="95">
        <f>180*440</f>
        <v>79200</v>
      </c>
      <c r="Q5" t="s">
        <v>174</v>
      </c>
      <c r="S5" s="95">
        <f>440*186</f>
        <v>81840</v>
      </c>
    </row>
    <row r="6" spans="2:19" x14ac:dyDescent="0.2">
      <c r="B6" s="11" t="s">
        <v>303</v>
      </c>
      <c r="C6" s="104">
        <v>0</v>
      </c>
      <c r="D6" s="104">
        <v>0</v>
      </c>
      <c r="E6" s="104">
        <v>0</v>
      </c>
      <c r="F6" s="104">
        <v>0</v>
      </c>
      <c r="G6" s="104">
        <v>0</v>
      </c>
      <c r="H6" s="104">
        <v>0</v>
      </c>
      <c r="I6" s="104">
        <v>0</v>
      </c>
      <c r="J6" s="104"/>
      <c r="K6" s="104"/>
      <c r="L6" s="104"/>
      <c r="M6" s="104"/>
      <c r="N6" s="104"/>
      <c r="O6" s="14">
        <f t="shared" ref="O6:O7" si="0">SUM(C6:N6)</f>
        <v>0</v>
      </c>
      <c r="P6" s="99"/>
    </row>
    <row r="7" spans="2:19" x14ac:dyDescent="0.2">
      <c r="B7" s="11" t="s">
        <v>167</v>
      </c>
      <c r="C7" s="104">
        <v>300</v>
      </c>
      <c r="D7" s="104">
        <v>150</v>
      </c>
      <c r="E7" s="104">
        <v>0</v>
      </c>
      <c r="F7" s="104">
        <v>150</v>
      </c>
      <c r="G7" s="104">
        <v>150</v>
      </c>
      <c r="H7" s="104">
        <v>0</v>
      </c>
      <c r="I7" s="104">
        <v>0</v>
      </c>
      <c r="J7" s="104">
        <v>0</v>
      </c>
      <c r="K7" s="104">
        <v>0</v>
      </c>
      <c r="L7" s="104">
        <v>0</v>
      </c>
      <c r="M7" s="104">
        <v>0</v>
      </c>
      <c r="N7" s="104">
        <v>150</v>
      </c>
      <c r="O7" s="14">
        <f t="shared" si="0"/>
        <v>900</v>
      </c>
      <c r="S7" s="95"/>
    </row>
    <row r="8" spans="2:19" x14ac:dyDescent="0.2">
      <c r="B8" s="12" t="s">
        <v>39</v>
      </c>
      <c r="C8" s="135">
        <f>SUM(C5:C7)</f>
        <v>1940</v>
      </c>
      <c r="D8" s="135">
        <f t="shared" ref="D8:O8" si="1">SUM(D5:D7)</f>
        <v>30950</v>
      </c>
      <c r="E8" s="135">
        <f t="shared" si="1"/>
        <v>38055</v>
      </c>
      <c r="F8" s="135">
        <f t="shared" si="1"/>
        <v>6762</v>
      </c>
      <c r="G8" s="135">
        <f t="shared" si="1"/>
        <v>4357</v>
      </c>
      <c r="H8" s="135">
        <f t="shared" si="1"/>
        <v>880</v>
      </c>
      <c r="I8" s="135">
        <f t="shared" si="1"/>
        <v>342</v>
      </c>
      <c r="J8" s="135">
        <f t="shared" si="1"/>
        <v>0</v>
      </c>
      <c r="K8" s="135">
        <f t="shared" si="1"/>
        <v>0</v>
      </c>
      <c r="L8" s="135">
        <f t="shared" si="1"/>
        <v>40</v>
      </c>
      <c r="M8" s="135">
        <f t="shared" si="1"/>
        <v>0</v>
      </c>
      <c r="N8" s="135">
        <f t="shared" si="1"/>
        <v>650.5</v>
      </c>
      <c r="O8" s="136">
        <f t="shared" si="1"/>
        <v>83976.5</v>
      </c>
      <c r="Q8" s="2">
        <f>O5-60.5</f>
        <v>83016</v>
      </c>
      <c r="R8" s="9"/>
    </row>
    <row r="9" spans="2:19" x14ac:dyDescent="0.2">
      <c r="B9" s="4" t="s">
        <v>92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2:19" x14ac:dyDescent="0.2">
      <c r="B10" s="11" t="s">
        <v>79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4">
        <f t="shared" ref="O10:O34" si="2">SUM(C10:N10)</f>
        <v>0</v>
      </c>
    </row>
    <row r="11" spans="2:19" x14ac:dyDescent="0.2">
      <c r="B11" s="11" t="s">
        <v>82</v>
      </c>
      <c r="C11" s="104"/>
      <c r="D11" s="104"/>
      <c r="E11" s="104"/>
      <c r="F11" s="104">
        <v>926</v>
      </c>
      <c r="G11" s="104">
        <v>1269</v>
      </c>
      <c r="H11" s="104"/>
      <c r="I11" s="104"/>
      <c r="J11" s="104"/>
      <c r="K11" s="104"/>
      <c r="L11" s="104"/>
      <c r="M11" s="104"/>
      <c r="N11" s="104"/>
      <c r="O11" s="14">
        <f t="shared" ref="O11:O19" si="3">SUM(C11:N11)</f>
        <v>2195</v>
      </c>
    </row>
    <row r="12" spans="2:19" x14ac:dyDescent="0.2">
      <c r="B12" s="11" t="s">
        <v>165</v>
      </c>
      <c r="C12" s="104"/>
      <c r="D12" s="104">
        <v>976.5</v>
      </c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4">
        <f t="shared" si="3"/>
        <v>976.5</v>
      </c>
    </row>
    <row r="13" spans="2:19" x14ac:dyDescent="0.2">
      <c r="B13" s="11" t="s">
        <v>301</v>
      </c>
      <c r="C13" s="104"/>
      <c r="D13" s="104"/>
      <c r="E13" s="104"/>
      <c r="F13" s="104"/>
      <c r="G13" s="104"/>
      <c r="H13" s="104"/>
      <c r="I13" s="104"/>
      <c r="J13" s="104">
        <v>100</v>
      </c>
      <c r="K13" s="104"/>
      <c r="L13" s="138"/>
      <c r="M13" s="104"/>
      <c r="N13" s="104"/>
      <c r="O13" s="14">
        <f t="shared" si="3"/>
        <v>100</v>
      </c>
    </row>
    <row r="14" spans="2:19" x14ac:dyDescent="0.2">
      <c r="B14" s="11" t="s">
        <v>14</v>
      </c>
      <c r="C14" s="104">
        <f>143.88+20.17</f>
        <v>164.05</v>
      </c>
      <c r="D14" s="104"/>
      <c r="E14" s="104"/>
      <c r="F14" s="104"/>
      <c r="G14" s="104">
        <v>119.88</v>
      </c>
      <c r="H14" s="104"/>
      <c r="I14" s="104"/>
      <c r="J14" s="104"/>
      <c r="K14" s="104"/>
      <c r="L14" s="138"/>
      <c r="M14" s="104"/>
      <c r="N14" s="104"/>
      <c r="O14" s="14">
        <f t="shared" si="3"/>
        <v>283.93</v>
      </c>
    </row>
    <row r="15" spans="2:19" x14ac:dyDescent="0.2">
      <c r="B15" s="11" t="s">
        <v>344</v>
      </c>
      <c r="C15" s="104"/>
      <c r="D15" s="104"/>
      <c r="E15" s="104"/>
      <c r="F15" s="104"/>
      <c r="G15" s="104"/>
      <c r="H15" s="104"/>
      <c r="I15" s="104"/>
      <c r="J15" s="104"/>
      <c r="K15" s="104"/>
      <c r="L15" s="138"/>
      <c r="M15" s="104"/>
      <c r="N15" s="104"/>
      <c r="O15" s="14">
        <f t="shared" si="3"/>
        <v>0</v>
      </c>
    </row>
    <row r="16" spans="2:19" x14ac:dyDescent="0.2">
      <c r="B16" s="11" t="s">
        <v>287</v>
      </c>
      <c r="C16" s="104"/>
      <c r="D16" s="104"/>
      <c r="E16" s="104"/>
      <c r="F16" s="104"/>
      <c r="G16" s="104"/>
      <c r="H16" s="104">
        <v>25.2</v>
      </c>
      <c r="I16" s="104"/>
      <c r="J16" s="104"/>
      <c r="K16" s="104"/>
      <c r="L16" s="138">
        <v>210</v>
      </c>
      <c r="M16" s="104"/>
      <c r="N16" s="104"/>
      <c r="O16" s="14">
        <f t="shared" si="3"/>
        <v>235.2</v>
      </c>
    </row>
    <row r="17" spans="2:19" x14ac:dyDescent="0.2">
      <c r="B17" s="11" t="s">
        <v>86</v>
      </c>
      <c r="C17" s="104">
        <f>53.51</f>
        <v>53.51</v>
      </c>
      <c r="D17" s="104"/>
      <c r="E17" s="104"/>
      <c r="F17" s="104"/>
      <c r="G17" s="104"/>
      <c r="H17" s="104"/>
      <c r="I17" s="104"/>
      <c r="J17" s="104">
        <v>214</v>
      </c>
      <c r="K17" s="104"/>
      <c r="L17" s="104"/>
      <c r="M17" s="104"/>
      <c r="N17" s="104"/>
      <c r="O17" s="14">
        <f>SUM(C17:N17)</f>
        <v>267.51</v>
      </c>
    </row>
    <row r="18" spans="2:19" x14ac:dyDescent="0.2">
      <c r="B18" s="11" t="s">
        <v>346</v>
      </c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4">
        <f t="shared" si="3"/>
        <v>0</v>
      </c>
    </row>
    <row r="19" spans="2:19" x14ac:dyDescent="0.2">
      <c r="B19" s="11" t="s">
        <v>218</v>
      </c>
      <c r="C19" s="104"/>
      <c r="D19" s="104"/>
      <c r="E19" s="104">
        <v>452</v>
      </c>
      <c r="F19" s="104"/>
      <c r="G19" s="104"/>
      <c r="H19" s="104"/>
      <c r="I19" s="104"/>
      <c r="J19" s="104"/>
      <c r="K19" s="104"/>
      <c r="L19" s="104"/>
      <c r="M19" s="104"/>
      <c r="N19" s="104"/>
      <c r="O19" s="14">
        <f t="shared" si="3"/>
        <v>452</v>
      </c>
    </row>
    <row r="20" spans="2:19" x14ac:dyDescent="0.2">
      <c r="B20" s="11" t="s">
        <v>348</v>
      </c>
      <c r="C20" s="104"/>
      <c r="D20" s="104"/>
      <c r="E20" s="104"/>
      <c r="F20" s="104"/>
      <c r="G20" s="104"/>
      <c r="H20" s="104"/>
      <c r="I20" s="104"/>
      <c r="J20" s="104"/>
      <c r="K20" s="104">
        <v>360</v>
      </c>
      <c r="L20" s="104"/>
      <c r="M20" s="104"/>
      <c r="N20" s="104"/>
      <c r="O20" s="14">
        <f t="shared" ref="O20" si="4">SUM(C20:N20)</f>
        <v>360</v>
      </c>
    </row>
    <row r="21" spans="2:19" x14ac:dyDescent="0.2">
      <c r="B21" s="11" t="s">
        <v>373</v>
      </c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>
        <v>938</v>
      </c>
      <c r="N21" s="104"/>
      <c r="O21" s="14">
        <f t="shared" ref="O21" si="5">SUM(C21:N21)</f>
        <v>938</v>
      </c>
    </row>
    <row r="22" spans="2:19" x14ac:dyDescent="0.2">
      <c r="B22" s="11" t="s">
        <v>15</v>
      </c>
      <c r="C22" s="104">
        <f>22.2+22.44+27.99+28.24+111.5+245.25+306.61+322.97</f>
        <v>1087.2</v>
      </c>
      <c r="D22" s="104">
        <v>1012.6</v>
      </c>
      <c r="E22" s="104">
        <f>245.37+21.92+22.32+27.99+28.13+111.56+297.05+323.14</f>
        <v>1077.48</v>
      </c>
      <c r="F22" s="104">
        <v>1065.08</v>
      </c>
      <c r="G22" s="104">
        <v>1048.6500000000001</v>
      </c>
      <c r="H22" s="104">
        <v>1000.75</v>
      </c>
      <c r="I22" s="104">
        <v>1077.1300000000001</v>
      </c>
      <c r="J22" s="104">
        <v>1307.55</v>
      </c>
      <c r="K22" s="104">
        <v>793.06</v>
      </c>
      <c r="L22" s="104">
        <v>1071.94</v>
      </c>
      <c r="M22" s="104">
        <v>1125.8599999999999</v>
      </c>
      <c r="N22" s="104">
        <v>1131.42</v>
      </c>
      <c r="O22" s="14">
        <f>SUM(C22:N22)</f>
        <v>12798.720000000001</v>
      </c>
    </row>
    <row r="23" spans="2:19" x14ac:dyDescent="0.2">
      <c r="B23" s="11" t="s">
        <v>180</v>
      </c>
      <c r="C23" s="104">
        <f>68.18+88.75</f>
        <v>156.93</v>
      </c>
      <c r="D23" s="104"/>
      <c r="E23" s="104">
        <f>75.25+81.5</f>
        <v>156.75</v>
      </c>
      <c r="F23" s="104"/>
      <c r="G23" s="104">
        <v>160.33000000000001</v>
      </c>
      <c r="H23" s="104">
        <v>87.77</v>
      </c>
      <c r="I23" s="104">
        <v>210.01</v>
      </c>
      <c r="J23" s="104"/>
      <c r="K23" s="104"/>
      <c r="L23" s="104">
        <f>83.99+89.61</f>
        <v>173.6</v>
      </c>
      <c r="M23" s="104"/>
      <c r="N23" s="104">
        <f>101.95+123.37+78.12</f>
        <v>303.44</v>
      </c>
      <c r="O23" s="14">
        <f>SUM(C23:N23)</f>
        <v>1248.83</v>
      </c>
    </row>
    <row r="24" spans="2:19" x14ac:dyDescent="0.2">
      <c r="B24" s="11" t="s">
        <v>12</v>
      </c>
      <c r="C24" s="104">
        <v>149.71</v>
      </c>
      <c r="D24" s="104">
        <v>85.24</v>
      </c>
      <c r="E24" s="104">
        <f>172.92+182.3</f>
        <v>355.22</v>
      </c>
      <c r="F24" s="104">
        <v>-172.92</v>
      </c>
      <c r="G24" s="104">
        <v>85.25</v>
      </c>
      <c r="H24" s="104">
        <v>85.25</v>
      </c>
      <c r="I24" s="104">
        <v>85.25</v>
      </c>
      <c r="J24" s="104">
        <v>85.2</v>
      </c>
      <c r="K24" s="104">
        <v>85.2</v>
      </c>
      <c r="L24" s="104">
        <v>85.2</v>
      </c>
      <c r="M24" s="104">
        <v>86.06</v>
      </c>
      <c r="N24" s="104">
        <v>86.06</v>
      </c>
      <c r="O24" s="14">
        <f>SUM(C24:N24)</f>
        <v>1100.7200000000003</v>
      </c>
    </row>
    <row r="25" spans="2:19" x14ac:dyDescent="0.2">
      <c r="B25" s="11" t="s">
        <v>356</v>
      </c>
      <c r="C25" s="104">
        <v>0</v>
      </c>
      <c r="D25" s="104">
        <v>5736.66</v>
      </c>
      <c r="E25" s="104">
        <v>45</v>
      </c>
      <c r="F25" s="104">
        <v>3701.11</v>
      </c>
      <c r="G25" s="104">
        <f>7402.2+7402.2</f>
        <v>14804.4</v>
      </c>
      <c r="H25" s="104">
        <f>7402.2</f>
        <v>7402.2</v>
      </c>
      <c r="I25" s="104">
        <f>3701.11+297.18</f>
        <v>3998.29</v>
      </c>
      <c r="J25" s="104">
        <v>2380.1999999999998</v>
      </c>
      <c r="K25" s="29"/>
      <c r="L25" s="104">
        <v>267.51</v>
      </c>
      <c r="M25" s="104"/>
      <c r="N25" s="104"/>
      <c r="O25" s="14">
        <f t="shared" si="2"/>
        <v>38335.369999999995</v>
      </c>
      <c r="P25" s="96">
        <v>36500</v>
      </c>
      <c r="Q25" s="41" t="s">
        <v>176</v>
      </c>
      <c r="R25" s="27">
        <f>-O25/'2022'!Q16</f>
        <v>1.3786150761170863</v>
      </c>
      <c r="S25" t="s">
        <v>210</v>
      </c>
    </row>
    <row r="26" spans="2:19" x14ac:dyDescent="0.2">
      <c r="B26" s="11" t="s">
        <v>226</v>
      </c>
      <c r="C26" s="104"/>
      <c r="D26" s="104"/>
      <c r="E26" s="104"/>
      <c r="F26" s="104"/>
      <c r="G26" s="29"/>
      <c r="H26" s="104">
        <f>2648.93</f>
        <v>2648.93</v>
      </c>
      <c r="I26" s="104">
        <f>583.1+209.04</f>
        <v>792.14</v>
      </c>
      <c r="J26" s="104"/>
      <c r="K26" s="104"/>
      <c r="L26" s="104"/>
      <c r="M26" s="104"/>
      <c r="N26" s="104"/>
      <c r="O26" s="14">
        <f t="shared" si="2"/>
        <v>3441.0699999999997</v>
      </c>
      <c r="P26" s="96" t="s">
        <v>181</v>
      </c>
      <c r="R26" s="27"/>
    </row>
    <row r="27" spans="2:19" x14ac:dyDescent="0.2">
      <c r="B27" s="11" t="s">
        <v>294</v>
      </c>
      <c r="C27" s="104">
        <v>1400</v>
      </c>
      <c r="D27" s="104">
        <v>1400</v>
      </c>
      <c r="E27" s="104">
        <v>1400</v>
      </c>
      <c r="F27" s="104">
        <v>1400</v>
      </c>
      <c r="G27" s="104">
        <v>1400</v>
      </c>
      <c r="H27" s="104"/>
      <c r="I27" s="104">
        <v>1400</v>
      </c>
      <c r="J27" s="104">
        <v>1400</v>
      </c>
      <c r="K27" s="104">
        <v>1800</v>
      </c>
      <c r="L27" s="104">
        <v>1400</v>
      </c>
      <c r="M27" s="104"/>
      <c r="N27" s="104">
        <v>4200</v>
      </c>
      <c r="O27" s="14">
        <f t="shared" ref="O27:O33" si="6">SUM(C27:N27)</f>
        <v>17200</v>
      </c>
      <c r="P27" s="96" t="s">
        <v>182</v>
      </c>
      <c r="Q27" s="41"/>
    </row>
    <row r="28" spans="2:19" x14ac:dyDescent="0.2">
      <c r="B28" s="11" t="s">
        <v>16</v>
      </c>
      <c r="C28" s="104"/>
      <c r="D28" s="104"/>
      <c r="E28" s="104"/>
      <c r="F28" s="104"/>
      <c r="G28" s="104"/>
      <c r="H28" s="104"/>
      <c r="I28" s="104"/>
      <c r="J28" s="104">
        <v>64.2</v>
      </c>
      <c r="K28" s="104"/>
      <c r="L28" s="104"/>
      <c r="M28" s="104"/>
      <c r="N28" s="104"/>
      <c r="O28" s="14">
        <f t="shared" si="6"/>
        <v>64.2</v>
      </c>
      <c r="P28" s="96">
        <f>12000*1.1</f>
        <v>13200.000000000002</v>
      </c>
      <c r="Q28" s="43" t="s">
        <v>184</v>
      </c>
    </row>
    <row r="29" spans="2:19" x14ac:dyDescent="0.2">
      <c r="B29" s="11" t="s">
        <v>225</v>
      </c>
      <c r="C29" s="104"/>
      <c r="D29" s="104"/>
      <c r="E29" s="104"/>
      <c r="F29" s="104">
        <v>115</v>
      </c>
      <c r="G29" s="104">
        <v>115</v>
      </c>
      <c r="H29" s="104">
        <v>230</v>
      </c>
      <c r="I29" s="104"/>
      <c r="J29" s="104">
        <v>115</v>
      </c>
      <c r="K29" s="104">
        <v>115</v>
      </c>
      <c r="L29" s="138">
        <v>115.5</v>
      </c>
      <c r="M29" s="104"/>
      <c r="N29" s="104"/>
      <c r="O29" s="14">
        <f t="shared" si="6"/>
        <v>805.5</v>
      </c>
      <c r="P29" s="96">
        <f>20000*1.1</f>
        <v>22000</v>
      </c>
      <c r="Q29" s="43" t="s">
        <v>184</v>
      </c>
    </row>
    <row r="30" spans="2:19" x14ac:dyDescent="0.2">
      <c r="B30" s="11" t="s">
        <v>179</v>
      </c>
      <c r="C30" s="104"/>
      <c r="D30" s="104"/>
      <c r="E30" s="104"/>
      <c r="F30" s="104"/>
      <c r="G30" s="104"/>
      <c r="H30" s="104">
        <f>190+29.31</f>
        <v>219.31</v>
      </c>
      <c r="I30" s="104">
        <f>2200+87</f>
        <v>2287</v>
      </c>
      <c r="J30" s="104">
        <v>233.77</v>
      </c>
      <c r="K30" s="104"/>
      <c r="L30" s="104">
        <v>-1751.8</v>
      </c>
      <c r="M30" s="104">
        <v>4337</v>
      </c>
      <c r="N30" s="104"/>
      <c r="O30" s="14">
        <f t="shared" si="6"/>
        <v>5325.28</v>
      </c>
      <c r="P30" s="96"/>
    </row>
    <row r="31" spans="2:19" x14ac:dyDescent="0.2">
      <c r="B31" s="11" t="s">
        <v>374</v>
      </c>
      <c r="C31" s="104"/>
      <c r="D31" s="104"/>
      <c r="E31" s="104">
        <f>175+5</f>
        <v>180</v>
      </c>
      <c r="F31" s="104"/>
      <c r="G31" s="104"/>
      <c r="H31" s="104"/>
      <c r="I31" s="104"/>
      <c r="J31" s="104">
        <f>345.5+95</f>
        <v>440.5</v>
      </c>
      <c r="K31" s="104"/>
      <c r="L31" s="104"/>
      <c r="M31" s="104"/>
      <c r="N31" s="104"/>
      <c r="O31" s="14">
        <f t="shared" si="6"/>
        <v>620.5</v>
      </c>
      <c r="P31" s="125"/>
      <c r="Q31" s="3"/>
      <c r="R31" s="3"/>
      <c r="S31" s="3"/>
    </row>
    <row r="32" spans="2:19" x14ac:dyDescent="0.2">
      <c r="B32" s="11" t="s">
        <v>20</v>
      </c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4">
        <f t="shared" si="6"/>
        <v>0</v>
      </c>
      <c r="P32" s="105"/>
      <c r="Q32" s="114"/>
      <c r="R32" s="106"/>
      <c r="S32" s="2"/>
    </row>
    <row r="33" spans="2:19" x14ac:dyDescent="0.2">
      <c r="B33" s="11" t="s">
        <v>83</v>
      </c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4">
        <f t="shared" si="6"/>
        <v>0</v>
      </c>
      <c r="P33" s="105"/>
      <c r="Q33" s="114"/>
      <c r="R33" s="106"/>
      <c r="S33" s="2"/>
    </row>
    <row r="34" spans="2:19" x14ac:dyDescent="0.2">
      <c r="B34" s="11" t="s">
        <v>24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38"/>
      <c r="M34" s="104"/>
      <c r="N34" s="104"/>
      <c r="O34" s="14">
        <f t="shared" si="2"/>
        <v>0</v>
      </c>
      <c r="P34" s="105"/>
      <c r="Q34" s="114"/>
      <c r="R34" s="106"/>
      <c r="S34" s="2"/>
    </row>
    <row r="35" spans="2:19" x14ac:dyDescent="0.2">
      <c r="B35" s="12" t="s">
        <v>95</v>
      </c>
      <c r="C35" s="127">
        <f t="shared" ref="C35:O35" si="7">SUM(C10:C34)</f>
        <v>3011.4</v>
      </c>
      <c r="D35" s="127">
        <f t="shared" si="7"/>
        <v>9211</v>
      </c>
      <c r="E35" s="127">
        <f>SUM(E10:E34)</f>
        <v>3666.45</v>
      </c>
      <c r="F35" s="127">
        <f t="shared" si="7"/>
        <v>7034.27</v>
      </c>
      <c r="G35" s="127">
        <f t="shared" si="7"/>
        <v>19002.509999999998</v>
      </c>
      <c r="H35" s="127">
        <f t="shared" si="7"/>
        <v>11699.41</v>
      </c>
      <c r="I35" s="127">
        <f t="shared" si="7"/>
        <v>9849.82</v>
      </c>
      <c r="J35" s="127">
        <f t="shared" si="7"/>
        <v>6340.42</v>
      </c>
      <c r="K35" s="127">
        <f t="shared" si="7"/>
        <v>3153.26</v>
      </c>
      <c r="L35" s="127">
        <f t="shared" si="7"/>
        <v>1571.95</v>
      </c>
      <c r="M35" s="127">
        <f t="shared" si="7"/>
        <v>6486.92</v>
      </c>
      <c r="N35" s="127">
        <f t="shared" si="7"/>
        <v>5720.92</v>
      </c>
      <c r="O35" s="128">
        <f t="shared" si="7"/>
        <v>86748.33</v>
      </c>
      <c r="P35" s="105"/>
      <c r="R35" s="106"/>
      <c r="S35" s="2"/>
    </row>
    <row r="36" spans="2:19" x14ac:dyDescent="0.2">
      <c r="B36" s="12" t="s">
        <v>171</v>
      </c>
      <c r="C36" s="135">
        <f t="shared" ref="C36:N36" si="8">C8-C35</f>
        <v>-1071.4000000000001</v>
      </c>
      <c r="D36" s="135">
        <f t="shared" si="8"/>
        <v>21739</v>
      </c>
      <c r="E36" s="135">
        <f t="shared" si="8"/>
        <v>34388.550000000003</v>
      </c>
      <c r="F36" s="135">
        <f t="shared" si="8"/>
        <v>-272.27000000000044</v>
      </c>
      <c r="G36" s="135">
        <f t="shared" si="8"/>
        <v>-14645.509999999998</v>
      </c>
      <c r="H36" s="135">
        <f t="shared" si="8"/>
        <v>-10819.41</v>
      </c>
      <c r="I36" s="135">
        <f t="shared" si="8"/>
        <v>-9507.82</v>
      </c>
      <c r="J36" s="135">
        <f t="shared" si="8"/>
        <v>-6340.42</v>
      </c>
      <c r="K36" s="135">
        <f t="shared" si="8"/>
        <v>-3153.26</v>
      </c>
      <c r="L36" s="135">
        <f t="shared" si="8"/>
        <v>-1531.95</v>
      </c>
      <c r="M36" s="135">
        <f t="shared" si="8"/>
        <v>-6486.92</v>
      </c>
      <c r="N36" s="135">
        <f t="shared" si="8"/>
        <v>-5070.42</v>
      </c>
      <c r="O36" s="136">
        <f>SUM(C36:N36)</f>
        <v>-2771.8299999999908</v>
      </c>
      <c r="P36" s="96"/>
      <c r="Q36" s="2"/>
      <c r="S36" s="2"/>
    </row>
    <row r="37" spans="2:19" x14ac:dyDescent="0.2">
      <c r="B37" s="12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39"/>
      <c r="P37" s="93"/>
    </row>
    <row r="38" spans="2:19" x14ac:dyDescent="0.2">
      <c r="B38" s="97" t="s">
        <v>173</v>
      </c>
      <c r="C38" s="135">
        <f>(B40+C8)-C35</f>
        <v>26690.55</v>
      </c>
      <c r="D38" s="135">
        <f>C38+D36</f>
        <v>48429.55</v>
      </c>
      <c r="E38" s="135">
        <f t="shared" ref="E38:N38" si="9">D38+E36</f>
        <v>82818.100000000006</v>
      </c>
      <c r="F38" s="135">
        <f t="shared" si="9"/>
        <v>82545.83</v>
      </c>
      <c r="G38" s="135">
        <f t="shared" si="9"/>
        <v>67900.320000000007</v>
      </c>
      <c r="H38" s="135">
        <f t="shared" si="9"/>
        <v>57080.91</v>
      </c>
      <c r="I38" s="135">
        <f t="shared" si="9"/>
        <v>47573.090000000004</v>
      </c>
      <c r="J38" s="135">
        <f t="shared" si="9"/>
        <v>41232.670000000006</v>
      </c>
      <c r="K38" s="135">
        <f t="shared" si="9"/>
        <v>38079.410000000003</v>
      </c>
      <c r="L38" s="135">
        <f t="shared" si="9"/>
        <v>36547.460000000006</v>
      </c>
      <c r="M38" s="135">
        <f t="shared" si="9"/>
        <v>30060.540000000008</v>
      </c>
      <c r="N38" s="135">
        <f t="shared" si="9"/>
        <v>24990.12000000001</v>
      </c>
    </row>
    <row r="39" spans="2:19" x14ac:dyDescent="0.2">
      <c r="B39" s="93" t="s">
        <v>304</v>
      </c>
      <c r="C39" s="112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"/>
    </row>
    <row r="40" spans="2:19" x14ac:dyDescent="0.2">
      <c r="B40" s="13">
        <f>'2022'!P34</f>
        <v>27761.95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"/>
    </row>
    <row r="41" spans="2:19" ht="16.5" hidden="1" customHeight="1" x14ac:dyDescent="0.2">
      <c r="B41" s="3" t="s">
        <v>197</v>
      </c>
      <c r="C41" s="112">
        <v>1453.51</v>
      </c>
      <c r="D41" s="112">
        <v>7136.66</v>
      </c>
      <c r="E41" s="112">
        <v>1620</v>
      </c>
      <c r="F41" s="112">
        <v>6027.11</v>
      </c>
      <c r="G41" s="112"/>
      <c r="H41" s="112"/>
      <c r="I41" s="112"/>
      <c r="J41" s="112"/>
      <c r="K41" s="112"/>
      <c r="L41" s="112"/>
      <c r="M41" s="112"/>
      <c r="N41" s="112"/>
      <c r="O41" s="2"/>
    </row>
    <row r="42" spans="2:19" hidden="1" x14ac:dyDescent="0.2">
      <c r="B42" s="3" t="s">
        <v>198</v>
      </c>
      <c r="C42" s="112">
        <v>1557.89</v>
      </c>
      <c r="D42" s="112">
        <v>2074.34</v>
      </c>
      <c r="E42" s="112">
        <v>2046.45</v>
      </c>
      <c r="F42" s="112">
        <v>1180.08</v>
      </c>
      <c r="G42" s="112"/>
      <c r="H42" s="112"/>
      <c r="I42" s="112"/>
      <c r="J42" s="112"/>
      <c r="K42" s="112"/>
      <c r="L42" s="112"/>
      <c r="M42" s="112"/>
      <c r="N42" s="112"/>
      <c r="P42" s="2"/>
    </row>
    <row r="43" spans="2:19" hidden="1" x14ac:dyDescent="0.2">
      <c r="B43" s="3" t="s">
        <v>199</v>
      </c>
      <c r="C43" s="112">
        <f>SUM(C41:C42)</f>
        <v>3011.4</v>
      </c>
      <c r="D43" s="112">
        <f>SUM(D41:D42)</f>
        <v>9211</v>
      </c>
      <c r="E43" s="112">
        <f>SUM(E41:E42)</f>
        <v>3666.45</v>
      </c>
      <c r="F43" s="112">
        <f>SUM(F41:F42)</f>
        <v>7207.19</v>
      </c>
      <c r="G43" s="112"/>
      <c r="H43" s="112"/>
      <c r="I43" s="112"/>
      <c r="J43" s="112"/>
      <c r="K43" s="112"/>
      <c r="L43" s="112"/>
      <c r="M43" s="112"/>
      <c r="N43" s="112"/>
    </row>
    <row r="44" spans="2:19" hidden="1" x14ac:dyDescent="0.2"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</row>
    <row r="45" spans="2:19" x14ac:dyDescent="0.2">
      <c r="B45" s="3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</row>
    <row r="46" spans="2:19" x14ac:dyDescent="0.2">
      <c r="C46" s="109" t="s">
        <v>0</v>
      </c>
      <c r="D46" s="109" t="s">
        <v>1</v>
      </c>
      <c r="E46" s="109" t="s">
        <v>2</v>
      </c>
      <c r="F46" s="109" t="s">
        <v>3</v>
      </c>
      <c r="G46" s="109" t="s">
        <v>4</v>
      </c>
      <c r="H46" s="109" t="s">
        <v>36</v>
      </c>
      <c r="I46" s="109" t="s">
        <v>37</v>
      </c>
      <c r="J46" s="109" t="s">
        <v>5</v>
      </c>
      <c r="K46" s="109" t="s">
        <v>6</v>
      </c>
      <c r="L46" s="109" t="s">
        <v>7</v>
      </c>
      <c r="M46" s="109" t="s">
        <v>8</v>
      </c>
      <c r="N46" s="109" t="s">
        <v>9</v>
      </c>
      <c r="O46" s="5" t="s">
        <v>39</v>
      </c>
    </row>
    <row r="47" spans="2:19" x14ac:dyDescent="0.2">
      <c r="B47" s="12" t="s">
        <v>203</v>
      </c>
      <c r="C47" s="127">
        <f>'2023 fixed'!C32</f>
        <v>-1274</v>
      </c>
      <c r="D47" s="127">
        <f>'2023 fixed'!D32</f>
        <v>25185</v>
      </c>
      <c r="E47" s="127">
        <f>'2023 fixed'!E32</f>
        <v>24620</v>
      </c>
      <c r="F47" s="127">
        <f>'2023 fixed'!F32</f>
        <v>210</v>
      </c>
      <c r="G47" s="127">
        <f>'2023 fixed'!G32</f>
        <v>-13590</v>
      </c>
      <c r="H47" s="127">
        <f>'2023 fixed'!H32</f>
        <v>-11920</v>
      </c>
      <c r="I47" s="127">
        <f>'2023 fixed'!I32</f>
        <v>-11950</v>
      </c>
      <c r="J47" s="127">
        <f>'2023 fixed'!J32</f>
        <v>-6640</v>
      </c>
      <c r="K47" s="127">
        <f>'2023 fixed'!K32</f>
        <v>-5291</v>
      </c>
      <c r="L47" s="127">
        <f>'2023 fixed'!L32</f>
        <v>-2840</v>
      </c>
      <c r="M47" s="127">
        <f>'2023 fixed'!M32</f>
        <v>-2870</v>
      </c>
      <c r="N47" s="127">
        <f>'2023 fixed'!N32</f>
        <v>-2440</v>
      </c>
      <c r="O47" s="128">
        <f>SUM(C47:N47)</f>
        <v>-8800</v>
      </c>
    </row>
    <row r="48" spans="2:19" x14ac:dyDescent="0.2">
      <c r="B48" s="3" t="s">
        <v>204</v>
      </c>
      <c r="C48" s="129">
        <f t="shared" ref="C48:J48" si="10">C36-C47</f>
        <v>202.59999999999991</v>
      </c>
      <c r="D48" s="129">
        <f t="shared" si="10"/>
        <v>-3446</v>
      </c>
      <c r="E48" s="129">
        <f t="shared" si="10"/>
        <v>9768.5500000000029</v>
      </c>
      <c r="F48" s="129">
        <f t="shared" si="10"/>
        <v>-482.27000000000044</v>
      </c>
      <c r="G48" s="129">
        <f t="shared" si="10"/>
        <v>-1055.5099999999984</v>
      </c>
      <c r="H48" s="129">
        <f t="shared" si="10"/>
        <v>1100.5900000000001</v>
      </c>
      <c r="I48" s="129">
        <f t="shared" si="10"/>
        <v>2442.1800000000003</v>
      </c>
      <c r="J48" s="129">
        <f t="shared" si="10"/>
        <v>299.57999999999993</v>
      </c>
      <c r="K48" s="129">
        <f t="shared" ref="K48:M48" si="11">K36-K47</f>
        <v>2137.7399999999998</v>
      </c>
      <c r="L48" s="129">
        <f t="shared" si="11"/>
        <v>1308.05</v>
      </c>
      <c r="M48" s="129">
        <f t="shared" si="11"/>
        <v>-3616.92</v>
      </c>
      <c r="N48" s="129">
        <f t="shared" ref="N48" si="12">N36-N47</f>
        <v>-2630.42</v>
      </c>
      <c r="O48" s="131">
        <f>SUM(C48:N48)</f>
        <v>6028.1700000000037</v>
      </c>
    </row>
    <row r="49" spans="1:21" x14ac:dyDescent="0.2">
      <c r="C49" s="113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</row>
    <row r="50" spans="1:21" x14ac:dyDescent="0.2">
      <c r="B50" s="4" t="s">
        <v>216</v>
      </c>
      <c r="C50" s="113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</row>
    <row r="51" spans="1:21" s="3" customFormat="1" x14ac:dyDescent="0.2">
      <c r="A51" s="41"/>
      <c r="B51" s="3" t="s">
        <v>211</v>
      </c>
      <c r="C51" s="126">
        <v>27761.759999999998</v>
      </c>
      <c r="D51" s="126">
        <f t="shared" ref="D51:N51" si="13">C56</f>
        <v>26690.359999999997</v>
      </c>
      <c r="E51" s="126">
        <f t="shared" si="13"/>
        <v>48429.36</v>
      </c>
      <c r="F51" s="126">
        <f t="shared" si="13"/>
        <v>82817.91</v>
      </c>
      <c r="G51" s="126">
        <f t="shared" si="13"/>
        <v>82545.64</v>
      </c>
      <c r="H51" s="126">
        <f t="shared" si="13"/>
        <v>67900.13</v>
      </c>
      <c r="I51" s="126">
        <f t="shared" si="13"/>
        <v>57080.72</v>
      </c>
      <c r="J51" s="126">
        <f t="shared" si="13"/>
        <v>47573.26</v>
      </c>
      <c r="K51" s="126">
        <f t="shared" si="13"/>
        <v>41232.840000000004</v>
      </c>
      <c r="L51" s="126">
        <f t="shared" si="13"/>
        <v>38079.58</v>
      </c>
      <c r="M51" s="126">
        <f t="shared" si="13"/>
        <v>36547.630000000005</v>
      </c>
      <c r="N51" s="126">
        <f t="shared" si="13"/>
        <v>30060.710000000006</v>
      </c>
      <c r="O51" s="132"/>
      <c r="P51"/>
      <c r="Q51"/>
      <c r="R51"/>
      <c r="S51"/>
      <c r="T51"/>
      <c r="U51"/>
    </row>
    <row r="52" spans="1:21" x14ac:dyDescent="0.2">
      <c r="B52" s="3" t="s">
        <v>213</v>
      </c>
      <c r="C52" s="141">
        <v>1453.51</v>
      </c>
      <c r="D52" s="141">
        <v>7136.66</v>
      </c>
      <c r="E52" s="141">
        <v>1620</v>
      </c>
      <c r="F52" s="141">
        <f>F41</f>
        <v>6027.11</v>
      </c>
      <c r="G52" s="141">
        <v>17531.400000000001</v>
      </c>
      <c r="H52" s="141">
        <v>10270.44</v>
      </c>
      <c r="I52" s="141">
        <v>8268.0300000000007</v>
      </c>
      <c r="J52" s="141">
        <v>4498.8999999999996</v>
      </c>
      <c r="K52" s="141">
        <v>2160</v>
      </c>
      <c r="L52" s="141">
        <v>1877.51</v>
      </c>
      <c r="M52" s="141">
        <v>5275</v>
      </c>
      <c r="N52" s="141">
        <v>4200</v>
      </c>
      <c r="O52" s="142"/>
    </row>
    <row r="53" spans="1:21" x14ac:dyDescent="0.2">
      <c r="B53" s="3" t="s">
        <v>212</v>
      </c>
      <c r="C53" s="141">
        <v>1557.89</v>
      </c>
      <c r="D53" s="141">
        <v>2074.34</v>
      </c>
      <c r="E53" s="141">
        <v>2046.45</v>
      </c>
      <c r="F53" s="141">
        <v>1180.08</v>
      </c>
      <c r="G53" s="141">
        <v>1529.11</v>
      </c>
      <c r="H53" s="141">
        <v>1428.97</v>
      </c>
      <c r="I53" s="141">
        <v>1581.43</v>
      </c>
      <c r="J53" s="141">
        <v>1841.52</v>
      </c>
      <c r="K53" s="141">
        <v>993.26</v>
      </c>
      <c r="L53" s="141">
        <v>1446.24</v>
      </c>
      <c r="M53" s="141">
        <v>1211.92</v>
      </c>
      <c r="N53" s="141">
        <v>1520.92</v>
      </c>
      <c r="O53" s="142"/>
    </row>
    <row r="54" spans="1:21" x14ac:dyDescent="0.2"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4"/>
    </row>
    <row r="55" spans="1:21" x14ac:dyDescent="0.2">
      <c r="B55" s="3" t="s">
        <v>214</v>
      </c>
      <c r="C55" s="133">
        <v>1940</v>
      </c>
      <c r="D55" s="133">
        <v>30950</v>
      </c>
      <c r="E55" s="133">
        <v>38055</v>
      </c>
      <c r="F55" s="133">
        <v>6934.92</v>
      </c>
      <c r="G55" s="133">
        <v>4415</v>
      </c>
      <c r="H55" s="133">
        <v>880</v>
      </c>
      <c r="I55" s="133">
        <v>342</v>
      </c>
      <c r="J55" s="133">
        <v>0</v>
      </c>
      <c r="K55" s="133">
        <v>0</v>
      </c>
      <c r="L55" s="133">
        <v>1791.8</v>
      </c>
      <c r="M55" s="133">
        <v>0</v>
      </c>
      <c r="N55" s="133">
        <v>650.5</v>
      </c>
      <c r="O55" s="134"/>
    </row>
    <row r="56" spans="1:21" ht="17" thickBot="1" x14ac:dyDescent="0.25">
      <c r="B56" s="3" t="s">
        <v>215</v>
      </c>
      <c r="C56" s="139">
        <f t="shared" ref="C56:M56" si="14">C51-(C52+C53)+C55</f>
        <v>26690.359999999997</v>
      </c>
      <c r="D56" s="139">
        <f t="shared" si="14"/>
        <v>48429.36</v>
      </c>
      <c r="E56" s="139">
        <f t="shared" si="14"/>
        <v>82817.91</v>
      </c>
      <c r="F56" s="139">
        <f t="shared" si="14"/>
        <v>82545.64</v>
      </c>
      <c r="G56" s="139">
        <f t="shared" si="14"/>
        <v>67900.13</v>
      </c>
      <c r="H56" s="139">
        <f t="shared" si="14"/>
        <v>57080.72</v>
      </c>
      <c r="I56" s="139">
        <f t="shared" si="14"/>
        <v>47573.26</v>
      </c>
      <c r="J56" s="139">
        <f t="shared" si="14"/>
        <v>41232.840000000004</v>
      </c>
      <c r="K56" s="139">
        <f t="shared" si="14"/>
        <v>38079.58</v>
      </c>
      <c r="L56" s="139">
        <f t="shared" si="14"/>
        <v>36547.630000000005</v>
      </c>
      <c r="M56" s="139">
        <f t="shared" si="14"/>
        <v>30060.710000000006</v>
      </c>
      <c r="N56" s="139">
        <f t="shared" ref="N56" si="15">N51-(N52+N53)+N55</f>
        <v>24990.290000000008</v>
      </c>
      <c r="O56" s="134"/>
      <c r="P56" s="140"/>
    </row>
    <row r="57" spans="1:21" ht="17" thickTop="1" x14ac:dyDescent="0.2"/>
    <row r="58" spans="1:21" x14ac:dyDescent="0.2">
      <c r="B58" s="3" t="s">
        <v>217</v>
      </c>
      <c r="C58" s="130"/>
      <c r="D58" s="130"/>
      <c r="E58" s="132">
        <f>E52+E53</f>
        <v>3666.45</v>
      </c>
      <c r="F58" s="132">
        <f t="shared" ref="F58:J58" si="16">F52+F53</f>
        <v>7207.19</v>
      </c>
      <c r="G58" s="132">
        <f t="shared" si="16"/>
        <v>19060.510000000002</v>
      </c>
      <c r="H58" s="132">
        <f t="shared" si="16"/>
        <v>11699.41</v>
      </c>
      <c r="I58" s="132">
        <f t="shared" si="16"/>
        <v>9849.4600000000009</v>
      </c>
      <c r="J58" s="132">
        <f t="shared" si="16"/>
        <v>6340.42</v>
      </c>
      <c r="K58" s="132">
        <f t="shared" ref="K58:L58" si="17">K52+K53</f>
        <v>3153.26</v>
      </c>
      <c r="L58" s="132">
        <f t="shared" si="17"/>
        <v>3323.75</v>
      </c>
      <c r="M58" s="132">
        <f t="shared" ref="M58:N58" si="18">M52+M53</f>
        <v>6486.92</v>
      </c>
      <c r="N58" s="132">
        <f t="shared" si="18"/>
        <v>5720.92</v>
      </c>
      <c r="O58" s="130"/>
    </row>
    <row r="59" spans="1:21" x14ac:dyDescent="0.2">
      <c r="B59" s="3" t="s">
        <v>227</v>
      </c>
      <c r="C59" s="130"/>
      <c r="D59" s="130"/>
      <c r="E59" s="130"/>
      <c r="F59" s="130"/>
      <c r="G59" s="137">
        <f>G38-G56</f>
        <v>0.19000000000232831</v>
      </c>
      <c r="H59" s="137">
        <f t="shared" ref="H59:I59" si="19">H38-H56</f>
        <v>0.19000000000232831</v>
      </c>
      <c r="I59" s="137">
        <f t="shared" si="19"/>
        <v>-0.16999999999825377</v>
      </c>
      <c r="J59" s="137">
        <f t="shared" ref="J59:L59" si="20">J38-J56</f>
        <v>-0.16999999999825377</v>
      </c>
      <c r="K59" s="137">
        <f t="shared" si="20"/>
        <v>-0.16999999999825377</v>
      </c>
      <c r="L59" s="137">
        <f t="shared" si="20"/>
        <v>-0.16999999999825377</v>
      </c>
      <c r="M59" s="137">
        <f t="shared" ref="M59:N59" si="21">M38-M56</f>
        <v>-0.16999999999825377</v>
      </c>
      <c r="N59" s="137">
        <f t="shared" si="21"/>
        <v>-0.16999999999825377</v>
      </c>
      <c r="O59" s="130"/>
    </row>
    <row r="61" spans="1:21" x14ac:dyDescent="0.2">
      <c r="G61" s="2">
        <f>G38</f>
        <v>67900.320000000007</v>
      </c>
    </row>
    <row r="62" spans="1:21" x14ac:dyDescent="0.2">
      <c r="F62" t="s">
        <v>228</v>
      </c>
      <c r="G62" s="2">
        <v>7402</v>
      </c>
    </row>
    <row r="63" spans="1:21" x14ac:dyDescent="0.2">
      <c r="F63" t="s">
        <v>229</v>
      </c>
      <c r="G63" s="2">
        <f>G61+G62</f>
        <v>75302.320000000007</v>
      </c>
    </row>
    <row r="65" spans="1:15" x14ac:dyDescent="0.2">
      <c r="D65" s="51"/>
    </row>
    <row r="66" spans="1:15" x14ac:dyDescent="0.2">
      <c r="M66" s="10" t="s">
        <v>291</v>
      </c>
    </row>
    <row r="67" spans="1:15" x14ac:dyDescent="0.2">
      <c r="B67" s="3" t="s">
        <v>275</v>
      </c>
      <c r="C67" t="s">
        <v>288</v>
      </c>
      <c r="G67" s="2">
        <f>G38</f>
        <v>67900.320000000007</v>
      </c>
      <c r="H67" s="114">
        <f>H56</f>
        <v>57080.72</v>
      </c>
      <c r="M67" t="s">
        <v>292</v>
      </c>
      <c r="O67" s="2">
        <f>N38</f>
        <v>24990.12000000001</v>
      </c>
    </row>
    <row r="68" spans="1:15" x14ac:dyDescent="0.2">
      <c r="C68" s="119" t="s">
        <v>290</v>
      </c>
      <c r="G68" s="2"/>
      <c r="H68" s="114">
        <v>-1400</v>
      </c>
      <c r="O68" s="2"/>
    </row>
    <row r="69" spans="1:15" x14ac:dyDescent="0.2">
      <c r="B69" s="10"/>
      <c r="C69" t="s">
        <v>289</v>
      </c>
      <c r="G69" s="2">
        <f>'2023 fixed'!G34</f>
        <v>62912.95</v>
      </c>
      <c r="H69">
        <f>'2023 fixed'!H34</f>
        <v>50992.95</v>
      </c>
      <c r="M69" t="s">
        <v>293</v>
      </c>
      <c r="O69" s="2">
        <f>'2023 fixed'!N34</f>
        <v>18961.949999999997</v>
      </c>
    </row>
    <row r="70" spans="1:15" ht="17" thickBot="1" x14ac:dyDescent="0.25">
      <c r="B70" s="41"/>
      <c r="C70" s="120" t="s">
        <v>204</v>
      </c>
      <c r="D70" s="98"/>
      <c r="E70" s="98"/>
      <c r="F70" s="98"/>
      <c r="G70" s="120">
        <f>G67-G69</f>
        <v>4987.3700000000099</v>
      </c>
      <c r="H70" s="120">
        <f>+SUM(H67:H68)-H69</f>
        <v>4687.7700000000041</v>
      </c>
      <c r="M70" s="120" t="s">
        <v>204</v>
      </c>
      <c r="N70" s="120"/>
      <c r="O70" s="80">
        <f>O67-O69</f>
        <v>6028.1700000000128</v>
      </c>
    </row>
    <row r="71" spans="1:15" ht="17" thickTop="1" x14ac:dyDescent="0.2">
      <c r="B71" s="41"/>
      <c r="C71" s="39"/>
      <c r="G71" s="2"/>
      <c r="O71" s="2"/>
    </row>
    <row r="72" spans="1:15" x14ac:dyDescent="0.2">
      <c r="B72" s="41"/>
      <c r="C72" s="39" t="s">
        <v>277</v>
      </c>
      <c r="G72" s="2"/>
      <c r="M72" s="39" t="s">
        <v>277</v>
      </c>
      <c r="O72" s="2"/>
    </row>
    <row r="73" spans="1:15" x14ac:dyDescent="0.2">
      <c r="B73"/>
      <c r="C73" t="s">
        <v>276</v>
      </c>
      <c r="G73" s="2">
        <v>5300</v>
      </c>
      <c r="H73" s="2">
        <f>G73</f>
        <v>5300</v>
      </c>
      <c r="M73" t="s">
        <v>276</v>
      </c>
      <c r="O73" s="2">
        <v>5300</v>
      </c>
    </row>
    <row r="74" spans="1:15" x14ac:dyDescent="0.2">
      <c r="A74" s="38"/>
      <c r="B74" s="10"/>
      <c r="C74" t="s">
        <v>278</v>
      </c>
      <c r="G74" s="2">
        <v>2500</v>
      </c>
      <c r="H74" s="2"/>
      <c r="M74" t="s">
        <v>278</v>
      </c>
      <c r="O74" s="119">
        <f>O70-O73</f>
        <v>728.17000000001281</v>
      </c>
    </row>
    <row r="75" spans="1:15" ht="17" thickBot="1" x14ac:dyDescent="0.25">
      <c r="A75" s="40"/>
      <c r="B75" s="41"/>
      <c r="C75" s="10" t="s">
        <v>285</v>
      </c>
      <c r="E75" s="10"/>
      <c r="F75" s="10"/>
      <c r="G75" s="120">
        <f>SUM(G73:G74)</f>
        <v>7800</v>
      </c>
      <c r="H75" s="120">
        <f>SUM(H73:H74)</f>
        <v>5300</v>
      </c>
    </row>
    <row r="76" spans="1:15" ht="17" thickTop="1" x14ac:dyDescent="0.2">
      <c r="A76" s="40"/>
      <c r="B76" s="41"/>
      <c r="C76" s="119" t="s">
        <v>284</v>
      </c>
      <c r="G76" s="2"/>
    </row>
    <row r="77" spans="1:15" x14ac:dyDescent="0.2">
      <c r="A77" s="40"/>
      <c r="B77" s="41"/>
      <c r="C77" s="39"/>
    </row>
    <row r="78" spans="1:15" x14ac:dyDescent="0.2">
      <c r="A78" s="40"/>
      <c r="B78" s="41"/>
      <c r="C78" s="39"/>
    </row>
    <row r="79" spans="1:15" x14ac:dyDescent="0.2">
      <c r="A79" s="3"/>
    </row>
    <row r="80" spans="1:15" x14ac:dyDescent="0.2">
      <c r="A80" s="38"/>
    </row>
    <row r="81" spans="1:3" x14ac:dyDescent="0.2">
      <c r="A81" s="40"/>
      <c r="B81" s="3" t="s">
        <v>92</v>
      </c>
    </row>
    <row r="82" spans="1:3" x14ac:dyDescent="0.2">
      <c r="A82" s="40"/>
      <c r="B82" s="3" t="s">
        <v>280</v>
      </c>
      <c r="C82" s="2">
        <f>SUM(C35:G35)</f>
        <v>41925.629999999997</v>
      </c>
    </row>
    <row r="83" spans="1:3" x14ac:dyDescent="0.2">
      <c r="A83" s="40"/>
      <c r="B83" s="3" t="s">
        <v>282</v>
      </c>
      <c r="C83" s="2" t="e">
        <f>#REF!</f>
        <v>#REF!</v>
      </c>
    </row>
    <row r="84" spans="1:3" x14ac:dyDescent="0.2">
      <c r="A84" s="40"/>
      <c r="B84" s="3" t="s">
        <v>283</v>
      </c>
      <c r="C84" s="2" t="e">
        <f>C82-C83</f>
        <v>#REF!</v>
      </c>
    </row>
    <row r="85" spans="1:3" x14ac:dyDescent="0.2">
      <c r="A85" s="40"/>
      <c r="B85" s="3" t="s">
        <v>281</v>
      </c>
      <c r="C85" s="2">
        <f>SUM('2023 fixed'!C31:G31)</f>
        <v>40099</v>
      </c>
    </row>
    <row r="86" spans="1:3" x14ac:dyDescent="0.2">
      <c r="A86" s="40"/>
      <c r="B86" s="3" t="s">
        <v>204</v>
      </c>
      <c r="C86" s="2" t="e">
        <f>C84-C85</f>
        <v>#REF!</v>
      </c>
    </row>
    <row r="87" spans="1:3" x14ac:dyDescent="0.2">
      <c r="C87" s="2"/>
    </row>
    <row r="88" spans="1:3" x14ac:dyDescent="0.2">
      <c r="C88" s="2"/>
    </row>
    <row r="89" spans="1:3" x14ac:dyDescent="0.2">
      <c r="C89" s="2"/>
    </row>
    <row r="90" spans="1:3" x14ac:dyDescent="0.2">
      <c r="C90" s="2"/>
    </row>
  </sheetData>
  <mergeCells count="1">
    <mergeCell ref="B2:O2"/>
  </mergeCells>
  <pageMargins left="1" right="1" top="1" bottom="1" header="0.5" footer="0.5"/>
  <pageSetup paperSize="5" scale="36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4</vt:i4>
      </vt:variant>
    </vt:vector>
  </HeadingPairs>
  <TitlesOfParts>
    <vt:vector size="25" baseType="lpstr">
      <vt:lpstr>BUDGET 2016</vt:lpstr>
      <vt:lpstr>2025 Actual</vt:lpstr>
      <vt:lpstr>2024 Actual</vt:lpstr>
      <vt:lpstr>2024 Fixed</vt:lpstr>
      <vt:lpstr>YTD 2025</vt:lpstr>
      <vt:lpstr>YTD 2024 </vt:lpstr>
      <vt:lpstr>YTD 2024  (2)</vt:lpstr>
      <vt:lpstr>YTD 2023</vt:lpstr>
      <vt:lpstr>2023 actual</vt:lpstr>
      <vt:lpstr>2023 fixed</vt:lpstr>
      <vt:lpstr>PROJ 2023</vt:lpstr>
      <vt:lpstr>AquaTech</vt:lpstr>
      <vt:lpstr>Ann Ltr</vt:lpstr>
      <vt:lpstr>2022</vt:lpstr>
      <vt:lpstr>2021</vt:lpstr>
      <vt:lpstr>2020</vt:lpstr>
      <vt:lpstr>ACTUAL 2019</vt:lpstr>
      <vt:lpstr>Ann Calc</vt:lpstr>
      <vt:lpstr>Pivot</vt:lpstr>
      <vt:lpstr>Yr-Yr Exp Comp</vt:lpstr>
      <vt:lpstr>Balance Sheet</vt:lpstr>
      <vt:lpstr>'2022'!Print_Area</vt:lpstr>
      <vt:lpstr>'Ann Calc'!Print_Area</vt:lpstr>
      <vt:lpstr>'YTD 2024 '!Print_Area</vt:lpstr>
      <vt:lpstr>'YTD 2024 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Suzette Scott</dc:creator>
  <cp:lastModifiedBy>Samuel Diamont</cp:lastModifiedBy>
  <cp:lastPrinted>2025-01-20T22:42:19Z</cp:lastPrinted>
  <dcterms:created xsi:type="dcterms:W3CDTF">2013-10-26T17:03:17Z</dcterms:created>
  <dcterms:modified xsi:type="dcterms:W3CDTF">2025-01-22T11:23:39Z</dcterms:modified>
</cp:coreProperties>
</file>