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dd93274d65de6823/Desktop/"/>
    </mc:Choice>
  </mc:AlternateContent>
  <xr:revisionPtr revIDLastSave="1" documentId="8_{EF1AF463-D7E0-4E76-9533-9F44A403DB6D}" xr6:coauthVersionLast="47" xr6:coauthVersionMax="47" xr10:uidLastSave="{5215DAC3-5A4A-4F15-8846-89D1CA02BB6F}"/>
  <bookViews>
    <workbookView xWindow="-120" yWindow="-120" windowWidth="20730" windowHeight="11160" activeTab="4" xr2:uid="{00000000-000D-0000-FFFF-FFFF00000000}"/>
  </bookViews>
  <sheets>
    <sheet name="Instructions" sheetId="1" r:id="rId1"/>
    <sheet name="Your Categories" sheetId="2" r:id="rId2"/>
    <sheet name="EXAMPLE" sheetId="3" r:id="rId3"/>
    <sheet name="EXAMPLE Results" sheetId="4" r:id="rId4"/>
    <sheet name="KIDS" sheetId="5" r:id="rId5"/>
    <sheet name="Freestyle!" sheetId="6" r:id="rId6"/>
    <sheet name="Moustache" sheetId="7" r:id="rId7"/>
    <sheet name="Styled Stache" sheetId="8" r:id="rId8"/>
    <sheet name="FBSS!" sheetId="9" r:id="rId9"/>
    <sheet name="0-4" sheetId="10" r:id="rId10"/>
    <sheet name="4-8" sheetId="11" r:id="rId11"/>
    <sheet name="8-12" sheetId="12" r:id="rId12"/>
    <sheet name="over 12!" sheetId="13" r:id="rId13"/>
    <sheet name="Creative" sheetId="14" r:id="rId14"/>
    <sheet name="Realistic" sheetId="15" r:id="rId15"/>
    <sheet name="Whaler" sheetId="16" r:id="rId16"/>
    <sheet name="Chops" sheetId="17" r:id="rId17"/>
    <sheet name="Goatee under 10" sheetId="18" r:id="rId18"/>
    <sheet name="Goatee over 10" sheetId="19" r:id="rId19"/>
    <sheet name="h &amp; m" sheetId="20" r:id="rId20"/>
    <sheet name="Cat 17" sheetId="21" r:id="rId21"/>
    <sheet name="Cat 18" sheetId="22" r:id="rId22"/>
    <sheet name="Cat 19" sheetId="23" r:id="rId23"/>
    <sheet name="Cat 20" sheetId="24" r:id="rId24"/>
    <sheet name="AWARDS"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 i="16" l="1"/>
  <c r="C1" i="5"/>
  <c r="M5" i="17"/>
  <c r="C1" i="22"/>
  <c r="C1" i="21"/>
  <c r="C1" i="20"/>
  <c r="C1" i="19"/>
  <c r="C1" i="18"/>
  <c r="A134" i="25"/>
  <c r="C1" i="14"/>
  <c r="C1" i="13"/>
  <c r="A84" i="25"/>
  <c r="C1" i="12"/>
  <c r="A74" i="25"/>
  <c r="C1" i="11"/>
  <c r="C1" i="10"/>
  <c r="C1" i="9"/>
  <c r="A44" i="25"/>
  <c r="C1" i="8"/>
  <c r="A2" i="5"/>
  <c r="A4" i="25" s="1"/>
  <c r="A24" i="25"/>
  <c r="C1" i="7"/>
  <c r="C1" i="6"/>
  <c r="G5" i="18"/>
  <c r="G6" i="18"/>
  <c r="M5" i="15"/>
  <c r="M6" i="15"/>
  <c r="M7" i="15"/>
  <c r="M8" i="15"/>
  <c r="M8" i="10"/>
  <c r="M7" i="10"/>
  <c r="M6" i="10"/>
  <c r="M5" i="10"/>
  <c r="M5" i="8"/>
  <c r="M6" i="8"/>
  <c r="M7" i="8"/>
  <c r="M8" i="8"/>
  <c r="M9" i="8"/>
  <c r="M10" i="8"/>
  <c r="M11" i="8"/>
  <c r="N17" i="24"/>
  <c r="N16" i="24"/>
  <c r="N15" i="24"/>
  <c r="N14" i="24"/>
  <c r="N13" i="24"/>
  <c r="N12" i="24"/>
  <c r="N11" i="24"/>
  <c r="N10" i="24"/>
  <c r="N9" i="24"/>
  <c r="N8" i="24"/>
  <c r="N7" i="24"/>
  <c r="N6" i="24"/>
  <c r="N5" i="24"/>
  <c r="N17" i="23"/>
  <c r="N16" i="23"/>
  <c r="N15" i="23"/>
  <c r="N14" i="23"/>
  <c r="N13" i="23"/>
  <c r="N12" i="23"/>
  <c r="N11" i="23"/>
  <c r="N10" i="23"/>
  <c r="N9" i="23"/>
  <c r="N8" i="23"/>
  <c r="N7" i="23"/>
  <c r="N6" i="23"/>
  <c r="N5" i="23"/>
  <c r="N17" i="22"/>
  <c r="N16" i="22"/>
  <c r="N15" i="22"/>
  <c r="N14" i="22"/>
  <c r="N13" i="22"/>
  <c r="N12" i="22"/>
  <c r="N11" i="22"/>
  <c r="N10" i="22"/>
  <c r="N9" i="22"/>
  <c r="N8" i="22"/>
  <c r="N7" i="22"/>
  <c r="N6" i="22"/>
  <c r="N5" i="22"/>
  <c r="N17" i="21"/>
  <c r="N16" i="21"/>
  <c r="N15" i="21"/>
  <c r="N14" i="21"/>
  <c r="N13" i="21"/>
  <c r="N12" i="21"/>
  <c r="N11" i="21"/>
  <c r="N10" i="21"/>
  <c r="N9" i="21"/>
  <c r="N8" i="21"/>
  <c r="N7" i="21"/>
  <c r="N6" i="21"/>
  <c r="N5" i="21"/>
  <c r="N17" i="20"/>
  <c r="N16" i="20"/>
  <c r="N15" i="20"/>
  <c r="N14" i="20"/>
  <c r="N13" i="20"/>
  <c r="N12" i="20"/>
  <c r="N11" i="20"/>
  <c r="N10" i="20"/>
  <c r="N9" i="20"/>
  <c r="N8" i="20"/>
  <c r="N7" i="20"/>
  <c r="N6" i="20"/>
  <c r="N5" i="20"/>
  <c r="E202" i="25"/>
  <c r="E201" i="25"/>
  <c r="E200" i="25"/>
  <c r="E199" i="25"/>
  <c r="E198" i="25"/>
  <c r="E197" i="25"/>
  <c r="E196" i="25"/>
  <c r="E195" i="25"/>
  <c r="B195" i="25"/>
  <c r="E192" i="25"/>
  <c r="E191" i="25"/>
  <c r="E190" i="25"/>
  <c r="E189" i="25"/>
  <c r="D189" i="25"/>
  <c r="C189" i="25"/>
  <c r="B189" i="25"/>
  <c r="E188" i="25"/>
  <c r="D188" i="25"/>
  <c r="C188" i="25"/>
  <c r="B188" i="25"/>
  <c r="E187" i="25"/>
  <c r="D187" i="25"/>
  <c r="C187" i="25"/>
  <c r="B187" i="25"/>
  <c r="E186" i="25"/>
  <c r="D186" i="25"/>
  <c r="C186" i="25"/>
  <c r="B186" i="25"/>
  <c r="E185" i="25"/>
  <c r="D185" i="25"/>
  <c r="C185" i="25"/>
  <c r="B185" i="25"/>
  <c r="A184" i="25"/>
  <c r="E182" i="25"/>
  <c r="E181" i="25"/>
  <c r="E180" i="25"/>
  <c r="E179" i="25"/>
  <c r="E178" i="25"/>
  <c r="E177" i="25"/>
  <c r="E176" i="25"/>
  <c r="E175" i="25"/>
  <c r="B175" i="25"/>
  <c r="E172" i="25"/>
  <c r="E171" i="25"/>
  <c r="E170" i="25"/>
  <c r="E169" i="25"/>
  <c r="E168" i="25"/>
  <c r="E167" i="25"/>
  <c r="E166" i="25"/>
  <c r="E165" i="25"/>
  <c r="B165" i="25"/>
  <c r="A164" i="25"/>
  <c r="E162" i="25"/>
  <c r="E161" i="25"/>
  <c r="E160" i="25"/>
  <c r="E159" i="25"/>
  <c r="E158" i="25"/>
  <c r="E157" i="25"/>
  <c r="E156" i="25"/>
  <c r="E155" i="25"/>
  <c r="B155" i="25"/>
  <c r="E152" i="25"/>
  <c r="E151" i="25"/>
  <c r="E150" i="25"/>
  <c r="E149" i="25"/>
  <c r="E148" i="25"/>
  <c r="E147" i="25"/>
  <c r="B147" i="25"/>
  <c r="E146" i="25"/>
  <c r="B146" i="25"/>
  <c r="E145" i="25"/>
  <c r="B145" i="25"/>
  <c r="E142" i="25"/>
  <c r="E141" i="25"/>
  <c r="E140" i="25"/>
  <c r="E139" i="25"/>
  <c r="E138" i="25"/>
  <c r="E137" i="25"/>
  <c r="E136" i="25"/>
  <c r="D136" i="25"/>
  <c r="C136" i="25"/>
  <c r="B136" i="25"/>
  <c r="E135" i="25"/>
  <c r="D135" i="25"/>
  <c r="C135" i="25"/>
  <c r="B135" i="25"/>
  <c r="E132" i="25"/>
  <c r="C132" i="25"/>
  <c r="B132" i="25"/>
  <c r="E131" i="25"/>
  <c r="C131" i="25"/>
  <c r="B131" i="25"/>
  <c r="E130" i="25"/>
  <c r="D130" i="25"/>
  <c r="C130" i="25"/>
  <c r="B130" i="25"/>
  <c r="E129" i="25"/>
  <c r="D129" i="25"/>
  <c r="C129" i="25"/>
  <c r="B129" i="25"/>
  <c r="E128" i="25"/>
  <c r="D128" i="25"/>
  <c r="C128" i="25"/>
  <c r="B128" i="25"/>
  <c r="E127" i="25"/>
  <c r="D127" i="25"/>
  <c r="C127" i="25"/>
  <c r="B127" i="25"/>
  <c r="E126" i="25"/>
  <c r="D126" i="25"/>
  <c r="C126" i="25"/>
  <c r="B126" i="25"/>
  <c r="E125" i="25"/>
  <c r="D125" i="25"/>
  <c r="C125" i="25"/>
  <c r="B125" i="25"/>
  <c r="A124" i="25"/>
  <c r="E122" i="25"/>
  <c r="E121" i="25"/>
  <c r="E120" i="25"/>
  <c r="E119" i="25"/>
  <c r="D119" i="25"/>
  <c r="C119" i="25"/>
  <c r="B119" i="25"/>
  <c r="E118" i="25"/>
  <c r="D118" i="25"/>
  <c r="C118" i="25"/>
  <c r="B118" i="25"/>
  <c r="E117" i="25"/>
  <c r="D117" i="25"/>
  <c r="C117" i="25"/>
  <c r="B117" i="25"/>
  <c r="E116" i="25"/>
  <c r="D116" i="25"/>
  <c r="C116" i="25"/>
  <c r="B116" i="25"/>
  <c r="E115" i="25"/>
  <c r="D115" i="25"/>
  <c r="C115" i="25"/>
  <c r="B115" i="25"/>
  <c r="A114" i="25"/>
  <c r="E112" i="25"/>
  <c r="E111" i="25"/>
  <c r="E110" i="25"/>
  <c r="E109" i="25"/>
  <c r="E108" i="25"/>
  <c r="E107" i="25"/>
  <c r="D107" i="25"/>
  <c r="C107" i="25"/>
  <c r="B107" i="25"/>
  <c r="E106" i="25"/>
  <c r="C106" i="25"/>
  <c r="B106" i="25"/>
  <c r="E105" i="25"/>
  <c r="D105" i="25"/>
  <c r="C105" i="25"/>
  <c r="B105" i="25"/>
  <c r="A104" i="25"/>
  <c r="E102" i="25"/>
  <c r="E101" i="25"/>
  <c r="E100" i="25"/>
  <c r="E99" i="25"/>
  <c r="D99" i="25"/>
  <c r="C99" i="25"/>
  <c r="B99" i="25"/>
  <c r="E98" i="25"/>
  <c r="D98" i="25"/>
  <c r="C98" i="25"/>
  <c r="B98" i="25"/>
  <c r="E97" i="25"/>
  <c r="D97" i="25"/>
  <c r="C97" i="25"/>
  <c r="B97" i="25"/>
  <c r="E96" i="25"/>
  <c r="D96" i="25"/>
  <c r="C96" i="25"/>
  <c r="B96" i="25"/>
  <c r="E95" i="25"/>
  <c r="D95" i="25"/>
  <c r="C95" i="25"/>
  <c r="B95" i="25"/>
  <c r="A94" i="25"/>
  <c r="E92" i="25"/>
  <c r="E91" i="25"/>
  <c r="E90" i="25"/>
  <c r="E89" i="25"/>
  <c r="D89" i="25"/>
  <c r="C89" i="25"/>
  <c r="B89" i="25"/>
  <c r="E88" i="25"/>
  <c r="D88" i="25"/>
  <c r="C88" i="25"/>
  <c r="B88" i="25"/>
  <c r="E87" i="25"/>
  <c r="D87" i="25"/>
  <c r="C87" i="25"/>
  <c r="B87" i="25"/>
  <c r="E86" i="25"/>
  <c r="D86" i="25"/>
  <c r="C86" i="25"/>
  <c r="B86" i="25"/>
  <c r="E85" i="25"/>
  <c r="D85" i="25"/>
  <c r="C85" i="25"/>
  <c r="B85" i="25"/>
  <c r="E82" i="25"/>
  <c r="D82" i="25"/>
  <c r="C82" i="25"/>
  <c r="B82" i="25"/>
  <c r="E81" i="25"/>
  <c r="C81" i="25"/>
  <c r="B81" i="25"/>
  <c r="E80" i="25"/>
  <c r="D80" i="25"/>
  <c r="C80" i="25"/>
  <c r="B80" i="25"/>
  <c r="E79" i="25"/>
  <c r="C79" i="25"/>
  <c r="B79" i="25"/>
  <c r="E78" i="25"/>
  <c r="D78" i="25"/>
  <c r="C78" i="25"/>
  <c r="B78" i="25"/>
  <c r="E77" i="25"/>
  <c r="D77" i="25"/>
  <c r="C77" i="25"/>
  <c r="B77" i="25"/>
  <c r="E76" i="25"/>
  <c r="D76" i="25"/>
  <c r="C76" i="25"/>
  <c r="B76" i="25"/>
  <c r="E75" i="25"/>
  <c r="D75" i="25"/>
  <c r="C75" i="25"/>
  <c r="B75" i="25"/>
  <c r="E72" i="25"/>
  <c r="C72" i="25"/>
  <c r="B72" i="25"/>
  <c r="E71" i="25"/>
  <c r="C71" i="25"/>
  <c r="B71" i="25"/>
  <c r="E70" i="25"/>
  <c r="C70" i="25"/>
  <c r="B70" i="25"/>
  <c r="E69" i="25"/>
  <c r="D69" i="25"/>
  <c r="C69" i="25"/>
  <c r="B69" i="25"/>
  <c r="E68" i="25"/>
  <c r="C68" i="25"/>
  <c r="B68" i="25"/>
  <c r="E67" i="25"/>
  <c r="D67" i="25"/>
  <c r="C67" i="25"/>
  <c r="B67" i="25"/>
  <c r="E66" i="25"/>
  <c r="D66" i="25"/>
  <c r="C66" i="25"/>
  <c r="B66" i="25"/>
  <c r="E65" i="25"/>
  <c r="D65" i="25"/>
  <c r="C65" i="25"/>
  <c r="B65" i="25"/>
  <c r="A64" i="25"/>
  <c r="E62" i="25"/>
  <c r="E61" i="25"/>
  <c r="E60" i="25"/>
  <c r="E59" i="25"/>
  <c r="E58" i="25"/>
  <c r="E57" i="25"/>
  <c r="E56" i="25"/>
  <c r="C56" i="25"/>
  <c r="B56" i="25"/>
  <c r="E55" i="25"/>
  <c r="D55" i="25"/>
  <c r="C55" i="25"/>
  <c r="B55" i="25"/>
  <c r="A54" i="25"/>
  <c r="E52" i="25"/>
  <c r="E51" i="25"/>
  <c r="E50" i="25"/>
  <c r="E49" i="25"/>
  <c r="E48" i="25"/>
  <c r="D48" i="25"/>
  <c r="C48" i="25"/>
  <c r="B48" i="25"/>
  <c r="E47" i="25"/>
  <c r="D47" i="25"/>
  <c r="C47" i="25"/>
  <c r="B47" i="25"/>
  <c r="E46" i="25"/>
  <c r="D46" i="25"/>
  <c r="C46" i="25"/>
  <c r="B46" i="25"/>
  <c r="E45" i="25"/>
  <c r="D45" i="25"/>
  <c r="C45" i="25"/>
  <c r="B45" i="25"/>
  <c r="E42" i="25"/>
  <c r="E41" i="25"/>
  <c r="E40" i="25"/>
  <c r="E39" i="25"/>
  <c r="D39" i="25"/>
  <c r="C39" i="25"/>
  <c r="B39" i="25"/>
  <c r="E38" i="25"/>
  <c r="D38" i="25"/>
  <c r="C38" i="25"/>
  <c r="B38" i="25"/>
  <c r="E37" i="25"/>
  <c r="D37" i="25"/>
  <c r="C37" i="25"/>
  <c r="B37" i="25"/>
  <c r="E36" i="25"/>
  <c r="D36" i="25"/>
  <c r="C36" i="25"/>
  <c r="B36" i="25"/>
  <c r="E35" i="25"/>
  <c r="D35" i="25"/>
  <c r="C35" i="25"/>
  <c r="B35" i="25"/>
  <c r="A34" i="25"/>
  <c r="E32" i="25"/>
  <c r="D32" i="25"/>
  <c r="C32" i="25"/>
  <c r="B32" i="25"/>
  <c r="E31" i="25"/>
  <c r="D31" i="25"/>
  <c r="C31" i="25"/>
  <c r="B31" i="25"/>
  <c r="E30" i="25"/>
  <c r="D30" i="25"/>
  <c r="C30" i="25"/>
  <c r="B30" i="25"/>
  <c r="E29" i="25"/>
  <c r="D29" i="25"/>
  <c r="C29" i="25"/>
  <c r="B29" i="25"/>
  <c r="E28" i="25"/>
  <c r="D28" i="25"/>
  <c r="C28" i="25"/>
  <c r="B28" i="25"/>
  <c r="E27" i="25"/>
  <c r="C27" i="25"/>
  <c r="B27" i="25"/>
  <c r="E26" i="25"/>
  <c r="D26" i="25"/>
  <c r="C26" i="25"/>
  <c r="B26" i="25"/>
  <c r="E25" i="25"/>
  <c r="D25" i="25"/>
  <c r="C25" i="25"/>
  <c r="B25" i="25"/>
  <c r="E22" i="25"/>
  <c r="E21" i="25"/>
  <c r="E20" i="25"/>
  <c r="E19" i="25"/>
  <c r="E18" i="25"/>
  <c r="E17" i="25"/>
  <c r="D17" i="25"/>
  <c r="C17" i="25"/>
  <c r="B17" i="25"/>
  <c r="E16" i="25"/>
  <c r="D16" i="25"/>
  <c r="C16" i="25"/>
  <c r="B16" i="25"/>
  <c r="E15" i="25"/>
  <c r="D15" i="25"/>
  <c r="C15" i="25"/>
  <c r="B15" i="25"/>
  <c r="A14" i="25"/>
  <c r="E12" i="25"/>
  <c r="E11" i="25"/>
  <c r="E10" i="25"/>
  <c r="E9" i="25"/>
  <c r="E8" i="25"/>
  <c r="E7" i="25"/>
  <c r="D7" i="25"/>
  <c r="C7" i="25"/>
  <c r="B7" i="25"/>
  <c r="E6" i="25"/>
  <c r="D6" i="25"/>
  <c r="C6" i="25"/>
  <c r="B6" i="25"/>
  <c r="E5" i="25"/>
  <c r="D5" i="25"/>
  <c r="C5" i="25"/>
  <c r="B5" i="25"/>
  <c r="M54" i="24"/>
  <c r="G54" i="24"/>
  <c r="M53" i="24"/>
  <c r="G53" i="24"/>
  <c r="M52" i="24"/>
  <c r="G52" i="24"/>
  <c r="M51" i="24"/>
  <c r="G51" i="24"/>
  <c r="M50" i="24"/>
  <c r="G50" i="24"/>
  <c r="M49" i="24"/>
  <c r="G49" i="24"/>
  <c r="M48" i="24"/>
  <c r="G48" i="24"/>
  <c r="M47" i="24"/>
  <c r="G47" i="24"/>
  <c r="M46" i="24"/>
  <c r="G46" i="24"/>
  <c r="M45" i="24"/>
  <c r="G45" i="24"/>
  <c r="M44" i="24"/>
  <c r="G44" i="24"/>
  <c r="M43" i="24"/>
  <c r="G43" i="24"/>
  <c r="M42" i="24"/>
  <c r="G42" i="24"/>
  <c r="M41" i="24"/>
  <c r="G41" i="24"/>
  <c r="M40" i="24"/>
  <c r="G40" i="24"/>
  <c r="M39" i="24"/>
  <c r="G39" i="24"/>
  <c r="M38" i="24"/>
  <c r="G38" i="24"/>
  <c r="M37" i="24"/>
  <c r="G37" i="24"/>
  <c r="M36" i="24"/>
  <c r="G36" i="24"/>
  <c r="M35" i="24"/>
  <c r="G35" i="24"/>
  <c r="M34" i="24"/>
  <c r="G34" i="24"/>
  <c r="M33" i="24"/>
  <c r="G33" i="24"/>
  <c r="M32" i="24"/>
  <c r="G32" i="24"/>
  <c r="M31" i="24"/>
  <c r="G31" i="24"/>
  <c r="M30" i="24"/>
  <c r="G30" i="24"/>
  <c r="M29" i="24"/>
  <c r="G29" i="24"/>
  <c r="M28" i="24"/>
  <c r="G28" i="24"/>
  <c r="M27" i="24"/>
  <c r="G27" i="24"/>
  <c r="M26" i="24"/>
  <c r="G26" i="24"/>
  <c r="M25" i="24"/>
  <c r="G25" i="24"/>
  <c r="M24" i="24"/>
  <c r="G24" i="24"/>
  <c r="M23" i="24"/>
  <c r="G23" i="24"/>
  <c r="M22" i="24"/>
  <c r="G22" i="24"/>
  <c r="M21" i="24"/>
  <c r="G21" i="24"/>
  <c r="M20" i="24"/>
  <c r="G20" i="24"/>
  <c r="M19" i="24"/>
  <c r="G19" i="24"/>
  <c r="M18" i="24"/>
  <c r="G18" i="24"/>
  <c r="M17" i="24"/>
  <c r="G17" i="24"/>
  <c r="M16" i="24"/>
  <c r="G16" i="24"/>
  <c r="M15" i="24"/>
  <c r="G15" i="24"/>
  <c r="M14" i="24"/>
  <c r="G14" i="24"/>
  <c r="M13" i="24"/>
  <c r="G13" i="24"/>
  <c r="M12" i="24"/>
  <c r="G12" i="24"/>
  <c r="M11" i="24"/>
  <c r="G11" i="24"/>
  <c r="M10" i="24"/>
  <c r="G10" i="24"/>
  <c r="M9" i="24"/>
  <c r="G9" i="24"/>
  <c r="M8" i="24"/>
  <c r="G8" i="24"/>
  <c r="M7" i="24"/>
  <c r="G7" i="24"/>
  <c r="M6" i="24"/>
  <c r="G6" i="24"/>
  <c r="M5" i="24"/>
  <c r="G5" i="24"/>
  <c r="G4" i="24"/>
  <c r="A2" i="24"/>
  <c r="A194" i="25" s="1"/>
  <c r="C1" i="24"/>
  <c r="M54" i="23"/>
  <c r="G54" i="23"/>
  <c r="M53" i="23"/>
  <c r="G53" i="23"/>
  <c r="M52" i="23"/>
  <c r="G52" i="23"/>
  <c r="M51" i="23"/>
  <c r="G51" i="23"/>
  <c r="M50" i="23"/>
  <c r="G50" i="23"/>
  <c r="M49" i="23"/>
  <c r="G49" i="23"/>
  <c r="M48" i="23"/>
  <c r="G48" i="23"/>
  <c r="M47" i="23"/>
  <c r="G47" i="23"/>
  <c r="M46" i="23"/>
  <c r="G46" i="23"/>
  <c r="M45" i="23"/>
  <c r="G45" i="23"/>
  <c r="M44" i="23"/>
  <c r="G44" i="23"/>
  <c r="M43" i="23"/>
  <c r="G43" i="23"/>
  <c r="M42" i="23"/>
  <c r="G42" i="23"/>
  <c r="M41" i="23"/>
  <c r="G41" i="23"/>
  <c r="M40" i="23"/>
  <c r="G40" i="23"/>
  <c r="M39" i="23"/>
  <c r="G39" i="23"/>
  <c r="M38" i="23"/>
  <c r="G38" i="23"/>
  <c r="M37" i="23"/>
  <c r="G37" i="23"/>
  <c r="M36" i="23"/>
  <c r="G36" i="23"/>
  <c r="M35" i="23"/>
  <c r="G35" i="23"/>
  <c r="M34" i="23"/>
  <c r="G34" i="23"/>
  <c r="M33" i="23"/>
  <c r="G33" i="23"/>
  <c r="M32" i="23"/>
  <c r="G32" i="23"/>
  <c r="M31" i="23"/>
  <c r="G31" i="23"/>
  <c r="M30" i="23"/>
  <c r="G30" i="23"/>
  <c r="M29" i="23"/>
  <c r="G29" i="23"/>
  <c r="M28" i="23"/>
  <c r="G28" i="23"/>
  <c r="M27" i="23"/>
  <c r="G27" i="23"/>
  <c r="M26" i="23"/>
  <c r="G26" i="23"/>
  <c r="M25" i="23"/>
  <c r="G25" i="23"/>
  <c r="M24" i="23"/>
  <c r="G24" i="23"/>
  <c r="M23" i="23"/>
  <c r="G23" i="23"/>
  <c r="M22" i="23"/>
  <c r="G22" i="23"/>
  <c r="M21" i="23"/>
  <c r="G21" i="23"/>
  <c r="M20" i="23"/>
  <c r="G20" i="23"/>
  <c r="M19" i="23"/>
  <c r="G19" i="23"/>
  <c r="M18" i="23"/>
  <c r="G18" i="23"/>
  <c r="M17" i="23"/>
  <c r="G17" i="23"/>
  <c r="M16" i="23"/>
  <c r="G16" i="23"/>
  <c r="M15" i="23"/>
  <c r="G15" i="23"/>
  <c r="M14" i="23"/>
  <c r="G14" i="23"/>
  <c r="M13" i="23"/>
  <c r="G13" i="23"/>
  <c r="M12" i="23"/>
  <c r="G12" i="23"/>
  <c r="M11" i="23"/>
  <c r="G11" i="23"/>
  <c r="M10" i="23"/>
  <c r="G10" i="23"/>
  <c r="M9" i="23"/>
  <c r="G9" i="23"/>
  <c r="M8" i="23"/>
  <c r="G8" i="23"/>
  <c r="M7" i="23"/>
  <c r="G7" i="23"/>
  <c r="M6" i="23"/>
  <c r="G6" i="23"/>
  <c r="M5" i="23"/>
  <c r="G5" i="23"/>
  <c r="G4" i="23"/>
  <c r="A2" i="23"/>
  <c r="M54" i="22"/>
  <c r="G54" i="22"/>
  <c r="M53" i="22"/>
  <c r="G53" i="22"/>
  <c r="M52" i="22"/>
  <c r="G52" i="22"/>
  <c r="M51" i="22"/>
  <c r="G51" i="22"/>
  <c r="M50" i="22"/>
  <c r="G50" i="22"/>
  <c r="M49" i="22"/>
  <c r="G49" i="22"/>
  <c r="M48" i="22"/>
  <c r="G48" i="22"/>
  <c r="M47" i="22"/>
  <c r="G47" i="22"/>
  <c r="M46" i="22"/>
  <c r="G46" i="22"/>
  <c r="M45" i="22"/>
  <c r="G45" i="22"/>
  <c r="M44" i="22"/>
  <c r="G44" i="22"/>
  <c r="M43" i="22"/>
  <c r="G43" i="22"/>
  <c r="M42" i="22"/>
  <c r="G42" i="22"/>
  <c r="M41" i="22"/>
  <c r="G41" i="22"/>
  <c r="M40" i="22"/>
  <c r="G40" i="22"/>
  <c r="M39" i="22"/>
  <c r="G39" i="22"/>
  <c r="M38" i="22"/>
  <c r="G38" i="22"/>
  <c r="M37" i="22"/>
  <c r="G37" i="22"/>
  <c r="M36" i="22"/>
  <c r="G36" i="22"/>
  <c r="M35" i="22"/>
  <c r="G35" i="22"/>
  <c r="M34" i="22"/>
  <c r="G34" i="22"/>
  <c r="M33" i="22"/>
  <c r="G33" i="22"/>
  <c r="M32" i="22"/>
  <c r="G32" i="22"/>
  <c r="M31" i="22"/>
  <c r="G31" i="22"/>
  <c r="M30" i="22"/>
  <c r="G30" i="22"/>
  <c r="M29" i="22"/>
  <c r="G29" i="22"/>
  <c r="M28" i="22"/>
  <c r="G28" i="22"/>
  <c r="M27" i="22"/>
  <c r="G27" i="22"/>
  <c r="M26" i="22"/>
  <c r="G26" i="22"/>
  <c r="M25" i="22"/>
  <c r="G25" i="22"/>
  <c r="M24" i="22"/>
  <c r="G24" i="22"/>
  <c r="M23" i="22"/>
  <c r="G23" i="22"/>
  <c r="M22" i="22"/>
  <c r="G22" i="22"/>
  <c r="M21" i="22"/>
  <c r="G21" i="22"/>
  <c r="M20" i="22"/>
  <c r="G20" i="22"/>
  <c r="M19" i="22"/>
  <c r="G19" i="22"/>
  <c r="M18" i="22"/>
  <c r="G18" i="22"/>
  <c r="M17" i="22"/>
  <c r="G17" i="22"/>
  <c r="M16" i="22"/>
  <c r="G16" i="22"/>
  <c r="M15" i="22"/>
  <c r="G15" i="22"/>
  <c r="M14" i="22"/>
  <c r="G14" i="22"/>
  <c r="M13" i="22"/>
  <c r="G13" i="22"/>
  <c r="M12" i="22"/>
  <c r="G12" i="22"/>
  <c r="M11" i="22"/>
  <c r="G11" i="22"/>
  <c r="M10" i="22"/>
  <c r="G10" i="22"/>
  <c r="M9" i="22"/>
  <c r="G9" i="22"/>
  <c r="M8" i="22"/>
  <c r="G8" i="22"/>
  <c r="M7" i="22"/>
  <c r="G7" i="22"/>
  <c r="M6" i="22"/>
  <c r="G6" i="22"/>
  <c r="M5" i="22"/>
  <c r="G5" i="22"/>
  <c r="G4" i="22"/>
  <c r="A2" i="22"/>
  <c r="M54" i="21"/>
  <c r="G54" i="21"/>
  <c r="M53" i="21"/>
  <c r="G53" i="21"/>
  <c r="M52" i="21"/>
  <c r="G52" i="21"/>
  <c r="M51" i="21"/>
  <c r="G51" i="21"/>
  <c r="M50" i="21"/>
  <c r="G50" i="21"/>
  <c r="M49" i="21"/>
  <c r="G49" i="21"/>
  <c r="M48" i="21"/>
  <c r="G48" i="21"/>
  <c r="M47" i="21"/>
  <c r="G47" i="21"/>
  <c r="M46" i="21"/>
  <c r="G46" i="21"/>
  <c r="M45" i="21"/>
  <c r="G45" i="21"/>
  <c r="M44" i="21"/>
  <c r="G44" i="21"/>
  <c r="M43" i="21"/>
  <c r="G43" i="21"/>
  <c r="M42" i="21"/>
  <c r="G42" i="21"/>
  <c r="M41" i="21"/>
  <c r="G41" i="21"/>
  <c r="M40" i="21"/>
  <c r="G40" i="21"/>
  <c r="M39" i="21"/>
  <c r="G39" i="21"/>
  <c r="M38" i="21"/>
  <c r="G38" i="21"/>
  <c r="M37" i="21"/>
  <c r="G37" i="21"/>
  <c r="M36" i="21"/>
  <c r="G36" i="21"/>
  <c r="M35" i="21"/>
  <c r="G35" i="21"/>
  <c r="M34" i="21"/>
  <c r="G34" i="21"/>
  <c r="M33" i="21"/>
  <c r="G33" i="21"/>
  <c r="M32" i="21"/>
  <c r="G32" i="21"/>
  <c r="M31" i="21"/>
  <c r="G31" i="21"/>
  <c r="M30" i="21"/>
  <c r="G30" i="21"/>
  <c r="M29" i="21"/>
  <c r="G29" i="21"/>
  <c r="M28" i="21"/>
  <c r="G28" i="21"/>
  <c r="M27" i="21"/>
  <c r="G27" i="21"/>
  <c r="M26" i="21"/>
  <c r="G26" i="21"/>
  <c r="M25" i="21"/>
  <c r="G25" i="21"/>
  <c r="M24" i="21"/>
  <c r="G24" i="21"/>
  <c r="M23" i="21"/>
  <c r="G23" i="21"/>
  <c r="M22" i="21"/>
  <c r="G22" i="21"/>
  <c r="M21" i="21"/>
  <c r="G21" i="21"/>
  <c r="M20" i="21"/>
  <c r="G20" i="21"/>
  <c r="M19" i="21"/>
  <c r="G19" i="21"/>
  <c r="M18" i="21"/>
  <c r="G18" i="21"/>
  <c r="M17" i="21"/>
  <c r="G17" i="21"/>
  <c r="M16" i="21"/>
  <c r="G16" i="21"/>
  <c r="M15" i="21"/>
  <c r="G15" i="21"/>
  <c r="M14" i="21"/>
  <c r="G14" i="21"/>
  <c r="M13" i="21"/>
  <c r="G13" i="21"/>
  <c r="M12" i="21"/>
  <c r="G12" i="21"/>
  <c r="M11" i="21"/>
  <c r="G11" i="21"/>
  <c r="M10" i="21"/>
  <c r="G10" i="21"/>
  <c r="M9" i="21"/>
  <c r="G9" i="21"/>
  <c r="M8" i="21"/>
  <c r="G8" i="21"/>
  <c r="M7" i="21"/>
  <c r="G7" i="21"/>
  <c r="M6" i="21"/>
  <c r="G6" i="21"/>
  <c r="M5" i="21"/>
  <c r="G5" i="21"/>
  <c r="G4" i="21"/>
  <c r="A2" i="21"/>
  <c r="M54" i="20"/>
  <c r="G54" i="20"/>
  <c r="M53" i="20"/>
  <c r="G53" i="20"/>
  <c r="M52" i="20"/>
  <c r="G52" i="20"/>
  <c r="M51" i="20"/>
  <c r="G51" i="20"/>
  <c r="M50" i="20"/>
  <c r="G50" i="20"/>
  <c r="M49" i="20"/>
  <c r="G49" i="20"/>
  <c r="M48" i="20"/>
  <c r="G48" i="20"/>
  <c r="M47" i="20"/>
  <c r="G47" i="20"/>
  <c r="M46" i="20"/>
  <c r="G46" i="20"/>
  <c r="M45" i="20"/>
  <c r="G45" i="20"/>
  <c r="M44" i="20"/>
  <c r="G44" i="20"/>
  <c r="M43" i="20"/>
  <c r="G43" i="20"/>
  <c r="M42" i="20"/>
  <c r="G42" i="20"/>
  <c r="M41" i="20"/>
  <c r="G41" i="20"/>
  <c r="M40" i="20"/>
  <c r="G40" i="20"/>
  <c r="M39" i="20"/>
  <c r="G39" i="20"/>
  <c r="M38" i="20"/>
  <c r="G38" i="20"/>
  <c r="M37" i="20"/>
  <c r="G37" i="20"/>
  <c r="M36" i="20"/>
  <c r="G36" i="20"/>
  <c r="M35" i="20"/>
  <c r="G35" i="20"/>
  <c r="M34" i="20"/>
  <c r="G34" i="20"/>
  <c r="M33" i="20"/>
  <c r="G33" i="20"/>
  <c r="M32" i="20"/>
  <c r="G32" i="20"/>
  <c r="M31" i="20"/>
  <c r="G31" i="20"/>
  <c r="M30" i="20"/>
  <c r="G30" i="20"/>
  <c r="M29" i="20"/>
  <c r="G29" i="20"/>
  <c r="M28" i="20"/>
  <c r="G28" i="20"/>
  <c r="M27" i="20"/>
  <c r="G27" i="20"/>
  <c r="M26" i="20"/>
  <c r="G26" i="20"/>
  <c r="M25" i="20"/>
  <c r="G25" i="20"/>
  <c r="M24" i="20"/>
  <c r="G24" i="20"/>
  <c r="M23" i="20"/>
  <c r="G23" i="20"/>
  <c r="M22" i="20"/>
  <c r="G22" i="20"/>
  <c r="M21" i="20"/>
  <c r="G21" i="20"/>
  <c r="M20" i="20"/>
  <c r="G20" i="20"/>
  <c r="M19" i="20"/>
  <c r="G19" i="20"/>
  <c r="M18" i="20"/>
  <c r="G18" i="20"/>
  <c r="M17" i="20"/>
  <c r="G17" i="20"/>
  <c r="M16" i="20"/>
  <c r="G16" i="20"/>
  <c r="M15" i="20"/>
  <c r="G15" i="20"/>
  <c r="M14" i="20"/>
  <c r="G14" i="20"/>
  <c r="M13" i="20"/>
  <c r="G13" i="20"/>
  <c r="M12" i="20"/>
  <c r="G12" i="20"/>
  <c r="M11" i="20"/>
  <c r="G11" i="20"/>
  <c r="M10" i="20"/>
  <c r="G10" i="20"/>
  <c r="M9" i="20"/>
  <c r="G9" i="20"/>
  <c r="M8" i="20"/>
  <c r="G8" i="20"/>
  <c r="M7" i="20"/>
  <c r="G7" i="20"/>
  <c r="M6" i="20"/>
  <c r="G6" i="20"/>
  <c r="M5" i="20"/>
  <c r="G5" i="20"/>
  <c r="G4" i="20"/>
  <c r="A154" i="25"/>
  <c r="M54" i="19"/>
  <c r="G54" i="19"/>
  <c r="M53" i="19"/>
  <c r="G53" i="19"/>
  <c r="M52" i="19"/>
  <c r="G52" i="19"/>
  <c r="M51" i="19"/>
  <c r="G51" i="19"/>
  <c r="M50" i="19"/>
  <c r="G50" i="19"/>
  <c r="M49" i="19"/>
  <c r="G49" i="19"/>
  <c r="M48" i="19"/>
  <c r="G48" i="19"/>
  <c r="M47" i="19"/>
  <c r="G47" i="19"/>
  <c r="M46" i="19"/>
  <c r="G46" i="19"/>
  <c r="M45" i="19"/>
  <c r="G45" i="19"/>
  <c r="M44" i="19"/>
  <c r="G44" i="19"/>
  <c r="M43" i="19"/>
  <c r="G43" i="19"/>
  <c r="M42" i="19"/>
  <c r="G42" i="19"/>
  <c r="M41" i="19"/>
  <c r="G41" i="19"/>
  <c r="M40" i="19"/>
  <c r="G40" i="19"/>
  <c r="M39" i="19"/>
  <c r="G39" i="19"/>
  <c r="M38" i="19"/>
  <c r="G38" i="19"/>
  <c r="M37" i="19"/>
  <c r="G37" i="19"/>
  <c r="M36" i="19"/>
  <c r="G36" i="19"/>
  <c r="M35" i="19"/>
  <c r="G35" i="19"/>
  <c r="M34" i="19"/>
  <c r="G34" i="19"/>
  <c r="M33" i="19"/>
  <c r="G33" i="19"/>
  <c r="M32" i="19"/>
  <c r="G32" i="19"/>
  <c r="M31" i="19"/>
  <c r="G31" i="19"/>
  <c r="M30" i="19"/>
  <c r="G30" i="19"/>
  <c r="M29" i="19"/>
  <c r="G29" i="19"/>
  <c r="M28" i="19"/>
  <c r="G28" i="19"/>
  <c r="M27" i="19"/>
  <c r="G27" i="19"/>
  <c r="M26" i="19"/>
  <c r="G26" i="19"/>
  <c r="M25" i="19"/>
  <c r="G25" i="19"/>
  <c r="M24" i="19"/>
  <c r="G24" i="19"/>
  <c r="M23" i="19"/>
  <c r="G23" i="19"/>
  <c r="M22" i="19"/>
  <c r="G22" i="19"/>
  <c r="M21" i="19"/>
  <c r="G21" i="19"/>
  <c r="M20" i="19"/>
  <c r="G20" i="19"/>
  <c r="M19" i="19"/>
  <c r="G19" i="19"/>
  <c r="M18" i="19"/>
  <c r="G18" i="19"/>
  <c r="M17" i="19"/>
  <c r="G17" i="19"/>
  <c r="M16" i="19"/>
  <c r="G16" i="19"/>
  <c r="M15" i="19"/>
  <c r="G15" i="19"/>
  <c r="M14" i="19"/>
  <c r="G14" i="19"/>
  <c r="M13" i="19"/>
  <c r="G13" i="19"/>
  <c r="M12" i="19"/>
  <c r="G12" i="19"/>
  <c r="M11" i="19"/>
  <c r="G11" i="19"/>
  <c r="M10" i="19"/>
  <c r="G10" i="19"/>
  <c r="M9" i="19"/>
  <c r="G9" i="19"/>
  <c r="M8" i="19"/>
  <c r="G8" i="19"/>
  <c r="M7" i="19"/>
  <c r="G7" i="19"/>
  <c r="M6" i="19"/>
  <c r="G6" i="19"/>
  <c r="M5" i="19"/>
  <c r="N5" i="19" s="1"/>
  <c r="G5" i="19"/>
  <c r="G4" i="19"/>
  <c r="A144" i="25"/>
  <c r="M54" i="18"/>
  <c r="G54" i="18"/>
  <c r="M53" i="18"/>
  <c r="G53" i="18"/>
  <c r="M52" i="18"/>
  <c r="G52" i="18"/>
  <c r="M51" i="18"/>
  <c r="G51" i="18"/>
  <c r="M50" i="18"/>
  <c r="G50" i="18"/>
  <c r="M49" i="18"/>
  <c r="G49" i="18"/>
  <c r="M48" i="18"/>
  <c r="G48" i="18"/>
  <c r="M47" i="18"/>
  <c r="G47" i="18"/>
  <c r="M46" i="18"/>
  <c r="G46" i="18"/>
  <c r="M45" i="18"/>
  <c r="G45" i="18"/>
  <c r="M44" i="18"/>
  <c r="G44" i="18"/>
  <c r="M43" i="18"/>
  <c r="G43" i="18"/>
  <c r="M42" i="18"/>
  <c r="G42" i="18"/>
  <c r="M41" i="18"/>
  <c r="G41" i="18"/>
  <c r="M40" i="18"/>
  <c r="G40" i="18"/>
  <c r="M39" i="18"/>
  <c r="G39" i="18"/>
  <c r="M38" i="18"/>
  <c r="G38" i="18"/>
  <c r="M37" i="18"/>
  <c r="G37" i="18"/>
  <c r="M36" i="18"/>
  <c r="G36" i="18"/>
  <c r="M35" i="18"/>
  <c r="G35" i="18"/>
  <c r="M34" i="18"/>
  <c r="G34" i="18"/>
  <c r="M33" i="18"/>
  <c r="G33" i="18"/>
  <c r="M32" i="18"/>
  <c r="G32" i="18"/>
  <c r="M31" i="18"/>
  <c r="G31" i="18"/>
  <c r="M30" i="18"/>
  <c r="G30" i="18"/>
  <c r="M29" i="18"/>
  <c r="G29" i="18"/>
  <c r="M28" i="18"/>
  <c r="G28" i="18"/>
  <c r="M27" i="18"/>
  <c r="G27" i="18"/>
  <c r="M26" i="18"/>
  <c r="G26" i="18"/>
  <c r="M25" i="18"/>
  <c r="G25" i="18"/>
  <c r="M24" i="18"/>
  <c r="G24" i="18"/>
  <c r="M23" i="18"/>
  <c r="G23" i="18"/>
  <c r="M22" i="18"/>
  <c r="G22" i="18"/>
  <c r="M21" i="18"/>
  <c r="G21" i="18"/>
  <c r="M20" i="18"/>
  <c r="G20" i="18"/>
  <c r="M19" i="18"/>
  <c r="G19" i="18"/>
  <c r="M18" i="18"/>
  <c r="G18" i="18"/>
  <c r="M17" i="18"/>
  <c r="G17" i="18"/>
  <c r="M16" i="18"/>
  <c r="G16" i="18"/>
  <c r="M15" i="18"/>
  <c r="G15" i="18"/>
  <c r="M14" i="18"/>
  <c r="G14" i="18"/>
  <c r="M13" i="18"/>
  <c r="G13" i="18"/>
  <c r="M12" i="18"/>
  <c r="G12" i="18"/>
  <c r="M11" i="18"/>
  <c r="G11" i="18"/>
  <c r="M10" i="18"/>
  <c r="G10" i="18"/>
  <c r="M9" i="18"/>
  <c r="G9" i="18"/>
  <c r="M8" i="18"/>
  <c r="G8" i="18"/>
  <c r="M7" i="18"/>
  <c r="G7" i="18"/>
  <c r="M6" i="18"/>
  <c r="M5" i="18"/>
  <c r="G4" i="18"/>
  <c r="M54" i="17"/>
  <c r="G54" i="17"/>
  <c r="M53" i="17"/>
  <c r="G53" i="17"/>
  <c r="M52" i="17"/>
  <c r="G52" i="17"/>
  <c r="M51" i="17"/>
  <c r="G51" i="17"/>
  <c r="M50" i="17"/>
  <c r="G50" i="17"/>
  <c r="M49" i="17"/>
  <c r="G49" i="17"/>
  <c r="M48" i="17"/>
  <c r="G48" i="17"/>
  <c r="M47" i="17"/>
  <c r="G47" i="17"/>
  <c r="M46" i="17"/>
  <c r="G46" i="17"/>
  <c r="M45" i="17"/>
  <c r="G45" i="17"/>
  <c r="M44" i="17"/>
  <c r="G44" i="17"/>
  <c r="M43" i="17"/>
  <c r="G43" i="17"/>
  <c r="M42" i="17"/>
  <c r="G42" i="17"/>
  <c r="M41" i="17"/>
  <c r="G41" i="17"/>
  <c r="M40" i="17"/>
  <c r="G40" i="17"/>
  <c r="M39" i="17"/>
  <c r="G39" i="17"/>
  <c r="M38" i="17"/>
  <c r="G38" i="17"/>
  <c r="M37" i="17"/>
  <c r="G37" i="17"/>
  <c r="M36" i="17"/>
  <c r="G36" i="17"/>
  <c r="M35" i="17"/>
  <c r="G35" i="17"/>
  <c r="M34" i="17"/>
  <c r="G34" i="17"/>
  <c r="M33" i="17"/>
  <c r="G33" i="17"/>
  <c r="M32" i="17"/>
  <c r="G32" i="17"/>
  <c r="M31" i="17"/>
  <c r="G31" i="17"/>
  <c r="M30" i="17"/>
  <c r="G30" i="17"/>
  <c r="M29" i="17"/>
  <c r="G29" i="17"/>
  <c r="M28" i="17"/>
  <c r="G28" i="17"/>
  <c r="M27" i="17"/>
  <c r="G27" i="17"/>
  <c r="M26" i="17"/>
  <c r="G26" i="17"/>
  <c r="M25" i="17"/>
  <c r="G25" i="17"/>
  <c r="M24" i="17"/>
  <c r="G24" i="17"/>
  <c r="M23" i="17"/>
  <c r="G23" i="17"/>
  <c r="M22" i="17"/>
  <c r="G22" i="17"/>
  <c r="M21" i="17"/>
  <c r="G21" i="17"/>
  <c r="M20" i="17"/>
  <c r="G20" i="17"/>
  <c r="M19" i="17"/>
  <c r="G19" i="17"/>
  <c r="M18" i="17"/>
  <c r="G18" i="17"/>
  <c r="M17" i="17"/>
  <c r="G17" i="17"/>
  <c r="M16" i="17"/>
  <c r="G16" i="17"/>
  <c r="M15" i="17"/>
  <c r="G15" i="17"/>
  <c r="M14" i="17"/>
  <c r="G14" i="17"/>
  <c r="M13" i="17"/>
  <c r="G13" i="17"/>
  <c r="M12" i="17"/>
  <c r="G12" i="17"/>
  <c r="M11" i="17"/>
  <c r="G11" i="17"/>
  <c r="M10" i="17"/>
  <c r="G10" i="17"/>
  <c r="M9" i="17"/>
  <c r="G9" i="17"/>
  <c r="M8" i="17"/>
  <c r="G8" i="17"/>
  <c r="M7" i="17"/>
  <c r="G7" i="17"/>
  <c r="G6" i="17"/>
  <c r="G5" i="17"/>
  <c r="G4" i="17"/>
  <c r="M54" i="16"/>
  <c r="G54" i="16"/>
  <c r="M53" i="16"/>
  <c r="G53" i="16"/>
  <c r="M52" i="16"/>
  <c r="G52" i="16"/>
  <c r="M51" i="16"/>
  <c r="G51" i="16"/>
  <c r="M50" i="16"/>
  <c r="G50" i="16"/>
  <c r="M49" i="16"/>
  <c r="G49" i="16"/>
  <c r="M48" i="16"/>
  <c r="G48" i="16"/>
  <c r="M47" i="16"/>
  <c r="G47" i="16"/>
  <c r="M46" i="16"/>
  <c r="G46" i="16"/>
  <c r="M45" i="16"/>
  <c r="G45" i="16"/>
  <c r="M44" i="16"/>
  <c r="G44" i="16"/>
  <c r="M43" i="16"/>
  <c r="G43" i="16"/>
  <c r="M42" i="16"/>
  <c r="G42" i="16"/>
  <c r="M41" i="16"/>
  <c r="G41" i="16"/>
  <c r="M40" i="16"/>
  <c r="G40" i="16"/>
  <c r="M39" i="16"/>
  <c r="G39" i="16"/>
  <c r="M38" i="16"/>
  <c r="G38" i="16"/>
  <c r="M37" i="16"/>
  <c r="G37" i="16"/>
  <c r="M36" i="16"/>
  <c r="G36" i="16"/>
  <c r="M35" i="16"/>
  <c r="G35" i="16"/>
  <c r="M34" i="16"/>
  <c r="G34" i="16"/>
  <c r="M33" i="16"/>
  <c r="G33" i="16"/>
  <c r="M32" i="16"/>
  <c r="G32" i="16"/>
  <c r="M31" i="16"/>
  <c r="G31" i="16"/>
  <c r="M30" i="16"/>
  <c r="G30" i="16"/>
  <c r="M29" i="16"/>
  <c r="G29" i="16"/>
  <c r="M28" i="16"/>
  <c r="G28" i="16"/>
  <c r="M27" i="16"/>
  <c r="G27" i="16"/>
  <c r="M26" i="16"/>
  <c r="G26" i="16"/>
  <c r="M25" i="16"/>
  <c r="G25" i="16"/>
  <c r="M24" i="16"/>
  <c r="G24" i="16"/>
  <c r="M23" i="16"/>
  <c r="G23" i="16"/>
  <c r="M22" i="16"/>
  <c r="G22" i="16"/>
  <c r="M21" i="16"/>
  <c r="G21" i="16"/>
  <c r="M20" i="16"/>
  <c r="G20" i="16"/>
  <c r="M19" i="16"/>
  <c r="G19" i="16"/>
  <c r="M18" i="16"/>
  <c r="G18" i="16"/>
  <c r="M17" i="16"/>
  <c r="G17" i="16"/>
  <c r="M16" i="16"/>
  <c r="G16" i="16"/>
  <c r="M15" i="16"/>
  <c r="G15" i="16"/>
  <c r="M14" i="16"/>
  <c r="G14" i="16"/>
  <c r="M13" i="16"/>
  <c r="G13" i="16"/>
  <c r="M12" i="16"/>
  <c r="G12" i="16"/>
  <c r="M11" i="16"/>
  <c r="G11" i="16"/>
  <c r="M10" i="16"/>
  <c r="G10" i="16"/>
  <c r="M9" i="16"/>
  <c r="G9" i="16"/>
  <c r="M8" i="16"/>
  <c r="G8" i="16"/>
  <c r="M7" i="16"/>
  <c r="G7" i="16"/>
  <c r="M6" i="16"/>
  <c r="G6" i="16"/>
  <c r="M5" i="16"/>
  <c r="G5" i="16"/>
  <c r="G4" i="16"/>
  <c r="M54" i="15"/>
  <c r="G54" i="15"/>
  <c r="M53" i="15"/>
  <c r="G53" i="15"/>
  <c r="M52" i="15"/>
  <c r="G52" i="15"/>
  <c r="M51" i="15"/>
  <c r="G51" i="15"/>
  <c r="M50" i="15"/>
  <c r="G50" i="15"/>
  <c r="M49" i="15"/>
  <c r="G49" i="15"/>
  <c r="M48" i="15"/>
  <c r="G48" i="15"/>
  <c r="M47" i="15"/>
  <c r="G47" i="15"/>
  <c r="M46" i="15"/>
  <c r="G46" i="15"/>
  <c r="M45" i="15"/>
  <c r="G45" i="15"/>
  <c r="M44" i="15"/>
  <c r="G44" i="15"/>
  <c r="M43" i="15"/>
  <c r="G43" i="15"/>
  <c r="M42" i="15"/>
  <c r="G42" i="15"/>
  <c r="M41" i="15"/>
  <c r="G41" i="15"/>
  <c r="M40" i="15"/>
  <c r="G40" i="15"/>
  <c r="M39" i="15"/>
  <c r="G39" i="15"/>
  <c r="M38" i="15"/>
  <c r="G38" i="15"/>
  <c r="M37" i="15"/>
  <c r="G37" i="15"/>
  <c r="M36" i="15"/>
  <c r="G36" i="15"/>
  <c r="M35" i="15"/>
  <c r="G35" i="15"/>
  <c r="M34" i="15"/>
  <c r="G34" i="15"/>
  <c r="M33" i="15"/>
  <c r="G33" i="15"/>
  <c r="M32" i="15"/>
  <c r="G32" i="15"/>
  <c r="M31" i="15"/>
  <c r="G31" i="15"/>
  <c r="M30" i="15"/>
  <c r="G30" i="15"/>
  <c r="M29" i="15"/>
  <c r="G29" i="15"/>
  <c r="M28" i="15"/>
  <c r="G28" i="15"/>
  <c r="M27" i="15"/>
  <c r="G27" i="15"/>
  <c r="M26" i="15"/>
  <c r="G26" i="15"/>
  <c r="M25" i="15"/>
  <c r="G25" i="15"/>
  <c r="M24" i="15"/>
  <c r="G24" i="15"/>
  <c r="M23" i="15"/>
  <c r="G23" i="15"/>
  <c r="M22" i="15"/>
  <c r="G22" i="15"/>
  <c r="M21" i="15"/>
  <c r="G21" i="15"/>
  <c r="M20" i="15"/>
  <c r="G20" i="15"/>
  <c r="M19" i="15"/>
  <c r="G19" i="15"/>
  <c r="M18" i="15"/>
  <c r="G18" i="15"/>
  <c r="M17" i="15"/>
  <c r="G17" i="15"/>
  <c r="M16" i="15"/>
  <c r="G16" i="15"/>
  <c r="M15" i="15"/>
  <c r="G15" i="15"/>
  <c r="M14" i="15"/>
  <c r="G14" i="15"/>
  <c r="M13" i="15"/>
  <c r="G13" i="15"/>
  <c r="M12" i="15"/>
  <c r="G12" i="15"/>
  <c r="M11" i="15"/>
  <c r="G11" i="15"/>
  <c r="M10" i="15"/>
  <c r="G10" i="15"/>
  <c r="M9" i="15"/>
  <c r="G9" i="15"/>
  <c r="G8" i="15"/>
  <c r="G7" i="15"/>
  <c r="G6" i="15"/>
  <c r="G5" i="15"/>
  <c r="G4" i="15"/>
  <c r="M54" i="14"/>
  <c r="G54" i="14"/>
  <c r="M53" i="14"/>
  <c r="G53" i="14"/>
  <c r="M52" i="14"/>
  <c r="G52" i="14"/>
  <c r="M51" i="14"/>
  <c r="G51" i="14"/>
  <c r="M50" i="14"/>
  <c r="G50" i="14"/>
  <c r="M49" i="14"/>
  <c r="G49" i="14"/>
  <c r="M48" i="14"/>
  <c r="G48" i="14"/>
  <c r="M47" i="14"/>
  <c r="G47" i="14"/>
  <c r="M46" i="14"/>
  <c r="G46" i="14"/>
  <c r="M45" i="14"/>
  <c r="G45" i="14"/>
  <c r="M44" i="14"/>
  <c r="G44" i="14"/>
  <c r="M43" i="14"/>
  <c r="G43" i="14"/>
  <c r="M42" i="14"/>
  <c r="G42" i="14"/>
  <c r="M41" i="14"/>
  <c r="G41" i="14"/>
  <c r="M40" i="14"/>
  <c r="G40" i="14"/>
  <c r="M39" i="14"/>
  <c r="G39" i="14"/>
  <c r="M38" i="14"/>
  <c r="G38" i="14"/>
  <c r="M37" i="14"/>
  <c r="G37" i="14"/>
  <c r="M36" i="14"/>
  <c r="G36" i="14"/>
  <c r="M35" i="14"/>
  <c r="G35" i="14"/>
  <c r="M34" i="14"/>
  <c r="G34" i="14"/>
  <c r="M33" i="14"/>
  <c r="G33" i="14"/>
  <c r="M32" i="14"/>
  <c r="G32" i="14"/>
  <c r="M31" i="14"/>
  <c r="G31" i="14"/>
  <c r="M30" i="14"/>
  <c r="G30" i="14"/>
  <c r="M29" i="14"/>
  <c r="G29" i="14"/>
  <c r="M28" i="14"/>
  <c r="G28" i="14"/>
  <c r="M27" i="14"/>
  <c r="G27" i="14"/>
  <c r="M26" i="14"/>
  <c r="G26" i="14"/>
  <c r="M25" i="14"/>
  <c r="G25" i="14"/>
  <c r="M24" i="14"/>
  <c r="G24" i="14"/>
  <c r="M23" i="14"/>
  <c r="G23" i="14"/>
  <c r="M22" i="14"/>
  <c r="G22" i="14"/>
  <c r="M21" i="14"/>
  <c r="G21" i="14"/>
  <c r="M20" i="14"/>
  <c r="G20" i="14"/>
  <c r="M19" i="14"/>
  <c r="G19" i="14"/>
  <c r="M18" i="14"/>
  <c r="G18" i="14"/>
  <c r="M17" i="14"/>
  <c r="G17" i="14"/>
  <c r="M16" i="14"/>
  <c r="G16" i="14"/>
  <c r="M15" i="14"/>
  <c r="G15" i="14"/>
  <c r="M14" i="14"/>
  <c r="G14" i="14"/>
  <c r="M13" i="14"/>
  <c r="G13" i="14"/>
  <c r="M12" i="14"/>
  <c r="G12" i="14"/>
  <c r="M11" i="14"/>
  <c r="G11" i="14"/>
  <c r="M10" i="14"/>
  <c r="G10" i="14"/>
  <c r="M9" i="14"/>
  <c r="G9" i="14"/>
  <c r="M8" i="14"/>
  <c r="G8" i="14"/>
  <c r="M7" i="14"/>
  <c r="G7" i="14"/>
  <c r="M6" i="14"/>
  <c r="G6" i="14"/>
  <c r="M5" i="14"/>
  <c r="G5" i="14"/>
  <c r="G4" i="14"/>
  <c r="M54" i="13"/>
  <c r="G54" i="13"/>
  <c r="M53" i="13"/>
  <c r="G53" i="13"/>
  <c r="M52" i="13"/>
  <c r="G52" i="13"/>
  <c r="M51" i="13"/>
  <c r="G51" i="13"/>
  <c r="M50" i="13"/>
  <c r="G50" i="13"/>
  <c r="M49" i="13"/>
  <c r="G49" i="13"/>
  <c r="M48" i="13"/>
  <c r="G48" i="13"/>
  <c r="M47" i="13"/>
  <c r="G47" i="13"/>
  <c r="M46" i="13"/>
  <c r="G46" i="13"/>
  <c r="M45" i="13"/>
  <c r="G45" i="13"/>
  <c r="M44" i="13"/>
  <c r="G44" i="13"/>
  <c r="M43" i="13"/>
  <c r="G43" i="13"/>
  <c r="M42" i="13"/>
  <c r="G42" i="13"/>
  <c r="M41" i="13"/>
  <c r="G41" i="13"/>
  <c r="M40" i="13"/>
  <c r="G40" i="13"/>
  <c r="M39" i="13"/>
  <c r="G39" i="13"/>
  <c r="M38" i="13"/>
  <c r="G38" i="13"/>
  <c r="M37" i="13"/>
  <c r="G37" i="13"/>
  <c r="M36" i="13"/>
  <c r="G36" i="13"/>
  <c r="M35" i="13"/>
  <c r="G35" i="13"/>
  <c r="M34" i="13"/>
  <c r="G34" i="13"/>
  <c r="M33" i="13"/>
  <c r="G33" i="13"/>
  <c r="M32" i="13"/>
  <c r="G32" i="13"/>
  <c r="M31" i="13"/>
  <c r="G31" i="13"/>
  <c r="M30" i="13"/>
  <c r="G30" i="13"/>
  <c r="M29" i="13"/>
  <c r="G29" i="13"/>
  <c r="M28" i="13"/>
  <c r="G28" i="13"/>
  <c r="M27" i="13"/>
  <c r="G27" i="13"/>
  <c r="M26" i="13"/>
  <c r="G26" i="13"/>
  <c r="M25" i="13"/>
  <c r="G25" i="13"/>
  <c r="M24" i="13"/>
  <c r="G24" i="13"/>
  <c r="M23" i="13"/>
  <c r="G23" i="13"/>
  <c r="M22" i="13"/>
  <c r="G22" i="13"/>
  <c r="M21" i="13"/>
  <c r="G21" i="13"/>
  <c r="M20" i="13"/>
  <c r="G20" i="13"/>
  <c r="M19" i="13"/>
  <c r="G19" i="13"/>
  <c r="M18" i="13"/>
  <c r="G18" i="13"/>
  <c r="M17" i="13"/>
  <c r="G17" i="13"/>
  <c r="M16" i="13"/>
  <c r="G16" i="13"/>
  <c r="M15" i="13"/>
  <c r="G15" i="13"/>
  <c r="M14" i="13"/>
  <c r="G14" i="13"/>
  <c r="M13" i="13"/>
  <c r="G13" i="13"/>
  <c r="M12" i="13"/>
  <c r="G12" i="13"/>
  <c r="M11" i="13"/>
  <c r="G11" i="13"/>
  <c r="M10" i="13"/>
  <c r="G10" i="13"/>
  <c r="M9" i="13"/>
  <c r="G9" i="13"/>
  <c r="M8" i="13"/>
  <c r="G8" i="13"/>
  <c r="M7" i="13"/>
  <c r="G7" i="13"/>
  <c r="M6" i="13"/>
  <c r="G6" i="13"/>
  <c r="M5" i="13"/>
  <c r="G5" i="13"/>
  <c r="G4" i="13"/>
  <c r="M54" i="12"/>
  <c r="G54" i="12"/>
  <c r="M53" i="12"/>
  <c r="G53" i="12"/>
  <c r="M52" i="12"/>
  <c r="G52" i="12"/>
  <c r="M51" i="12"/>
  <c r="G51" i="12"/>
  <c r="M50" i="12"/>
  <c r="G50" i="12"/>
  <c r="M49" i="12"/>
  <c r="G49" i="12"/>
  <c r="M48" i="12"/>
  <c r="G48" i="12"/>
  <c r="M47" i="12"/>
  <c r="G47" i="12"/>
  <c r="M46" i="12"/>
  <c r="G46" i="12"/>
  <c r="M45" i="12"/>
  <c r="G45" i="12"/>
  <c r="M44" i="12"/>
  <c r="G44" i="12"/>
  <c r="M43" i="12"/>
  <c r="G43" i="12"/>
  <c r="M42" i="12"/>
  <c r="G42" i="12"/>
  <c r="M41" i="12"/>
  <c r="G41" i="12"/>
  <c r="M40" i="12"/>
  <c r="G40" i="12"/>
  <c r="M39" i="12"/>
  <c r="G39" i="12"/>
  <c r="M38" i="12"/>
  <c r="G38" i="12"/>
  <c r="M37" i="12"/>
  <c r="G37" i="12"/>
  <c r="M36" i="12"/>
  <c r="G36" i="12"/>
  <c r="M35" i="12"/>
  <c r="G35" i="12"/>
  <c r="M34" i="12"/>
  <c r="G34" i="12"/>
  <c r="M33" i="12"/>
  <c r="G33" i="12"/>
  <c r="M32" i="12"/>
  <c r="G32" i="12"/>
  <c r="M31" i="12"/>
  <c r="G31" i="12"/>
  <c r="M30" i="12"/>
  <c r="G30" i="12"/>
  <c r="M29" i="12"/>
  <c r="G29" i="12"/>
  <c r="M28" i="12"/>
  <c r="G28" i="12"/>
  <c r="M27" i="12"/>
  <c r="G27" i="12"/>
  <c r="M26" i="12"/>
  <c r="G26" i="12"/>
  <c r="M25" i="12"/>
  <c r="G25" i="12"/>
  <c r="M24" i="12"/>
  <c r="G24" i="12"/>
  <c r="M23" i="12"/>
  <c r="G23" i="12"/>
  <c r="M22" i="12"/>
  <c r="G22" i="12"/>
  <c r="M21" i="12"/>
  <c r="G21" i="12"/>
  <c r="M20" i="12"/>
  <c r="G20" i="12"/>
  <c r="M19" i="12"/>
  <c r="G19" i="12"/>
  <c r="M18" i="12"/>
  <c r="G18" i="12"/>
  <c r="M17" i="12"/>
  <c r="G17" i="12"/>
  <c r="M16" i="12"/>
  <c r="G16" i="12"/>
  <c r="M15" i="12"/>
  <c r="G15" i="12"/>
  <c r="M14" i="12"/>
  <c r="G14" i="12"/>
  <c r="M13" i="12"/>
  <c r="G13" i="12"/>
  <c r="M12" i="12"/>
  <c r="G12" i="12"/>
  <c r="M11" i="12"/>
  <c r="G11" i="12"/>
  <c r="M10" i="12"/>
  <c r="G10" i="12"/>
  <c r="M9" i="12"/>
  <c r="G9" i="12"/>
  <c r="M8" i="12"/>
  <c r="G8" i="12"/>
  <c r="M7" i="12"/>
  <c r="G7" i="12"/>
  <c r="M6" i="12"/>
  <c r="G6" i="12"/>
  <c r="M5" i="12"/>
  <c r="G5" i="12"/>
  <c r="G4" i="12"/>
  <c r="M54" i="11"/>
  <c r="G54" i="11"/>
  <c r="M53" i="11"/>
  <c r="G53" i="11"/>
  <c r="M52" i="11"/>
  <c r="G52" i="11"/>
  <c r="M51" i="11"/>
  <c r="G51" i="11"/>
  <c r="M50" i="11"/>
  <c r="G50" i="11"/>
  <c r="M49" i="11"/>
  <c r="G49" i="11"/>
  <c r="M48" i="11"/>
  <c r="G48" i="11"/>
  <c r="M47" i="11"/>
  <c r="G47" i="11"/>
  <c r="M46" i="11"/>
  <c r="G46" i="11"/>
  <c r="M45" i="11"/>
  <c r="G45" i="11"/>
  <c r="M44" i="11"/>
  <c r="G44" i="11"/>
  <c r="M43" i="11"/>
  <c r="G43" i="11"/>
  <c r="M42" i="11"/>
  <c r="G42" i="11"/>
  <c r="M41" i="11"/>
  <c r="G41" i="11"/>
  <c r="M40" i="11"/>
  <c r="G40" i="11"/>
  <c r="M39" i="11"/>
  <c r="G39" i="11"/>
  <c r="M38" i="11"/>
  <c r="G38" i="11"/>
  <c r="M37" i="11"/>
  <c r="G37" i="11"/>
  <c r="M36" i="11"/>
  <c r="G36" i="11"/>
  <c r="M35" i="11"/>
  <c r="G35" i="11"/>
  <c r="M34" i="11"/>
  <c r="G34" i="11"/>
  <c r="M33" i="11"/>
  <c r="G33" i="11"/>
  <c r="M32" i="11"/>
  <c r="G32" i="11"/>
  <c r="M31" i="11"/>
  <c r="G31" i="11"/>
  <c r="M30" i="11"/>
  <c r="G30" i="11"/>
  <c r="M29" i="11"/>
  <c r="G29" i="11"/>
  <c r="M28" i="11"/>
  <c r="G28" i="11"/>
  <c r="M27" i="11"/>
  <c r="G27" i="11"/>
  <c r="M26" i="11"/>
  <c r="G26" i="11"/>
  <c r="M25" i="11"/>
  <c r="G25" i="11"/>
  <c r="M24" i="11"/>
  <c r="G24" i="11"/>
  <c r="M23" i="11"/>
  <c r="G23" i="11"/>
  <c r="M22" i="11"/>
  <c r="G22" i="11"/>
  <c r="M21" i="11"/>
  <c r="G21" i="11"/>
  <c r="M20" i="11"/>
  <c r="G20" i="11"/>
  <c r="M19" i="11"/>
  <c r="G19" i="11"/>
  <c r="M18" i="11"/>
  <c r="G18" i="11"/>
  <c r="M17" i="11"/>
  <c r="G17" i="11"/>
  <c r="M16" i="11"/>
  <c r="G16" i="11"/>
  <c r="M15" i="11"/>
  <c r="G15" i="11"/>
  <c r="M14" i="11"/>
  <c r="G14" i="11"/>
  <c r="M13" i="11"/>
  <c r="G13" i="11"/>
  <c r="M12" i="11"/>
  <c r="G12" i="11"/>
  <c r="M11" i="11"/>
  <c r="G11" i="11"/>
  <c r="M10" i="11"/>
  <c r="G10" i="11"/>
  <c r="M9" i="11"/>
  <c r="G9" i="11"/>
  <c r="M8" i="11"/>
  <c r="G8" i="11"/>
  <c r="M7" i="11"/>
  <c r="G7" i="11"/>
  <c r="M6" i="11"/>
  <c r="G6" i="11"/>
  <c r="M5" i="11"/>
  <c r="G5" i="11"/>
  <c r="G4" i="11"/>
  <c r="M53" i="10"/>
  <c r="G53" i="10"/>
  <c r="M52" i="10"/>
  <c r="G52" i="10"/>
  <c r="M51" i="10"/>
  <c r="G51" i="10"/>
  <c r="M50" i="10"/>
  <c r="G50" i="10"/>
  <c r="M49" i="10"/>
  <c r="G49" i="10"/>
  <c r="M48" i="10"/>
  <c r="G48" i="10"/>
  <c r="M47" i="10"/>
  <c r="G47" i="10"/>
  <c r="M46" i="10"/>
  <c r="G46" i="10"/>
  <c r="M45" i="10"/>
  <c r="G45" i="10"/>
  <c r="M44" i="10"/>
  <c r="G44" i="10"/>
  <c r="M43" i="10"/>
  <c r="G43" i="10"/>
  <c r="M42" i="10"/>
  <c r="G42" i="10"/>
  <c r="M41" i="10"/>
  <c r="G41" i="10"/>
  <c r="M40" i="10"/>
  <c r="G40" i="10"/>
  <c r="M39" i="10"/>
  <c r="G39" i="10"/>
  <c r="M38" i="10"/>
  <c r="G38" i="10"/>
  <c r="M37" i="10"/>
  <c r="G37" i="10"/>
  <c r="M36" i="10"/>
  <c r="G36" i="10"/>
  <c r="M35" i="10"/>
  <c r="G35" i="10"/>
  <c r="M34" i="10"/>
  <c r="G34" i="10"/>
  <c r="M33" i="10"/>
  <c r="G33" i="10"/>
  <c r="M32" i="10"/>
  <c r="G32" i="10"/>
  <c r="M31" i="10"/>
  <c r="G31" i="10"/>
  <c r="M30" i="10"/>
  <c r="G30" i="10"/>
  <c r="M29" i="10"/>
  <c r="G29" i="10"/>
  <c r="M28" i="10"/>
  <c r="G28" i="10"/>
  <c r="M27" i="10"/>
  <c r="G27" i="10"/>
  <c r="M26" i="10"/>
  <c r="G26" i="10"/>
  <c r="M25" i="10"/>
  <c r="G25" i="10"/>
  <c r="M24" i="10"/>
  <c r="G24" i="10"/>
  <c r="M23" i="10"/>
  <c r="G23" i="10"/>
  <c r="M22" i="10"/>
  <c r="G22" i="10"/>
  <c r="M21" i="10"/>
  <c r="G21" i="10"/>
  <c r="M20" i="10"/>
  <c r="G20" i="10"/>
  <c r="M19" i="10"/>
  <c r="G19" i="10"/>
  <c r="M18" i="10"/>
  <c r="G18" i="10"/>
  <c r="M17" i="10"/>
  <c r="G17" i="10"/>
  <c r="M16" i="10"/>
  <c r="G16" i="10"/>
  <c r="M15" i="10"/>
  <c r="G15" i="10"/>
  <c r="M14" i="10"/>
  <c r="G14" i="10"/>
  <c r="M13" i="10"/>
  <c r="G13" i="10"/>
  <c r="M12" i="10"/>
  <c r="G12" i="10"/>
  <c r="M11" i="10"/>
  <c r="G11" i="10"/>
  <c r="M10" i="10"/>
  <c r="G10" i="10"/>
  <c r="M9" i="10"/>
  <c r="G9" i="10"/>
  <c r="G8" i="10"/>
  <c r="G7" i="10"/>
  <c r="G6" i="10"/>
  <c r="G5" i="10"/>
  <c r="G4" i="10"/>
  <c r="M53" i="9"/>
  <c r="G53" i="9"/>
  <c r="M52" i="9"/>
  <c r="G52" i="9"/>
  <c r="M51" i="9"/>
  <c r="G51" i="9"/>
  <c r="M50" i="9"/>
  <c r="G50" i="9"/>
  <c r="M49" i="9"/>
  <c r="G49" i="9"/>
  <c r="M48" i="9"/>
  <c r="G48" i="9"/>
  <c r="M47" i="9"/>
  <c r="G47" i="9"/>
  <c r="M46" i="9"/>
  <c r="G46" i="9"/>
  <c r="M45" i="9"/>
  <c r="G45" i="9"/>
  <c r="M44" i="9"/>
  <c r="G44" i="9"/>
  <c r="M43" i="9"/>
  <c r="G43" i="9"/>
  <c r="M42" i="9"/>
  <c r="G42" i="9"/>
  <c r="M41" i="9"/>
  <c r="G41" i="9"/>
  <c r="M40" i="9"/>
  <c r="G40" i="9"/>
  <c r="M39" i="9"/>
  <c r="G39" i="9"/>
  <c r="M38" i="9"/>
  <c r="G38" i="9"/>
  <c r="M37" i="9"/>
  <c r="G37" i="9"/>
  <c r="M36" i="9"/>
  <c r="G36" i="9"/>
  <c r="M35" i="9"/>
  <c r="G35" i="9"/>
  <c r="M34" i="9"/>
  <c r="G34" i="9"/>
  <c r="M33" i="9"/>
  <c r="G33" i="9"/>
  <c r="M32" i="9"/>
  <c r="G32" i="9"/>
  <c r="M31" i="9"/>
  <c r="G31" i="9"/>
  <c r="M30" i="9"/>
  <c r="G30" i="9"/>
  <c r="M29" i="9"/>
  <c r="G29" i="9"/>
  <c r="M28" i="9"/>
  <c r="G28" i="9"/>
  <c r="M27" i="9"/>
  <c r="G27" i="9"/>
  <c r="M26" i="9"/>
  <c r="G26" i="9"/>
  <c r="M25" i="9"/>
  <c r="G25" i="9"/>
  <c r="M24" i="9"/>
  <c r="G24" i="9"/>
  <c r="M23" i="9"/>
  <c r="G23" i="9"/>
  <c r="M22" i="9"/>
  <c r="G22" i="9"/>
  <c r="M21" i="9"/>
  <c r="G21" i="9"/>
  <c r="M20" i="9"/>
  <c r="G20" i="9"/>
  <c r="M19" i="9"/>
  <c r="G19" i="9"/>
  <c r="M18" i="9"/>
  <c r="G18" i="9"/>
  <c r="M17" i="9"/>
  <c r="G17" i="9"/>
  <c r="M16" i="9"/>
  <c r="G16" i="9"/>
  <c r="M15" i="9"/>
  <c r="G15" i="9"/>
  <c r="M14" i="9"/>
  <c r="G14" i="9"/>
  <c r="M13" i="9"/>
  <c r="G13" i="9"/>
  <c r="M12" i="9"/>
  <c r="G12" i="9"/>
  <c r="M11" i="9"/>
  <c r="G11" i="9"/>
  <c r="M10" i="9"/>
  <c r="G10" i="9"/>
  <c r="M9" i="9"/>
  <c r="G9" i="9"/>
  <c r="M8" i="9"/>
  <c r="G8" i="9"/>
  <c r="M7" i="9"/>
  <c r="G7" i="9"/>
  <c r="M6" i="9"/>
  <c r="G6" i="9"/>
  <c r="M5" i="9"/>
  <c r="G5" i="9"/>
  <c r="G4" i="9"/>
  <c r="M54" i="8"/>
  <c r="G54" i="8"/>
  <c r="M53" i="8"/>
  <c r="G53" i="8"/>
  <c r="M52" i="8"/>
  <c r="G52" i="8"/>
  <c r="M51" i="8"/>
  <c r="G51" i="8"/>
  <c r="M50" i="8"/>
  <c r="G50" i="8"/>
  <c r="M49" i="8"/>
  <c r="G49" i="8"/>
  <c r="M48" i="8"/>
  <c r="G48" i="8"/>
  <c r="M47" i="8"/>
  <c r="G47" i="8"/>
  <c r="M46" i="8"/>
  <c r="G46" i="8"/>
  <c r="M45" i="8"/>
  <c r="G45" i="8"/>
  <c r="M44" i="8"/>
  <c r="G44" i="8"/>
  <c r="M43" i="8"/>
  <c r="G43" i="8"/>
  <c r="M42" i="8"/>
  <c r="G42" i="8"/>
  <c r="M41" i="8"/>
  <c r="G41" i="8"/>
  <c r="M40" i="8"/>
  <c r="G40" i="8"/>
  <c r="M39" i="8"/>
  <c r="G39" i="8"/>
  <c r="M38" i="8"/>
  <c r="G38" i="8"/>
  <c r="M37" i="8"/>
  <c r="G37" i="8"/>
  <c r="M36" i="8"/>
  <c r="G36" i="8"/>
  <c r="M35" i="8"/>
  <c r="G35" i="8"/>
  <c r="M34" i="8"/>
  <c r="G34" i="8"/>
  <c r="M33" i="8"/>
  <c r="G33" i="8"/>
  <c r="M32" i="8"/>
  <c r="G32" i="8"/>
  <c r="M31" i="8"/>
  <c r="G31" i="8"/>
  <c r="M30" i="8"/>
  <c r="G30" i="8"/>
  <c r="M29" i="8"/>
  <c r="G29" i="8"/>
  <c r="M28" i="8"/>
  <c r="G28" i="8"/>
  <c r="M27" i="8"/>
  <c r="G27" i="8"/>
  <c r="M26" i="8"/>
  <c r="G26" i="8"/>
  <c r="M25" i="8"/>
  <c r="G25" i="8"/>
  <c r="M24" i="8"/>
  <c r="G24" i="8"/>
  <c r="M23" i="8"/>
  <c r="G23" i="8"/>
  <c r="M22" i="8"/>
  <c r="G22" i="8"/>
  <c r="M21" i="8"/>
  <c r="G21" i="8"/>
  <c r="M20" i="8"/>
  <c r="G20" i="8"/>
  <c r="M19" i="8"/>
  <c r="G19" i="8"/>
  <c r="M18" i="8"/>
  <c r="G18" i="8"/>
  <c r="M17" i="8"/>
  <c r="G17" i="8"/>
  <c r="M16" i="8"/>
  <c r="G16" i="8"/>
  <c r="M15" i="8"/>
  <c r="G15" i="8"/>
  <c r="M14" i="8"/>
  <c r="G14" i="8"/>
  <c r="M13" i="8"/>
  <c r="G13" i="8"/>
  <c r="M12" i="8"/>
  <c r="G12" i="8"/>
  <c r="G11" i="8"/>
  <c r="G10" i="8"/>
  <c r="G9" i="8"/>
  <c r="G8" i="8"/>
  <c r="G7" i="8"/>
  <c r="G6" i="8"/>
  <c r="G5" i="8"/>
  <c r="G4" i="8"/>
  <c r="M53" i="7"/>
  <c r="G53" i="7"/>
  <c r="M52" i="7"/>
  <c r="G52" i="7"/>
  <c r="M51" i="7"/>
  <c r="G51" i="7"/>
  <c r="M50" i="7"/>
  <c r="G50" i="7"/>
  <c r="M49" i="7"/>
  <c r="G49" i="7"/>
  <c r="M48" i="7"/>
  <c r="G48" i="7"/>
  <c r="M47" i="7"/>
  <c r="G47" i="7"/>
  <c r="M46" i="7"/>
  <c r="G46" i="7"/>
  <c r="M45" i="7"/>
  <c r="G45" i="7"/>
  <c r="M44" i="7"/>
  <c r="G44" i="7"/>
  <c r="M43" i="7"/>
  <c r="G43" i="7"/>
  <c r="M42" i="7"/>
  <c r="G42" i="7"/>
  <c r="M41" i="7"/>
  <c r="G41" i="7"/>
  <c r="M40" i="7"/>
  <c r="G40" i="7"/>
  <c r="M39" i="7"/>
  <c r="G39" i="7"/>
  <c r="M38" i="7"/>
  <c r="G38" i="7"/>
  <c r="M37" i="7"/>
  <c r="G37" i="7"/>
  <c r="M36" i="7"/>
  <c r="G36" i="7"/>
  <c r="M35" i="7"/>
  <c r="G35" i="7"/>
  <c r="M34" i="7"/>
  <c r="G34" i="7"/>
  <c r="M33" i="7"/>
  <c r="G33" i="7"/>
  <c r="M32" i="7"/>
  <c r="G32" i="7"/>
  <c r="M31" i="7"/>
  <c r="G31" i="7"/>
  <c r="M30" i="7"/>
  <c r="G30" i="7"/>
  <c r="M29" i="7"/>
  <c r="G29" i="7"/>
  <c r="M28" i="7"/>
  <c r="G28" i="7"/>
  <c r="M27" i="7"/>
  <c r="G27" i="7"/>
  <c r="M26" i="7"/>
  <c r="G26" i="7"/>
  <c r="M25" i="7"/>
  <c r="G25" i="7"/>
  <c r="M24" i="7"/>
  <c r="G24" i="7"/>
  <c r="M23" i="7"/>
  <c r="G23" i="7"/>
  <c r="M22" i="7"/>
  <c r="G22" i="7"/>
  <c r="M21" i="7"/>
  <c r="G21" i="7"/>
  <c r="M20" i="7"/>
  <c r="G20" i="7"/>
  <c r="M19" i="7"/>
  <c r="G19" i="7"/>
  <c r="M18" i="7"/>
  <c r="G18" i="7"/>
  <c r="M17" i="7"/>
  <c r="G17" i="7"/>
  <c r="M16" i="7"/>
  <c r="G16" i="7"/>
  <c r="M15" i="7"/>
  <c r="G15" i="7"/>
  <c r="M14" i="7"/>
  <c r="G14" i="7"/>
  <c r="M13" i="7"/>
  <c r="G13" i="7"/>
  <c r="M12" i="7"/>
  <c r="G12" i="7"/>
  <c r="M11" i="7"/>
  <c r="G11" i="7"/>
  <c r="M10" i="7"/>
  <c r="G10" i="7"/>
  <c r="M9" i="7"/>
  <c r="G9" i="7"/>
  <c r="M8" i="7"/>
  <c r="G8" i="7"/>
  <c r="M7" i="7"/>
  <c r="G7" i="7"/>
  <c r="M6" i="7"/>
  <c r="G6" i="7"/>
  <c r="M5" i="7"/>
  <c r="G5" i="7"/>
  <c r="G4" i="7"/>
  <c r="M54" i="6"/>
  <c r="G54" i="6"/>
  <c r="M53" i="6"/>
  <c r="G53" i="6"/>
  <c r="M52" i="6"/>
  <c r="G52" i="6"/>
  <c r="M51" i="6"/>
  <c r="G51" i="6"/>
  <c r="M50" i="6"/>
  <c r="G50" i="6"/>
  <c r="M49" i="6"/>
  <c r="G49" i="6"/>
  <c r="M48" i="6"/>
  <c r="G48" i="6"/>
  <c r="M47" i="6"/>
  <c r="G47" i="6"/>
  <c r="M46" i="6"/>
  <c r="G46" i="6"/>
  <c r="M45" i="6"/>
  <c r="G45" i="6"/>
  <c r="M44" i="6"/>
  <c r="G44" i="6"/>
  <c r="M43" i="6"/>
  <c r="G43" i="6"/>
  <c r="M42" i="6"/>
  <c r="G42" i="6"/>
  <c r="M41" i="6"/>
  <c r="G41" i="6"/>
  <c r="M40" i="6"/>
  <c r="G40" i="6"/>
  <c r="M39" i="6"/>
  <c r="G39" i="6"/>
  <c r="M38" i="6"/>
  <c r="G38" i="6"/>
  <c r="M37" i="6"/>
  <c r="G37" i="6"/>
  <c r="M36" i="6"/>
  <c r="G36" i="6"/>
  <c r="M35" i="6"/>
  <c r="G35" i="6"/>
  <c r="M34" i="6"/>
  <c r="G34" i="6"/>
  <c r="M33" i="6"/>
  <c r="G33" i="6"/>
  <c r="M32" i="6"/>
  <c r="G32" i="6"/>
  <c r="M31" i="6"/>
  <c r="G31" i="6"/>
  <c r="M30" i="6"/>
  <c r="G30" i="6"/>
  <c r="M29" i="6"/>
  <c r="G29" i="6"/>
  <c r="M28" i="6"/>
  <c r="G28" i="6"/>
  <c r="M27" i="6"/>
  <c r="G27" i="6"/>
  <c r="M26" i="6"/>
  <c r="G26" i="6"/>
  <c r="M25" i="6"/>
  <c r="G25" i="6"/>
  <c r="M24" i="6"/>
  <c r="G24" i="6"/>
  <c r="M23" i="6"/>
  <c r="G23" i="6"/>
  <c r="M22" i="6"/>
  <c r="G22" i="6"/>
  <c r="M21" i="6"/>
  <c r="G21" i="6"/>
  <c r="M20" i="6"/>
  <c r="G20" i="6"/>
  <c r="M19" i="6"/>
  <c r="G19" i="6"/>
  <c r="M18" i="6"/>
  <c r="G18" i="6"/>
  <c r="M17" i="6"/>
  <c r="G17" i="6"/>
  <c r="M16" i="6"/>
  <c r="G16" i="6"/>
  <c r="M15" i="6"/>
  <c r="G15" i="6"/>
  <c r="M14" i="6"/>
  <c r="G14" i="6"/>
  <c r="M13" i="6"/>
  <c r="G13" i="6"/>
  <c r="M12" i="6"/>
  <c r="G12" i="6"/>
  <c r="M11" i="6"/>
  <c r="G11" i="6"/>
  <c r="M10" i="6"/>
  <c r="G10" i="6"/>
  <c r="M9" i="6"/>
  <c r="G9" i="6"/>
  <c r="M8" i="6"/>
  <c r="G8" i="6"/>
  <c r="M7" i="6"/>
  <c r="G7" i="6"/>
  <c r="M6" i="6"/>
  <c r="G6" i="6"/>
  <c r="M5" i="6"/>
  <c r="G5" i="6"/>
  <c r="G4" i="6"/>
  <c r="M54" i="5"/>
  <c r="G54" i="5"/>
  <c r="M53" i="5"/>
  <c r="G53" i="5"/>
  <c r="M52" i="5"/>
  <c r="G52" i="5"/>
  <c r="M51" i="5"/>
  <c r="G51" i="5"/>
  <c r="M50" i="5"/>
  <c r="G50" i="5"/>
  <c r="M49" i="5"/>
  <c r="G49" i="5"/>
  <c r="M48" i="5"/>
  <c r="G48" i="5"/>
  <c r="M47" i="5"/>
  <c r="G47" i="5"/>
  <c r="M46" i="5"/>
  <c r="G46" i="5"/>
  <c r="M45" i="5"/>
  <c r="G45" i="5"/>
  <c r="M44" i="5"/>
  <c r="G44" i="5"/>
  <c r="M43" i="5"/>
  <c r="G43" i="5"/>
  <c r="M42" i="5"/>
  <c r="G42" i="5"/>
  <c r="M41" i="5"/>
  <c r="G41" i="5"/>
  <c r="M40" i="5"/>
  <c r="G40" i="5"/>
  <c r="M39" i="5"/>
  <c r="G39" i="5"/>
  <c r="M38" i="5"/>
  <c r="G38" i="5"/>
  <c r="M37" i="5"/>
  <c r="G37" i="5"/>
  <c r="M36" i="5"/>
  <c r="G36" i="5"/>
  <c r="M35" i="5"/>
  <c r="G35" i="5"/>
  <c r="M34" i="5"/>
  <c r="G34" i="5"/>
  <c r="M33" i="5"/>
  <c r="G33" i="5"/>
  <c r="M32" i="5"/>
  <c r="G32" i="5"/>
  <c r="M31" i="5"/>
  <c r="G31" i="5"/>
  <c r="M30" i="5"/>
  <c r="G30" i="5"/>
  <c r="M29" i="5"/>
  <c r="G29" i="5"/>
  <c r="M28" i="5"/>
  <c r="G28" i="5"/>
  <c r="M27" i="5"/>
  <c r="G27" i="5"/>
  <c r="M26" i="5"/>
  <c r="G26" i="5"/>
  <c r="M25" i="5"/>
  <c r="G25" i="5"/>
  <c r="M24" i="5"/>
  <c r="G24" i="5"/>
  <c r="M23" i="5"/>
  <c r="G23" i="5"/>
  <c r="M22" i="5"/>
  <c r="G22" i="5"/>
  <c r="M21" i="5"/>
  <c r="G21" i="5"/>
  <c r="M20" i="5"/>
  <c r="G20" i="5"/>
  <c r="M19" i="5"/>
  <c r="G19" i="5"/>
  <c r="M18" i="5"/>
  <c r="G18" i="5"/>
  <c r="M17" i="5"/>
  <c r="G17" i="5"/>
  <c r="M16" i="5"/>
  <c r="G16" i="5"/>
  <c r="M15" i="5"/>
  <c r="G15" i="5"/>
  <c r="M14" i="5"/>
  <c r="G14" i="5"/>
  <c r="M13" i="5"/>
  <c r="G13" i="5"/>
  <c r="M12" i="5"/>
  <c r="G12" i="5"/>
  <c r="M11" i="5"/>
  <c r="G11" i="5"/>
  <c r="M10" i="5"/>
  <c r="G10" i="5"/>
  <c r="M9" i="5"/>
  <c r="G9" i="5"/>
  <c r="M8" i="5"/>
  <c r="G8" i="5"/>
  <c r="M7" i="5"/>
  <c r="G7" i="5"/>
  <c r="M6" i="5"/>
  <c r="G6" i="5"/>
  <c r="M5" i="5"/>
  <c r="G5" i="5"/>
  <c r="G4" i="5"/>
  <c r="E12" i="4"/>
  <c r="D12" i="4"/>
  <c r="C12" i="4"/>
  <c r="B12" i="4"/>
  <c r="E11" i="4"/>
  <c r="D11" i="4"/>
  <c r="C11" i="4"/>
  <c r="B11" i="4"/>
  <c r="E10" i="4"/>
  <c r="D10" i="4"/>
  <c r="C10" i="4"/>
  <c r="B10" i="4"/>
  <c r="E9" i="4"/>
  <c r="D9" i="4"/>
  <c r="C9" i="4"/>
  <c r="B9" i="4"/>
  <c r="E8" i="4"/>
  <c r="D8" i="4"/>
  <c r="C8" i="4"/>
  <c r="B8" i="4"/>
  <c r="E7" i="4"/>
  <c r="D7" i="4"/>
  <c r="C7" i="4"/>
  <c r="B7" i="4"/>
  <c r="E6" i="4"/>
  <c r="D6" i="4"/>
  <c r="C6" i="4"/>
  <c r="B6" i="4"/>
  <c r="E5" i="4"/>
  <c r="D5" i="4"/>
  <c r="C5" i="4"/>
  <c r="B5" i="4"/>
  <c r="A4" i="4"/>
  <c r="M54" i="3"/>
  <c r="G54" i="3"/>
  <c r="M53" i="3"/>
  <c r="G53" i="3"/>
  <c r="M52" i="3"/>
  <c r="G52" i="3"/>
  <c r="M51" i="3"/>
  <c r="G51" i="3"/>
  <c r="M50" i="3"/>
  <c r="G50" i="3"/>
  <c r="M49" i="3"/>
  <c r="G49" i="3"/>
  <c r="M48" i="3"/>
  <c r="G48" i="3"/>
  <c r="M47" i="3"/>
  <c r="G47" i="3"/>
  <c r="M46" i="3"/>
  <c r="G46" i="3"/>
  <c r="M45" i="3"/>
  <c r="G45" i="3"/>
  <c r="M44" i="3"/>
  <c r="G44" i="3"/>
  <c r="M43" i="3"/>
  <c r="G43" i="3"/>
  <c r="M42" i="3"/>
  <c r="G42" i="3"/>
  <c r="M41" i="3"/>
  <c r="G41" i="3"/>
  <c r="M40" i="3"/>
  <c r="G40" i="3"/>
  <c r="M39" i="3"/>
  <c r="G39" i="3"/>
  <c r="M38" i="3"/>
  <c r="G38" i="3"/>
  <c r="M37" i="3"/>
  <c r="G37" i="3"/>
  <c r="M36" i="3"/>
  <c r="G36" i="3"/>
  <c r="M35" i="3"/>
  <c r="G35" i="3"/>
  <c r="M34" i="3"/>
  <c r="G34" i="3"/>
  <c r="M33" i="3"/>
  <c r="G33" i="3"/>
  <c r="M32" i="3"/>
  <c r="G32" i="3"/>
  <c r="M31" i="3"/>
  <c r="G31" i="3"/>
  <c r="M30" i="3"/>
  <c r="G30" i="3"/>
  <c r="M29" i="3"/>
  <c r="G29" i="3"/>
  <c r="M28" i="3"/>
  <c r="G28" i="3"/>
  <c r="M27" i="3"/>
  <c r="G27" i="3"/>
  <c r="M26" i="3"/>
  <c r="G26" i="3"/>
  <c r="M25" i="3"/>
  <c r="G25" i="3"/>
  <c r="M24" i="3"/>
  <c r="G24" i="3"/>
  <c r="M23" i="3"/>
  <c r="G23" i="3"/>
  <c r="M22" i="3"/>
  <c r="G22" i="3"/>
  <c r="M21" i="3"/>
  <c r="G21" i="3"/>
  <c r="M20" i="3"/>
  <c r="G20" i="3"/>
  <c r="M19" i="3"/>
  <c r="G19" i="3"/>
  <c r="M18" i="3"/>
  <c r="G18" i="3"/>
  <c r="M17" i="3"/>
  <c r="G17" i="3"/>
  <c r="M16" i="3"/>
  <c r="G16" i="3"/>
  <c r="M15" i="3"/>
  <c r="G15" i="3"/>
  <c r="M14" i="3"/>
  <c r="G14" i="3"/>
  <c r="M13" i="3"/>
  <c r="G13" i="3"/>
  <c r="M12" i="3"/>
  <c r="G12" i="3"/>
  <c r="M11" i="3"/>
  <c r="G11" i="3"/>
  <c r="M10" i="3"/>
  <c r="G10" i="3"/>
  <c r="M9" i="3"/>
  <c r="G9" i="3"/>
  <c r="M8" i="3"/>
  <c r="G8" i="3"/>
  <c r="M7" i="3"/>
  <c r="G7" i="3"/>
  <c r="M6" i="3"/>
  <c r="G6" i="3"/>
  <c r="M5" i="3"/>
  <c r="G5" i="3"/>
  <c r="G4" i="3"/>
  <c r="N8" i="19" l="1"/>
  <c r="N11" i="19"/>
  <c r="N12" i="19"/>
  <c r="N13" i="19"/>
  <c r="N14" i="19"/>
  <c r="N15" i="19"/>
  <c r="N16" i="19"/>
  <c r="N17" i="19"/>
  <c r="N6" i="19"/>
  <c r="N7" i="19"/>
  <c r="N9" i="19"/>
  <c r="N10" i="19"/>
  <c r="N8" i="15"/>
  <c r="N6" i="15"/>
  <c r="N11" i="13"/>
  <c r="N15" i="11"/>
  <c r="N17" i="9"/>
  <c r="N5" i="9"/>
  <c r="N6" i="9"/>
  <c r="N7" i="9"/>
  <c r="N8" i="9"/>
  <c r="N9" i="9"/>
  <c r="N10" i="9"/>
  <c r="N11" i="9"/>
  <c r="N12" i="9"/>
  <c r="N13" i="9"/>
  <c r="N14" i="9"/>
  <c r="N15" i="9"/>
  <c r="N16" i="9"/>
  <c r="N10" i="8"/>
  <c r="N5" i="6"/>
  <c r="N17" i="6"/>
  <c r="N6" i="6"/>
  <c r="N7" i="6"/>
  <c r="N8" i="6"/>
  <c r="N14" i="5"/>
  <c r="N7" i="17"/>
  <c r="N7" i="15"/>
  <c r="N15" i="10"/>
  <c r="N14" i="18"/>
  <c r="N6" i="18"/>
  <c r="N15" i="18"/>
  <c r="N10" i="17"/>
  <c r="N11" i="17"/>
  <c r="N12" i="17"/>
  <c r="N17" i="17"/>
  <c r="N6" i="17"/>
  <c r="N8" i="17"/>
  <c r="N9" i="17"/>
  <c r="N13" i="17"/>
  <c r="N9" i="16"/>
  <c r="N14" i="15"/>
  <c r="N16" i="15"/>
  <c r="N14" i="14"/>
  <c r="N7" i="14"/>
  <c r="N8" i="14"/>
  <c r="N9" i="14"/>
  <c r="N10" i="14"/>
  <c r="N6" i="14"/>
  <c r="N6" i="13"/>
  <c r="N7" i="13"/>
  <c r="N8" i="13"/>
  <c r="N9" i="13"/>
  <c r="N5" i="12"/>
  <c r="N11" i="12"/>
  <c r="N12" i="12"/>
  <c r="N13" i="12"/>
  <c r="N6" i="12"/>
  <c r="N7" i="12"/>
  <c r="N8" i="12"/>
  <c r="N16" i="11"/>
  <c r="N5" i="10"/>
  <c r="N12" i="10"/>
  <c r="N16" i="10"/>
  <c r="N17" i="10"/>
  <c r="N14" i="10"/>
  <c r="N6" i="10"/>
  <c r="N12" i="8"/>
  <c r="N13" i="8"/>
  <c r="N6" i="8"/>
  <c r="N9" i="8"/>
  <c r="N14" i="8"/>
  <c r="N17" i="8"/>
  <c r="N5" i="8"/>
  <c r="N7" i="8"/>
  <c r="N8" i="8"/>
  <c r="N11" i="8"/>
  <c r="N15" i="5"/>
  <c r="N5" i="17"/>
  <c r="N14" i="17"/>
  <c r="N15" i="17"/>
  <c r="N16" i="17"/>
  <c r="N14" i="16"/>
  <c r="N6" i="16"/>
  <c r="N7" i="16"/>
  <c r="N16" i="16"/>
  <c r="N15" i="16"/>
  <c r="N17" i="16"/>
  <c r="N5" i="16"/>
  <c r="N8" i="16"/>
  <c r="N10" i="16"/>
  <c r="N11" i="16"/>
  <c r="N12" i="16"/>
  <c r="N13" i="16"/>
  <c r="N16" i="18"/>
  <c r="N17" i="18"/>
  <c r="N5" i="18"/>
  <c r="N7" i="18"/>
  <c r="N8" i="18"/>
  <c r="N9" i="18"/>
  <c r="N10" i="18"/>
  <c r="N11" i="18"/>
  <c r="N12" i="18"/>
  <c r="N13" i="18"/>
  <c r="N9" i="15"/>
  <c r="N10" i="15"/>
  <c r="N12" i="15"/>
  <c r="N15" i="15"/>
  <c r="N17" i="15"/>
  <c r="N5" i="15"/>
  <c r="N11" i="15"/>
  <c r="N13" i="15"/>
  <c r="N15" i="14"/>
  <c r="N17" i="14"/>
  <c r="N5" i="14"/>
  <c r="N11" i="14"/>
  <c r="N16" i="14"/>
  <c r="N12" i="14"/>
  <c r="N13" i="14"/>
  <c r="N14" i="13"/>
  <c r="N15" i="13"/>
  <c r="N16" i="13"/>
  <c r="N17" i="13"/>
  <c r="N5" i="13"/>
  <c r="N12" i="13"/>
  <c r="N13" i="13"/>
  <c r="N10" i="13"/>
  <c r="N10" i="12"/>
  <c r="N9" i="12"/>
  <c r="N14" i="12"/>
  <c r="N15" i="12"/>
  <c r="N16" i="12"/>
  <c r="N17" i="12"/>
  <c r="N7" i="10"/>
  <c r="N8" i="10"/>
  <c r="N9" i="10"/>
  <c r="N10" i="10"/>
  <c r="N11" i="10"/>
  <c r="N13" i="10"/>
  <c r="N14" i="11"/>
  <c r="N17" i="11"/>
  <c r="N5" i="11"/>
  <c r="N6" i="11"/>
  <c r="N7" i="11"/>
  <c r="N8" i="11"/>
  <c r="N9" i="11"/>
  <c r="N10" i="11"/>
  <c r="N11" i="11"/>
  <c r="N12" i="11"/>
  <c r="N13" i="11"/>
  <c r="N15" i="8"/>
  <c r="N16" i="8"/>
  <c r="N6" i="7"/>
  <c r="N9" i="6"/>
  <c r="N10" i="6"/>
  <c r="N11" i="6"/>
  <c r="N12" i="6"/>
  <c r="N13" i="6"/>
  <c r="N14" i="6"/>
  <c r="N15" i="6"/>
  <c r="N16" i="6"/>
  <c r="N16" i="5"/>
  <c r="N17" i="5"/>
  <c r="N5" i="5"/>
  <c r="N6" i="5"/>
  <c r="N7" i="5"/>
  <c r="N8" i="5"/>
  <c r="N9" i="5"/>
  <c r="N10" i="5"/>
  <c r="N11" i="5"/>
  <c r="N12" i="5"/>
  <c r="N13" i="5"/>
  <c r="N5" i="7"/>
  <c r="N17" i="7"/>
  <c r="N16" i="7"/>
  <c r="N15" i="7"/>
  <c r="N14" i="7"/>
  <c r="N13" i="7"/>
  <c r="N12" i="7"/>
  <c r="N11" i="7"/>
  <c r="N10" i="7"/>
  <c r="N9" i="7"/>
  <c r="N8" i="7"/>
  <c r="N7" i="7"/>
  <c r="C1" i="23"/>
  <c r="A174" i="25"/>
</calcChain>
</file>

<file path=xl/sharedStrings.xml><?xml version="1.0" encoding="utf-8"?>
<sst xmlns="http://schemas.openxmlformats.org/spreadsheetml/2006/main" count="603" uniqueCount="145">
  <si>
    <t>NACBMA Registration &amp; Scoring System</t>
  </si>
  <si>
    <t>Background</t>
  </si>
  <si>
    <t xml:space="preserve">This Google Sheet file is meant to make it easier for your club to register and tally scores for each competitor at your comp. The basic layout was based off of the Microsoft Excel result sheets from the 2015 Worlds in Leogang, Austria. This version was built out in Google Sheets by the RVA Beard League for internal club use in 2016 (through the present day) and has been used at comps around the country since the middle of last year, including for registration and scoring at the 2018 Great American BMC. With each comp, updates and revisions have been made to simplify things as much as possible. 
</t>
  </si>
  <si>
    <t xml:space="preserve">The intent is to have the MC(s) read the contestant info off the left half of the category tab from their phone or tablet. The right half for each competitor lists their scores that the scorekeeper enters from the paper sheets. In our experience, having a hard copy for the judges is easier for them to write comments and notes about each competitor and, more importanly, to have a record to double-check scores if need be.
</t>
  </si>
  <si>
    <t xml:space="preserve">Since each club has it's own selection of categories, we've kept this fairly generic. No one's trying to tell you which categories to have. Most of the setup beforehand will be in typing the names of the categories in the next tab.
</t>
  </si>
  <si>
    <t>For Each Category</t>
  </si>
  <si>
    <t>•</t>
  </si>
  <si>
    <r>
      <rPr>
        <b/>
        <sz val="12"/>
        <color rgb="FF000000"/>
        <rFont val="Roboto"/>
      </rPr>
      <t>Each of your categories will go on its own tab.</t>
    </r>
    <r>
      <rPr>
        <sz val="12"/>
        <color rgb="FF000000"/>
        <rFont val="Roboto"/>
      </rPr>
      <t xml:space="preserve"> Switch between them down at the bottom. The "All Sheets" icon (the stack of lines next to the "+" icon in the left corner) at the bottom is a quick way to skip ahead or back, to go to another tab that may have scrolled off the screen.</t>
    </r>
  </si>
  <si>
    <r>
      <rPr>
        <b/>
        <sz val="12"/>
        <rFont val="Roboto"/>
      </rPr>
      <t>Rename a tab for each of your categories</t>
    </r>
    <r>
      <rPr>
        <sz val="12"/>
        <rFont val="Roboto"/>
      </rPr>
      <t xml:space="preserve"> (for example, Cat 5  to Natural Moustache). To do so, click on the arrow to the right of the name, and go up to Rename, then type in the new name. The order the tabs are in are the order they'll be on the Awards tab, so listing them in the order they'll be in that night is best.</t>
    </r>
  </si>
  <si>
    <r>
      <rPr>
        <sz val="12"/>
        <rFont val="Roboto,Arial"/>
      </rPr>
      <t xml:space="preserve">On the Your Categories tab below, </t>
    </r>
    <r>
      <rPr>
        <b/>
        <sz val="12"/>
        <rFont val="Roboto,Arial"/>
      </rPr>
      <t>enter in the names of the categories</t>
    </r>
    <r>
      <rPr>
        <sz val="12"/>
        <rFont val="Roboto,Arial"/>
      </rPr>
      <t xml:space="preserve"> (for example, from CATEGORY 1 NAME to NATURAL MOUSTACHE)  -- this will auto-update the names on each sheet, in the upcoming category section for the MC, and the category titles in the Awards section</t>
    </r>
  </si>
  <si>
    <t>Delete any extra "Cat #" tabs you don't need. To do so, click on the down arrow to the right of the name, and go up to Delete, and click OK. On the Awards tab, ou can also remove any additional categories listed on the Awards tab by selecting them and deleting them, or just ignoring them once you get to your final category. Your call.</t>
  </si>
  <si>
    <t>Feel free to clear out the existing notes on each category tab and fill in whatever information, details, break notifications, or whatever, may be useful for the MC to announce to the crowd. It's also been used in the past to get the MC's attention to communicate notes about speeding up/slowing down/etc.</t>
  </si>
  <si>
    <t>At the top of each category tab is the name of the following tab/category. This way as things get started for that category, the MC can call up competitors for the next one to start lining up.</t>
  </si>
  <si>
    <t>Once the first score is entered, the cell will go from white to tan to do the rows with scores show up better. When a total score is very high (49.0 or higher) and has a potential to be a Best In Show in many circumstances, the cell will turn red so the Scorekeeper can make note of it for later if need be.</t>
  </si>
  <si>
    <r>
      <rPr>
        <b/>
        <sz val="12"/>
        <color rgb="FF000000"/>
        <rFont val="Roboto"/>
      </rPr>
      <t>In the event of a tie</t>
    </r>
    <r>
      <rPr>
        <sz val="12"/>
        <color rgb="FF000000"/>
        <rFont val="Roboto"/>
      </rPr>
      <t xml:space="preserve">, the score cells will turn pink and yellow to let you know something may need to be done, depending on the placing. On the Awards tab, if the tie is to determine a top-tier place, work it out with whatever system you have in place: Rock-Paper-Scissors, Arm Wrestling, or preferrably having the judges re-judge, and type in the new placings to the right. The old placing on the left will be blacked out and the new color-coded placing will appear just to the right of the score. </t>
    </r>
    <r>
      <rPr>
        <i/>
        <sz val="12"/>
        <color rgb="FF000000"/>
        <rFont val="Roboto"/>
      </rPr>
      <t>Refer to the "Example Results" tab below to see what it should look like.</t>
    </r>
  </si>
  <si>
    <t>Best Practices</t>
  </si>
  <si>
    <r>
      <rPr>
        <b/>
        <sz val="12"/>
        <rFont val="Roboto"/>
      </rPr>
      <t>For Registration</t>
    </r>
    <r>
      <rPr>
        <sz val="12"/>
        <rFont val="Roboto"/>
      </rPr>
      <t>: It's easiest to have a laptop to enter the names and info into the sheet. A tablet would work, but a full keyboard makes it a lot easier. If you have the hardware available, you can have more than one person registering people since you can see other people making changes in real time. In the past we've tried to have each person stick to specific categories to lessen any potential confusion.</t>
    </r>
  </si>
  <si>
    <r>
      <rPr>
        <b/>
        <sz val="12"/>
        <rFont val="Roboto"/>
      </rPr>
      <t>For the Scorekeeper</t>
    </r>
    <r>
      <rPr>
        <sz val="12"/>
        <rFont val="Roboto"/>
      </rPr>
      <t>: It's easiest to have a laptop off-stage for entering the scores into the sheet (usually the same one from registration). A tablet would work, but a full keyboard makes it a lot faster to enter.</t>
    </r>
  </si>
  <si>
    <r>
      <rPr>
        <b/>
        <sz val="12"/>
        <rFont val="Roboto"/>
      </rPr>
      <t>For the MC</t>
    </r>
    <r>
      <rPr>
        <sz val="12"/>
        <rFont val="Roboto"/>
      </rPr>
      <t>: The interface is a lot better if you download and use the Google Sheets app for your device, but you can also use your device's browser instead for similar functionality. We used older iPads for the MCs at the 2018 GABMC and couldn't load the app, so we used Safari on them and had no issues.</t>
    </r>
  </si>
  <si>
    <t>List the categories in the show order to keep things linear and easy for the MC and scorekeeper.</t>
  </si>
  <si>
    <t>The results section on the Awards tab is locked since a fat-finger from someone can enter a weird character or delete something, confusing how the results are displayed. This will prevent you from clearing out the extra "results" for the tabs that aren't there. We'll see if Google can set those permissions on an Owner level vs. specific accounts like they do today.</t>
  </si>
  <si>
    <t>The Registrar and Scorekeeper should be given Edit rights to the sheet, while the MC should only have View permissions, so there are as few people who can make changes (intentional or not) to the spreadsheet.</t>
  </si>
  <si>
    <t>Feel free to clear out the existing notes on each category tab and fill in whatever information, details, break notifications, or whatever, may be useful for the MC to announce to the crowd.</t>
  </si>
  <si>
    <t>Enter the name of each of your categories here, and it will be auto-filled into the rest of the sheets:</t>
  </si>
  <si>
    <t>Category 1</t>
  </si>
  <si>
    <t>Category 2</t>
  </si>
  <si>
    <t>Category 3</t>
  </si>
  <si>
    <t>Category 4</t>
  </si>
  <si>
    <t>Category 5</t>
  </si>
  <si>
    <t>Category 6</t>
  </si>
  <si>
    <t>Category 7</t>
  </si>
  <si>
    <t>Category 8</t>
  </si>
  <si>
    <t>Category 9</t>
  </si>
  <si>
    <t>Category 10</t>
  </si>
  <si>
    <t>Category 11</t>
  </si>
  <si>
    <t>Category 12</t>
  </si>
  <si>
    <t>Category 13</t>
  </si>
  <si>
    <t>Category 14</t>
  </si>
  <si>
    <t>Category 15</t>
  </si>
  <si>
    <t>Category 15 Name</t>
  </si>
  <si>
    <t>Category 16</t>
  </si>
  <si>
    <t>Category 16 Name</t>
  </si>
  <si>
    <t>Category 17</t>
  </si>
  <si>
    <t>Category 17 Name</t>
  </si>
  <si>
    <t>Category 18</t>
  </si>
  <si>
    <t>Category 18 Name</t>
  </si>
  <si>
    <t>Category 19</t>
  </si>
  <si>
    <t>Category 19 Name</t>
  </si>
  <si>
    <t>Category 20</t>
  </si>
  <si>
    <t>Category 20 Name</t>
  </si>
  <si>
    <t>Up Next:</t>
  </si>
  <si>
    <t>Goatee Natural</t>
  </si>
  <si>
    <t>SCORES</t>
  </si>
  <si>
    <t xml:space="preserve">EXAMPLE: PRESIDENTIAL FACIAL HAIR  </t>
  </si>
  <si>
    <t xml:space="preserve">The moustache as it naturally grows, the more natural the better. No closed curls. Only those hairs growing from within 5/8" (1.5 cm) past the end of the upper lip may be grown out. The moustache may be shaped but without aids. No styling aids allowed. </t>
  </si>
  <si>
    <t>#</t>
  </si>
  <si>
    <t>Name</t>
  </si>
  <si>
    <t>Club</t>
  </si>
  <si>
    <t>City</t>
  </si>
  <si>
    <t>State</t>
  </si>
  <si>
    <t>Judge 1</t>
  </si>
  <si>
    <t>Judge 2</t>
  </si>
  <si>
    <t>Judge 3</t>
  </si>
  <si>
    <t>Judge 4</t>
  </si>
  <si>
    <t>Judge 5</t>
  </si>
  <si>
    <t>TOTAL</t>
  </si>
  <si>
    <t>John Quincy Adams</t>
  </si>
  <si>
    <t>Ambassadors Chops Club</t>
  </si>
  <si>
    <t>Braintree</t>
  </si>
  <si>
    <t>MA</t>
  </si>
  <si>
    <t>Zachary Taylor</t>
  </si>
  <si>
    <t>Old Rough and Ready FHC</t>
  </si>
  <si>
    <t>Barboursville</t>
  </si>
  <si>
    <t>VA</t>
  </si>
  <si>
    <t>Abraham Lincoln</t>
  </si>
  <si>
    <t>Office Seekers Partial Beard Society</t>
  </si>
  <si>
    <t>Sinking Spring</t>
  </si>
  <si>
    <t>KY</t>
  </si>
  <si>
    <t>Ulysses S. Grant</t>
  </si>
  <si>
    <t>Beard Club of the Union</t>
  </si>
  <si>
    <t>Point Pleasant</t>
  </si>
  <si>
    <t>OH</t>
  </si>
  <si>
    <t>Rutherford B. Hayes</t>
  </si>
  <si>
    <t>Ohio Beard &amp; Moustache Club</t>
  </si>
  <si>
    <t>Delaware</t>
  </si>
  <si>
    <t>James A. Garfield</t>
  </si>
  <si>
    <t>Gunshot FHC</t>
  </si>
  <si>
    <t>Moreland Hills</t>
  </si>
  <si>
    <t>Chester A. Arthur</t>
  </si>
  <si>
    <t>Civil Service Beard &amp; Moustache Society</t>
  </si>
  <si>
    <t>Fairfield</t>
  </si>
  <si>
    <t>VT</t>
  </si>
  <si>
    <t>Benjamin Harrison</t>
  </si>
  <si>
    <t>Bearded Antitrusters League</t>
  </si>
  <si>
    <t>North Bend</t>
  </si>
  <si>
    <t>William H. Taft</t>
  </si>
  <si>
    <t>SCOTUS Mustache Alliance</t>
  </si>
  <si>
    <t>Cincinnati</t>
  </si>
  <si>
    <t>Theodore Roosevelt</t>
  </si>
  <si>
    <t>Bull Moosetache Club</t>
  </si>
  <si>
    <t>Oyster Bay</t>
  </si>
  <si>
    <t>NY</t>
  </si>
  <si>
    <t>Scores Entered</t>
  </si>
  <si>
    <t>Tied Score</t>
  </si>
  <si>
    <t>Very High Score (49.0+)</t>
  </si>
  <si>
    <t>AWARDS ROUND</t>
  </si>
  <si>
    <t>IN CASE OF TOP 3 TIE</t>
  </si>
  <si>
    <r>
      <rPr>
        <i/>
        <sz val="14"/>
        <color rgb="FF000000"/>
        <rFont val="Roboto"/>
      </rPr>
      <t xml:space="preserve">Your top scores will auto-fill below. 
The lower places are also listed in case of a 3-way tie, 2 2-way ties, or any other oddities.  
</t>
    </r>
    <r>
      <rPr>
        <b/>
        <i/>
        <sz val="14"/>
        <color rgb="FF000000"/>
        <rFont val="Roboto"/>
      </rPr>
      <t>IF there's a tie, type in the new placings in the "Revised Placings" column. 
Those are the tie-breaking results.</t>
    </r>
  </si>
  <si>
    <t>New ranking/
place from that category</t>
  </si>
  <si>
    <t>Score</t>
  </si>
  <si>
    <t>Revised Placings</t>
  </si>
  <si>
    <t>1st</t>
  </si>
  <si>
    <t>2nd</t>
  </si>
  <si>
    <t>3rd</t>
  </si>
  <si>
    <t>Tie?</t>
  </si>
  <si>
    <t>&lt;SPONSOR SHOUT OUTS OR NOTES FOR THE MC&gt;
Category Description: category description can go here for extra on-stage material and explained for newbies</t>
  </si>
  <si>
    <r>
      <rPr>
        <i/>
        <sz val="14"/>
        <color rgb="FF000000"/>
        <rFont val="Roboto"/>
      </rPr>
      <t xml:space="preserve">Your top scores will auto-fill below. 
The lower places are also listed in case of a 3-way tie, 2 2-way ties, or any other oddities.  
</t>
    </r>
    <r>
      <rPr>
        <b/>
        <i/>
        <sz val="14"/>
        <color rgb="FF000000"/>
        <rFont val="Roboto"/>
      </rPr>
      <t>Scorekeeper: IF there's a tie, type in the new placings in the "Revised Placings" column. 
Those are the tie-breaking results.</t>
    </r>
  </si>
  <si>
    <t>"</t>
  </si>
  <si>
    <t>Kids</t>
  </si>
  <si>
    <t>Teens</t>
  </si>
  <si>
    <t>Whiskerina Natural</t>
  </si>
  <si>
    <t>Freestyle</t>
  </si>
  <si>
    <t>Chops</t>
  </si>
  <si>
    <t>Whiskerina Creative</t>
  </si>
  <si>
    <t>Goatee</t>
  </si>
  <si>
    <t>Styled Stache</t>
  </si>
  <si>
    <t>Whaler</t>
  </si>
  <si>
    <t>Best Groomed</t>
  </si>
  <si>
    <t>Best Under 4"</t>
  </si>
  <si>
    <t>Best Under 8"</t>
  </si>
  <si>
    <t>Best Under 12"</t>
  </si>
  <si>
    <t>Best Over 12"</t>
  </si>
  <si>
    <t>Whiskerina Realistic</t>
  </si>
  <si>
    <t>Full Beard Styled Stache</t>
  </si>
  <si>
    <t>Freestyle!</t>
  </si>
  <si>
    <t xml:space="preserve"> Styled Stache</t>
  </si>
  <si>
    <t>Natural Moustache</t>
  </si>
  <si>
    <t>Full Beard 0-4</t>
  </si>
  <si>
    <t>Full Beard 4 - 8</t>
  </si>
  <si>
    <t>Full Beard 8-12</t>
  </si>
  <si>
    <t>Full Beard over 12</t>
  </si>
  <si>
    <t>chops</t>
  </si>
  <si>
    <t>Goatee under 10</t>
  </si>
  <si>
    <t>Goatee over 10</t>
  </si>
  <si>
    <t>Hatfield and  mccoy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</si>
</sst>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0"/>
      <color rgb="FF000000"/>
      <name val="Arial"/>
    </font>
    <font>
      <sz val="14"/>
      <color rgb="FFFFFFFF"/>
      <name val="Roboto"/>
    </font>
    <font>
      <b/>
      <sz val="18"/>
      <color rgb="FFFFFFFF"/>
      <name val="Roboto"/>
    </font>
    <font>
      <sz val="14"/>
      <name val="Roboto"/>
    </font>
    <font>
      <b/>
      <sz val="16"/>
      <name val="Roboto"/>
    </font>
    <font>
      <sz val="10"/>
      <name val="Arial"/>
      <family val="2"/>
    </font>
    <font>
      <sz val="12"/>
      <name val="Roboto"/>
    </font>
    <font>
      <sz val="12"/>
      <color rgb="FF000000"/>
      <name val="Roboto"/>
    </font>
    <font>
      <sz val="14"/>
      <color rgb="FF000000"/>
      <name val="Docs-Roboto"/>
    </font>
    <font>
      <sz val="12"/>
      <color rgb="FF000000"/>
      <name val="Docs-Roboto"/>
    </font>
    <font>
      <b/>
      <sz val="14"/>
      <name val="Roboto"/>
    </font>
    <font>
      <b/>
      <sz val="14"/>
      <color rgb="FFFFFFFF"/>
      <name val="Roboto Condensed"/>
    </font>
    <font>
      <b/>
      <sz val="12"/>
      <color rgb="FF000000"/>
      <name val="Roboto Condensed"/>
    </font>
    <font>
      <sz val="14"/>
      <color rgb="FF000000"/>
      <name val="Roboto"/>
    </font>
    <font>
      <i/>
      <sz val="14"/>
      <color rgb="FF000000"/>
      <name val="Roboto"/>
    </font>
    <font>
      <b/>
      <sz val="14"/>
      <color rgb="FF000000"/>
      <name val="Roboto"/>
    </font>
    <font>
      <b/>
      <sz val="18"/>
      <color rgb="FF000000"/>
      <name val="Roboto"/>
    </font>
    <font>
      <b/>
      <sz val="12"/>
      <color rgb="FF000000"/>
      <name val="Roboto"/>
    </font>
    <font>
      <b/>
      <sz val="14"/>
      <color rgb="FFFFFFFF"/>
      <name val="Roboto"/>
    </font>
    <font>
      <b/>
      <sz val="12"/>
      <name val="Roboto"/>
    </font>
    <font>
      <b/>
      <sz val="14"/>
      <color rgb="FFFFFF00"/>
      <name val="Roboto"/>
    </font>
    <font>
      <sz val="11"/>
      <color rgb="FF000000"/>
      <name val="Roboto"/>
    </font>
    <font>
      <b/>
      <sz val="12"/>
      <color rgb="FFFFFF00"/>
      <name val="Roboto"/>
    </font>
    <font>
      <i/>
      <sz val="12"/>
      <color rgb="FF000000"/>
      <name val="Roboto"/>
    </font>
    <font>
      <b/>
      <sz val="12"/>
      <color rgb="FFF1C232"/>
      <name val="Roboto"/>
    </font>
    <font>
      <b/>
      <sz val="24"/>
      <name val="Roboto"/>
    </font>
    <font>
      <b/>
      <sz val="14"/>
      <color rgb="FF222222"/>
      <name val="Roboto"/>
    </font>
    <font>
      <b/>
      <sz val="18"/>
      <color rgb="FF999999"/>
      <name val="Roboto"/>
    </font>
    <font>
      <sz val="14"/>
      <color rgb="FF999999"/>
      <name val="Roboto"/>
    </font>
    <font>
      <sz val="14"/>
      <color rgb="FF212121"/>
      <name val="Roboto"/>
    </font>
    <font>
      <sz val="18"/>
      <color rgb="FF000000"/>
      <name val="Roboto"/>
    </font>
    <font>
      <b/>
      <sz val="18"/>
      <name val="Roboto"/>
    </font>
    <font>
      <sz val="18"/>
      <name val="Roboto"/>
    </font>
    <font>
      <sz val="18"/>
      <color rgb="FFFFFFFF"/>
      <name val="Roboto"/>
    </font>
    <font>
      <sz val="12"/>
      <name val="Roboto,Arial"/>
    </font>
    <font>
      <b/>
      <sz val="12"/>
      <name val="Roboto,Arial"/>
    </font>
    <font>
      <b/>
      <i/>
      <sz val="14"/>
      <color rgb="FF000000"/>
      <name val="Roboto"/>
    </font>
  </fonts>
  <fills count="16">
    <fill>
      <patternFill patternType="none"/>
    </fill>
    <fill>
      <patternFill patternType="gray125"/>
    </fill>
    <fill>
      <patternFill patternType="solid">
        <fgColor rgb="FF0B5394"/>
        <bgColor rgb="FF0B5394"/>
      </patternFill>
    </fill>
    <fill>
      <patternFill patternType="solid">
        <fgColor rgb="FFFFFFFF"/>
        <bgColor rgb="FFFFFFFF"/>
      </patternFill>
    </fill>
    <fill>
      <patternFill patternType="solid">
        <fgColor rgb="FFC9DAF8"/>
        <bgColor rgb="FFC9DAF8"/>
      </patternFill>
    </fill>
    <fill>
      <patternFill patternType="solid">
        <fgColor rgb="FF666666"/>
        <bgColor rgb="FF666666"/>
      </patternFill>
    </fill>
    <fill>
      <patternFill patternType="solid">
        <fgColor rgb="FFEFEFEF"/>
        <bgColor rgb="FFEFEFEF"/>
      </patternFill>
    </fill>
    <fill>
      <patternFill patternType="solid">
        <fgColor rgb="FFF1C232"/>
        <bgColor rgb="FFF1C232"/>
      </patternFill>
    </fill>
    <fill>
      <patternFill patternType="solid">
        <fgColor rgb="FFFFF2CC"/>
        <bgColor rgb="FFFFF2CC"/>
      </patternFill>
    </fill>
    <fill>
      <patternFill patternType="solid">
        <fgColor rgb="FFFF00FF"/>
        <bgColor rgb="FFFF00FF"/>
      </patternFill>
    </fill>
    <fill>
      <patternFill patternType="solid">
        <fgColor rgb="FFCC0000"/>
        <bgColor rgb="FFCC0000"/>
      </patternFill>
    </fill>
    <fill>
      <patternFill patternType="solid">
        <fgColor rgb="FFBF9000"/>
        <bgColor rgb="FFBF9000"/>
      </patternFill>
    </fill>
    <fill>
      <patternFill patternType="solid">
        <fgColor rgb="FF000000"/>
        <bgColor rgb="FF000000"/>
      </patternFill>
    </fill>
    <fill>
      <patternFill patternType="solid">
        <fgColor rgb="FF999999"/>
        <bgColor rgb="FF999999"/>
      </patternFill>
    </fill>
    <fill>
      <patternFill patternType="solid">
        <fgColor rgb="FFB45F06"/>
        <bgColor rgb="FFB45F06"/>
      </patternFill>
    </fill>
    <fill>
      <patternFill patternType="solid">
        <fgColor rgb="FF434343"/>
        <bgColor rgb="FF434343"/>
      </patternFill>
    </fill>
  </fills>
  <borders count="15">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bottom style="thin">
        <color rgb="FFFFFFFF"/>
      </bottom>
      <diagonal/>
    </border>
    <border>
      <left/>
      <right style="thin">
        <color rgb="FFFFFFFF"/>
      </right>
      <top/>
      <bottom style="thin">
        <color rgb="FFFFFFFF"/>
      </bottom>
      <diagonal/>
    </border>
    <border>
      <left/>
      <right/>
      <top/>
      <bottom style="thin">
        <color rgb="FFCCCCCC"/>
      </bottom>
      <diagonal/>
    </border>
    <border>
      <left style="thin">
        <color rgb="FFFFFFFF"/>
      </left>
      <right style="thin">
        <color rgb="FFCCCCCC"/>
      </right>
      <top/>
      <bottom style="thin">
        <color rgb="FFCCCCCC"/>
      </bottom>
      <diagonal/>
    </border>
    <border>
      <left style="thin">
        <color rgb="FFFFFFFF"/>
      </left>
      <right style="thin">
        <color rgb="FFCCCCCC"/>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92">
    <xf numFmtId="0" fontId="0" fillId="0" borderId="0" xfId="0" applyAlignment="1">
      <alignment wrapText="1"/>
    </xf>
    <xf numFmtId="0" fontId="3" fillId="3" borderId="1" xfId="0" applyFont="1" applyFill="1" applyBorder="1" applyAlignment="1">
      <alignment vertical="top" wrapText="1"/>
    </xf>
    <xf numFmtId="0" fontId="8" fillId="3" borderId="1" xfId="0" applyFont="1" applyFill="1" applyBorder="1" applyAlignment="1">
      <alignment horizontal="right" vertical="top" wrapText="1"/>
    </xf>
    <xf numFmtId="0" fontId="7" fillId="3" borderId="1" xfId="0" applyFont="1" applyFill="1" applyBorder="1" applyAlignment="1">
      <alignment horizontal="left" vertical="top" wrapText="1"/>
    </xf>
    <xf numFmtId="0" fontId="6" fillId="3" borderId="1" xfId="0" applyFont="1" applyFill="1" applyBorder="1" applyAlignment="1">
      <alignment vertical="top" wrapText="1"/>
    </xf>
    <xf numFmtId="0" fontId="8" fillId="3" borderId="3" xfId="0" applyFont="1" applyFill="1" applyBorder="1" applyAlignment="1">
      <alignment horizontal="right" vertical="top" wrapText="1"/>
    </xf>
    <xf numFmtId="0" fontId="6" fillId="3" borderId="3" xfId="0" applyFont="1" applyFill="1" applyBorder="1" applyAlignment="1">
      <alignment vertical="top" wrapText="1"/>
    </xf>
    <xf numFmtId="0" fontId="9" fillId="3" borderId="1" xfId="0" applyFont="1" applyFill="1" applyBorder="1" applyAlignment="1">
      <alignment horizontal="left" vertical="top" wrapText="1"/>
    </xf>
    <xf numFmtId="0" fontId="10" fillId="3" borderId="1" xfId="0" applyFont="1" applyFill="1" applyBorder="1" applyAlignment="1">
      <alignment vertical="top" wrapText="1"/>
    </xf>
    <xf numFmtId="0" fontId="12" fillId="4" borderId="7" xfId="0" applyFont="1" applyFill="1" applyBorder="1" applyAlignment="1">
      <alignment horizontal="right" vertical="center" wrapText="1"/>
    </xf>
    <xf numFmtId="0" fontId="13" fillId="3" borderId="0" xfId="0" applyFont="1" applyFill="1" applyAlignment="1">
      <alignment vertical="center" wrapText="1"/>
    </xf>
    <xf numFmtId="0" fontId="13" fillId="3" borderId="0" xfId="0" applyFont="1" applyFill="1" applyAlignment="1">
      <alignment horizontal="left" vertical="center" wrapText="1"/>
    </xf>
    <xf numFmtId="0" fontId="12" fillId="4" borderId="8" xfId="0" applyFont="1" applyFill="1" applyBorder="1" applyAlignment="1">
      <alignment horizontal="right" vertical="center" wrapText="1"/>
    </xf>
    <xf numFmtId="0" fontId="13" fillId="3" borderId="6" xfId="0" applyFont="1" applyFill="1" applyBorder="1" applyAlignment="1">
      <alignment horizontal="left" vertical="center" wrapText="1"/>
    </xf>
    <xf numFmtId="0" fontId="13" fillId="3" borderId="6" xfId="0" applyFont="1" applyFill="1" applyBorder="1" applyAlignment="1">
      <alignment vertical="center" wrapText="1"/>
    </xf>
    <xf numFmtId="0" fontId="15" fillId="5" borderId="0" xfId="0" applyFont="1" applyFill="1" applyAlignment="1">
      <alignment horizontal="center" vertical="center" wrapText="1"/>
    </xf>
    <xf numFmtId="0" fontId="16" fillId="3" borderId="0" xfId="0" applyFont="1" applyFill="1" applyAlignment="1">
      <alignment horizontal="center" vertical="center" wrapText="1"/>
    </xf>
    <xf numFmtId="0" fontId="17" fillId="5" borderId="0" xfId="0" applyFont="1" applyFill="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6" borderId="13" xfId="0" applyFont="1" applyFill="1" applyBorder="1" applyAlignment="1">
      <alignment horizontal="center" vertical="center" wrapText="1"/>
    </xf>
    <xf numFmtId="164" fontId="19" fillId="7" borderId="11" xfId="0" applyNumberFormat="1"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5" borderId="9" xfId="0" applyFont="1" applyFill="1" applyBorder="1" applyAlignment="1">
      <alignment horizontal="center" vertical="center" wrapText="1"/>
    </xf>
    <xf numFmtId="0" fontId="15" fillId="6" borderId="13" xfId="0" applyFont="1" applyFill="1" applyBorder="1" applyAlignment="1">
      <alignment horizontal="center" vertical="center" wrapText="1"/>
    </xf>
    <xf numFmtId="164" fontId="18" fillId="8" borderId="14" xfId="0" applyNumberFormat="1" applyFont="1" applyFill="1" applyBorder="1" applyAlignment="1">
      <alignment horizontal="center" vertical="center" wrapText="1"/>
    </xf>
    <xf numFmtId="0" fontId="3" fillId="0" borderId="14" xfId="0" applyFont="1" applyBorder="1" applyAlignment="1">
      <alignment horizontal="center" vertical="center" wrapText="1"/>
    </xf>
    <xf numFmtId="0" fontId="3" fillId="5" borderId="10" xfId="0" applyFont="1" applyFill="1" applyBorder="1" applyAlignment="1">
      <alignment horizontal="center" vertical="center" wrapText="1"/>
    </xf>
    <xf numFmtId="164" fontId="18" fillId="8" borderId="14" xfId="0" applyNumberFormat="1" applyFont="1" applyFill="1" applyBorder="1" applyAlignment="1">
      <alignment horizontal="center" wrapText="1"/>
    </xf>
    <xf numFmtId="164" fontId="15" fillId="8" borderId="13" xfId="0" applyNumberFormat="1" applyFont="1" applyFill="1" applyBorder="1" applyAlignment="1">
      <alignment horizontal="center" wrapText="1"/>
    </xf>
    <xf numFmtId="164" fontId="20" fillId="9" borderId="13" xfId="0" applyNumberFormat="1" applyFont="1" applyFill="1" applyBorder="1" applyAlignment="1">
      <alignment horizontal="center" wrapText="1"/>
    </xf>
    <xf numFmtId="0" fontId="13" fillId="0" borderId="10" xfId="0" applyFont="1" applyBorder="1" applyAlignment="1">
      <alignment horizontal="center" vertical="center" wrapText="1"/>
    </xf>
    <xf numFmtId="164" fontId="18" fillId="10" borderId="13" xfId="0" applyNumberFormat="1" applyFont="1" applyFill="1" applyBorder="1" applyAlignment="1">
      <alignment horizontal="center" wrapText="1"/>
    </xf>
    <xf numFmtId="0" fontId="21" fillId="0" borderId="10" xfId="0" applyFont="1" applyBorder="1" applyAlignment="1">
      <alignment horizontal="center" vertical="center" wrapText="1"/>
    </xf>
    <xf numFmtId="0" fontId="3" fillId="0" borderId="0" xfId="0" applyFont="1" applyAlignment="1">
      <alignment horizontal="center" vertical="center" wrapText="1"/>
    </xf>
    <xf numFmtId="0" fontId="16" fillId="3" borderId="12" xfId="0" applyFont="1" applyFill="1" applyBorder="1" applyAlignment="1">
      <alignment horizontal="center" vertical="center" wrapText="1"/>
    </xf>
    <xf numFmtId="0" fontId="22" fillId="9" borderId="0" xfId="0" applyFont="1" applyFill="1" applyAlignment="1">
      <alignment horizontal="center" vertical="center" wrapText="1"/>
    </xf>
    <xf numFmtId="0" fontId="23" fillId="7" borderId="0" xfId="0" applyFont="1" applyFill="1" applyAlignment="1">
      <alignment horizontal="center" vertical="center" wrapText="1"/>
    </xf>
    <xf numFmtId="0" fontId="2" fillId="11" borderId="0" xfId="0" applyFont="1" applyFill="1" applyAlignment="1">
      <alignment horizontal="center" vertical="center" wrapText="1"/>
    </xf>
    <xf numFmtId="164" fontId="2" fillId="11" borderId="12" xfId="0" applyNumberFormat="1" applyFont="1" applyFill="1" applyBorder="1" applyAlignment="1">
      <alignment horizontal="center" vertical="center" wrapText="1"/>
    </xf>
    <xf numFmtId="0" fontId="24" fillId="12" borderId="0" xfId="0" applyFont="1" applyFill="1" applyAlignment="1">
      <alignment horizontal="center" vertical="center" wrapText="1"/>
    </xf>
    <xf numFmtId="0" fontId="25" fillId="0" borderId="0" xfId="0" applyFont="1" applyAlignment="1">
      <alignment horizontal="left" vertical="center" wrapText="1"/>
    </xf>
    <xf numFmtId="0" fontId="26" fillId="3" borderId="9" xfId="0" applyFont="1" applyFill="1" applyBorder="1" applyAlignment="1">
      <alignment horizontal="center" vertical="center" wrapText="1"/>
    </xf>
    <xf numFmtId="164" fontId="3" fillId="0" borderId="14" xfId="0" applyNumberFormat="1" applyFont="1" applyBorder="1" applyAlignment="1">
      <alignment horizontal="center" vertical="center" wrapText="1"/>
    </xf>
    <xf numFmtId="0" fontId="2" fillId="13" borderId="0" xfId="0" applyFont="1" applyFill="1" applyAlignment="1">
      <alignment horizontal="center" vertical="center" wrapText="1"/>
    </xf>
    <xf numFmtId="0" fontId="2" fillId="14" borderId="0" xfId="0" applyFont="1" applyFill="1" applyAlignment="1">
      <alignment horizontal="center" vertical="center" wrapText="1"/>
    </xf>
    <xf numFmtId="0" fontId="27" fillId="15" borderId="0" xfId="0" applyFont="1" applyFill="1" applyAlignment="1">
      <alignment horizontal="center" vertical="center" wrapText="1"/>
    </xf>
    <xf numFmtId="0" fontId="28" fillId="0" borderId="0" xfId="0" applyFont="1" applyAlignment="1">
      <alignment horizontal="center" vertical="center" wrapText="1"/>
    </xf>
    <xf numFmtId="164" fontId="28" fillId="0" borderId="12" xfId="0" applyNumberFormat="1" applyFont="1" applyBorder="1" applyAlignment="1">
      <alignment horizontal="center" vertical="center" wrapText="1"/>
    </xf>
    <xf numFmtId="0" fontId="18" fillId="2" borderId="9" xfId="0" applyFont="1" applyFill="1" applyBorder="1" applyAlignment="1">
      <alignment horizontal="center" vertical="center" wrapText="1"/>
    </xf>
    <xf numFmtId="0" fontId="18" fillId="2" borderId="14" xfId="0" applyFont="1" applyFill="1" applyBorder="1" applyAlignment="1">
      <alignment horizontal="center" vertical="center" wrapText="1"/>
    </xf>
    <xf numFmtId="164" fontId="1" fillId="8" borderId="14" xfId="0" applyNumberFormat="1" applyFont="1" applyFill="1" applyBorder="1" applyAlignment="1">
      <alignment horizontal="center" wrapText="1"/>
    </xf>
    <xf numFmtId="0" fontId="29" fillId="3" borderId="0" xfId="0" applyFont="1" applyFill="1" applyAlignment="1">
      <alignment horizontal="center" vertical="center" wrapText="1"/>
    </xf>
    <xf numFmtId="0" fontId="13" fillId="3" borderId="0" xfId="0" applyFont="1" applyFill="1" applyAlignment="1">
      <alignment horizontal="center" vertical="center" wrapText="1"/>
    </xf>
    <xf numFmtId="0" fontId="32" fillId="0" borderId="0" xfId="0" applyFont="1" applyAlignment="1">
      <alignment horizontal="center" vertical="center" wrapText="1"/>
    </xf>
    <xf numFmtId="164" fontId="3" fillId="0" borderId="12"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33" fillId="14" borderId="0" xfId="0" applyFont="1" applyFill="1" applyAlignment="1">
      <alignment horizontal="center" vertical="center" wrapText="1"/>
    </xf>
    <xf numFmtId="0" fontId="10" fillId="0" borderId="0" xfId="0" applyFont="1" applyAlignment="1">
      <alignment horizontal="center" vertical="center" wrapText="1"/>
    </xf>
    <xf numFmtId="16" fontId="13" fillId="3" borderId="0" xfId="0" applyNumberFormat="1" applyFont="1" applyFill="1" applyAlignment="1">
      <alignment horizontal="left" vertical="center" wrapText="1"/>
    </xf>
    <xf numFmtId="0" fontId="4" fillId="3" borderId="2" xfId="0" applyFont="1" applyFill="1" applyBorder="1" applyAlignment="1">
      <alignment vertical="top" wrapText="1"/>
    </xf>
    <xf numFmtId="0" fontId="5" fillId="0" borderId="3" xfId="0" applyFont="1" applyBorder="1" applyAlignment="1">
      <alignment wrapText="1"/>
    </xf>
    <xf numFmtId="0" fontId="3" fillId="3" borderId="2" xfId="0" applyFont="1" applyFill="1" applyBorder="1" applyAlignment="1">
      <alignment vertical="top" wrapText="1"/>
    </xf>
    <xf numFmtId="0" fontId="2" fillId="2" borderId="0" xfId="0" applyFont="1" applyFill="1" applyAlignment="1">
      <alignment vertical="center" wrapText="1"/>
    </xf>
    <xf numFmtId="0" fontId="0" fillId="0" borderId="0" xfId="0" applyAlignment="1">
      <alignment wrapText="1"/>
    </xf>
    <xf numFmtId="0" fontId="4" fillId="3" borderId="2" xfId="0" applyFont="1" applyFill="1" applyBorder="1" applyAlignment="1">
      <alignment vertical="center" wrapText="1"/>
    </xf>
    <xf numFmtId="0" fontId="6" fillId="3" borderId="2" xfId="0" applyFont="1" applyFill="1" applyBorder="1" applyAlignment="1">
      <alignment vertical="top" wrapText="1"/>
    </xf>
    <xf numFmtId="0" fontId="7" fillId="3" borderId="4" xfId="0" applyFont="1" applyFill="1" applyBorder="1" applyAlignment="1">
      <alignment horizontal="left" wrapText="1"/>
    </xf>
    <xf numFmtId="0" fontId="5" fillId="0" borderId="5" xfId="0" applyFont="1" applyBorder="1" applyAlignment="1">
      <alignment wrapText="1"/>
    </xf>
    <xf numFmtId="0" fontId="11" fillId="2" borderId="6" xfId="0" applyFont="1" applyFill="1" applyBorder="1" applyAlignment="1">
      <alignment vertical="center" wrapText="1"/>
    </xf>
    <xf numFmtId="0" fontId="5" fillId="0" borderId="6" xfId="0" applyFont="1" applyBorder="1" applyAlignment="1">
      <alignment wrapText="1"/>
    </xf>
    <xf numFmtId="0" fontId="14" fillId="3" borderId="0" xfId="0" applyFont="1" applyFill="1" applyAlignment="1">
      <alignment horizontal="right" vertical="center" wrapText="1"/>
    </xf>
    <xf numFmtId="0" fontId="14" fillId="3" borderId="0" xfId="0" applyFont="1" applyFill="1" applyAlignment="1">
      <alignment horizontal="left" vertical="center" wrapText="1"/>
    </xf>
    <xf numFmtId="0" fontId="2" fillId="5" borderId="0" xfId="0" applyFont="1" applyFill="1" applyAlignment="1">
      <alignment horizontal="center" wrapText="1"/>
    </xf>
    <xf numFmtId="0" fontId="16" fillId="3" borderId="0" xfId="0" applyFont="1" applyFill="1" applyAlignment="1">
      <alignment horizontal="center" vertical="center" wrapText="1"/>
    </xf>
    <xf numFmtId="0" fontId="13" fillId="0" borderId="9" xfId="0" applyFont="1" applyBorder="1" applyAlignment="1">
      <alignment horizontal="center" vertical="center" wrapText="1"/>
    </xf>
    <xf numFmtId="0" fontId="5" fillId="0" borderId="9" xfId="0" applyFont="1" applyBorder="1" applyAlignment="1">
      <alignment wrapText="1"/>
    </xf>
    <xf numFmtId="0" fontId="14" fillId="3" borderId="0" xfId="0" applyFont="1" applyFill="1" applyAlignment="1">
      <alignment horizontal="center" vertical="center" wrapText="1"/>
    </xf>
    <xf numFmtId="0" fontId="5" fillId="0" borderId="12" xfId="0" applyFont="1" applyBorder="1" applyAlignment="1">
      <alignment wrapText="1"/>
    </xf>
    <xf numFmtId="0" fontId="16" fillId="6" borderId="0" xfId="0" applyFont="1" applyFill="1" applyAlignment="1">
      <alignment horizontal="center" vertical="center" wrapText="1"/>
    </xf>
    <xf numFmtId="0" fontId="30" fillId="3" borderId="0" xfId="0" applyFont="1" applyFill="1" applyAlignment="1">
      <alignment horizontal="center" vertical="center" wrapText="1"/>
    </xf>
    <xf numFmtId="16" fontId="13" fillId="3" borderId="0" xfId="0" applyNumberFormat="1" applyFont="1" applyFill="1" applyAlignment="1">
      <alignment horizontal="left" vertical="center" wrapText="1"/>
    </xf>
    <xf numFmtId="16" fontId="30" fillId="3" borderId="0" xfId="0" applyNumberFormat="1" applyFont="1" applyFill="1" applyAlignment="1">
      <alignment horizontal="center" vertical="center" wrapText="1"/>
    </xf>
    <xf numFmtId="0" fontId="13" fillId="3" borderId="0" xfId="0" applyFont="1" applyFill="1" applyAlignment="1">
      <alignment horizontal="left" vertical="center" wrapText="1"/>
    </xf>
    <xf numFmtId="0" fontId="13" fillId="3" borderId="0" xfId="0" quotePrefix="1" applyFont="1" applyFill="1" applyAlignment="1">
      <alignment horizontal="left" vertical="center" wrapText="1"/>
    </xf>
    <xf numFmtId="0" fontId="14" fillId="3" borderId="0" xfId="0" quotePrefix="1" applyFont="1" applyFill="1" applyAlignment="1">
      <alignment horizontal="left" vertical="center" wrapText="1"/>
    </xf>
    <xf numFmtId="0" fontId="30" fillId="3" borderId="0" xfId="0" quotePrefix="1" applyFont="1" applyFill="1" applyAlignment="1">
      <alignment horizontal="center" vertical="center" wrapText="1"/>
    </xf>
    <xf numFmtId="0" fontId="31" fillId="6" borderId="0" xfId="0" applyFont="1" applyFill="1" applyAlignment="1">
      <alignment horizontal="center" vertical="center" wrapText="1"/>
    </xf>
  </cellXfs>
  <cellStyles count="1">
    <cellStyle name="Normal" xfId="0" builtinId="0"/>
  </cellStyles>
  <dxfs count="181">
    <dxf>
      <fill>
        <patternFill patternType="solid">
          <fgColor rgb="FFB45F06"/>
          <bgColor rgb="FFB45F06"/>
        </patternFill>
      </fill>
    </dxf>
    <dxf>
      <fill>
        <patternFill patternType="solid">
          <fgColor rgb="FFCCCCCC"/>
          <bgColor rgb="FFCCCCCC"/>
        </patternFill>
      </fill>
    </dxf>
    <dxf>
      <fill>
        <patternFill patternType="solid">
          <fgColor rgb="FFBF9000"/>
          <bgColor rgb="FFBF9000"/>
        </patternFill>
      </fill>
    </dxf>
    <dxf>
      <font>
        <b/>
        <i/>
        <strike/>
        <color rgb="FFFFFF00"/>
      </font>
      <fill>
        <patternFill patternType="solid">
          <fgColor rgb="FFFF00FF"/>
          <bgColor rgb="FFFF00FF"/>
        </patternFill>
      </fill>
    </dxf>
    <dxf>
      <font>
        <b/>
        <i/>
        <strike/>
        <color rgb="FFFFFF00"/>
      </font>
      <fill>
        <patternFill patternType="solid">
          <fgColor rgb="FFFF00FF"/>
          <bgColor rgb="FFFF00FF"/>
        </patternFill>
      </fill>
    </dxf>
    <dxf>
      <font>
        <b/>
        <i/>
        <strike/>
        <color rgb="FFFFFF00"/>
      </font>
      <fill>
        <patternFill patternType="solid">
          <fgColor rgb="FFFF00FF"/>
          <bgColor rgb="FFFF00FF"/>
        </patternFill>
      </fill>
    </dxf>
    <dxf>
      <font>
        <b/>
        <i/>
        <strike/>
        <color rgb="FFFFFF00"/>
      </font>
      <fill>
        <patternFill patternType="solid">
          <fgColor rgb="FFFF00FF"/>
          <bgColor rgb="FFFF00FF"/>
        </patternFill>
      </fill>
    </dxf>
    <dxf>
      <font>
        <b/>
        <i/>
        <strike/>
        <color rgb="FFFFFF00"/>
      </font>
      <fill>
        <patternFill patternType="solid">
          <fgColor rgb="FFFF00FF"/>
          <bgColor rgb="FFFF00FF"/>
        </patternFill>
      </fill>
    </dxf>
    <dxf>
      <font>
        <b/>
        <i/>
        <strike/>
        <color rgb="FFFFFF00"/>
      </font>
      <fill>
        <patternFill patternType="solid">
          <fgColor rgb="FFFF00FF"/>
          <bgColor rgb="FFFF00FF"/>
        </patternFill>
      </fill>
    </dxf>
    <dxf>
      <font>
        <b/>
        <i/>
        <strike/>
        <color rgb="FFFFFF00"/>
      </font>
      <fill>
        <patternFill patternType="solid">
          <fgColor rgb="FFFF00FF"/>
          <bgColor rgb="FFFF00FF"/>
        </patternFill>
      </fill>
    </dxf>
    <dxf>
      <font>
        <b/>
        <i/>
        <strike/>
        <color rgb="FFFFFF00"/>
      </font>
      <fill>
        <patternFill patternType="solid">
          <fgColor rgb="FFFF00FF"/>
          <bgColor rgb="FFFF00FF"/>
        </patternFill>
      </fill>
    </dxf>
    <dxf>
      <font>
        <b/>
        <i/>
        <strike/>
        <color rgb="FFFFFF00"/>
      </font>
      <fill>
        <patternFill patternType="solid">
          <fgColor rgb="FFFF00FF"/>
          <bgColor rgb="FFFF00FF"/>
        </patternFill>
      </fill>
    </dxf>
    <dxf>
      <font>
        <b/>
        <i/>
        <strike/>
        <color rgb="FFFFFF00"/>
      </font>
      <fill>
        <patternFill patternType="solid">
          <fgColor rgb="FFFF00FF"/>
          <bgColor rgb="FFFF00FF"/>
        </patternFill>
      </fill>
    </dxf>
    <dxf>
      <font>
        <b/>
        <i/>
        <strike/>
        <color rgb="FFFFFF00"/>
      </font>
      <fill>
        <patternFill patternType="solid">
          <fgColor rgb="FFFF00FF"/>
          <bgColor rgb="FFFF00FF"/>
        </patternFill>
      </fill>
    </dxf>
    <dxf>
      <font>
        <color rgb="FF999999"/>
      </font>
      <fill>
        <patternFill patternType="solid">
          <fgColor rgb="FFFFFFFF"/>
          <bgColor rgb="FFFFFFFF"/>
        </patternFill>
      </fill>
    </dxf>
    <dxf>
      <font>
        <color rgb="FF000000"/>
      </font>
      <fill>
        <patternFill patternType="solid">
          <fgColor rgb="FF000000"/>
          <bgColor rgb="FF000000"/>
        </patternFill>
      </fill>
    </dxf>
    <dxf>
      <font>
        <color rgb="FF000000"/>
      </font>
      <fill>
        <patternFill patternType="solid">
          <fgColor rgb="FF000000"/>
          <bgColor rgb="FF000000"/>
        </patternFill>
      </fill>
    </dxf>
    <dxf>
      <font>
        <color rgb="FF000000"/>
      </font>
      <fill>
        <patternFill patternType="solid">
          <fgColor rgb="FF000000"/>
          <bgColor rgb="FF000000"/>
        </patternFill>
      </fill>
    </dxf>
    <dxf>
      <font>
        <color rgb="FF000000"/>
      </font>
      <fill>
        <patternFill patternType="solid">
          <fgColor rgb="FF000000"/>
          <bgColor rgb="FF000000"/>
        </patternFill>
      </fill>
    </dxf>
    <dxf>
      <font>
        <color rgb="FF000000"/>
      </font>
      <fill>
        <patternFill patternType="solid">
          <fgColor rgb="FF000000"/>
          <bgColor rgb="FF000000"/>
        </patternFill>
      </fill>
    </dxf>
    <dxf>
      <font>
        <color rgb="FF000000"/>
      </font>
      <fill>
        <patternFill patternType="solid">
          <fgColor rgb="FF000000"/>
          <bgColor rgb="FF000000"/>
        </patternFill>
      </fill>
    </dxf>
    <dxf>
      <font>
        <color rgb="FF000000"/>
      </font>
      <fill>
        <patternFill patternType="solid">
          <fgColor rgb="FF000000"/>
          <bgColor rgb="FF000000"/>
        </patternFill>
      </fill>
    </dxf>
    <dxf>
      <font>
        <color rgb="FF000000"/>
      </font>
      <fill>
        <patternFill patternType="solid">
          <fgColor rgb="FF000000"/>
          <bgColor rgb="FF000000"/>
        </patternFill>
      </fill>
    </dxf>
    <dxf>
      <font>
        <color rgb="FF000000"/>
      </font>
      <fill>
        <patternFill patternType="solid">
          <fgColor rgb="FF000000"/>
          <bgColor rgb="FF000000"/>
        </patternFill>
      </fill>
    </dxf>
    <dxf>
      <font>
        <color rgb="FF000000"/>
      </font>
      <fill>
        <patternFill patternType="solid">
          <fgColor rgb="FF000000"/>
          <bgColor rgb="FF000000"/>
        </patternFill>
      </fill>
    </dxf>
    <dxf>
      <font>
        <color rgb="FF000000"/>
      </font>
      <fill>
        <patternFill patternType="solid">
          <fgColor rgb="FF000000"/>
          <bgColor rgb="FF000000"/>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bgColor rgb="FF00B050"/>
        </patternFill>
      </fill>
    </dxf>
    <dxf>
      <fill>
        <patternFill>
          <bgColor rgb="FFFFFF00"/>
        </patternFill>
      </fill>
    </dxf>
    <dxf>
      <fill>
        <patternFill>
          <bgColor rgb="FFFF0000"/>
        </patternFill>
      </fill>
    </dxf>
    <dxf>
      <font>
        <color rgb="FF000000"/>
      </font>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patternType="solid">
          <fgColor rgb="FFB45F06"/>
          <bgColor rgb="FFB45F06"/>
        </patternFill>
      </fill>
    </dxf>
    <dxf>
      <fill>
        <patternFill patternType="solid">
          <fgColor rgb="FFCCCCCC"/>
          <bgColor rgb="FFCCCCCC"/>
        </patternFill>
      </fill>
    </dxf>
    <dxf>
      <fill>
        <patternFill patternType="solid">
          <fgColor rgb="FFBF9000"/>
          <bgColor rgb="FFBF9000"/>
        </patternFill>
      </fill>
    </dxf>
    <dxf>
      <font>
        <b/>
        <i/>
        <strike/>
        <color rgb="FFFFFF00"/>
      </font>
      <fill>
        <patternFill patternType="solid">
          <fgColor rgb="FFFF00FF"/>
          <bgColor rgb="FFFF00FF"/>
        </patternFill>
      </fill>
    </dxf>
    <dxf>
      <font>
        <b/>
        <i/>
        <strike/>
        <color rgb="FFFFFF00"/>
      </font>
      <fill>
        <patternFill patternType="solid">
          <fgColor rgb="FFFF00FF"/>
          <bgColor rgb="FFFF00FF"/>
        </patternFill>
      </fill>
    </dxf>
    <dxf>
      <font>
        <color rgb="FF999999"/>
      </font>
      <fill>
        <patternFill patternType="solid">
          <fgColor rgb="FFFFFFFF"/>
          <bgColor rgb="FFFFFFFF"/>
        </patternFill>
      </fill>
    </dxf>
    <dxf>
      <font>
        <color rgb="FF000000"/>
      </font>
      <fill>
        <patternFill patternType="solid">
          <fgColor rgb="FF000000"/>
          <bgColor rgb="FF000000"/>
        </patternFill>
      </fill>
    </dxf>
    <dxf>
      <fill>
        <patternFill patternType="solid">
          <fgColor rgb="FFFFF2CC"/>
          <bgColor rgb="FFFFF2CC"/>
        </patternFill>
      </fill>
    </dxf>
    <dxf>
      <font>
        <b/>
        <color rgb="FFFFFFFF"/>
      </font>
      <fill>
        <patternFill patternType="solid">
          <fgColor rgb="FFCC0000"/>
          <bgColor rgb="FFCC0000"/>
        </patternFill>
      </fill>
    </dxf>
    <dxf>
      <font>
        <b/>
        <i/>
        <strike/>
        <color rgb="FFFFFF00"/>
      </font>
      <fill>
        <patternFill patternType="solid">
          <fgColor rgb="FFFF00FF"/>
          <bgColor rgb="FFFF00FF"/>
        </patternFill>
      </fill>
    </dxf>
    <dxf>
      <font>
        <color rgb="FFD9D9D9"/>
      </font>
      <fill>
        <patternFill patternType="solid">
          <fgColor rgb="FFFFFFFF"/>
          <bgColor rgb="FFFFFFFF"/>
        </patternFill>
      </fill>
    </dxf>
    <dxf>
      <fill>
        <patternFill patternType="solid">
          <fgColor rgb="FFFFF2CC"/>
          <bgColor rgb="FFFFF2CC"/>
        </patternFill>
      </fill>
    </dxf>
    <dxf>
      <font>
        <b/>
        <color rgb="FFFFFFFF"/>
      </font>
      <fill>
        <patternFill patternType="solid">
          <fgColor rgb="FFCC0000"/>
          <bgColor rgb="FFCC0000"/>
        </patternFill>
      </fill>
    </dxf>
    <dxf>
      <font>
        <color rgb="FFFFFF00"/>
      </font>
      <fill>
        <patternFill patternType="solid">
          <fgColor rgb="FFFF00FF"/>
          <bgColor rgb="FFFF00FF"/>
        </patternFill>
      </fill>
    </dxf>
    <dxf>
      <font>
        <color rgb="FFD9D9D9"/>
      </font>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00"/>
    <outlinePr summaryBelow="0" summaryRight="0"/>
  </sheetPr>
  <dimension ref="B1:C25"/>
  <sheetViews>
    <sheetView workbookViewId="0">
      <selection activeCell="C13" sqref="C13"/>
    </sheetView>
  </sheetViews>
  <sheetFormatPr defaultColWidth="12.5703125" defaultRowHeight="12.75" customHeight="1"/>
  <cols>
    <col min="1" max="1" width="2.5703125" customWidth="1"/>
    <col min="2" max="2" width="5.42578125" customWidth="1"/>
    <col min="3" max="3" width="109.85546875" customWidth="1"/>
  </cols>
  <sheetData>
    <row r="1" spans="2:3" ht="34.5" customHeight="1">
      <c r="B1" s="67" t="s">
        <v>0</v>
      </c>
      <c r="C1" s="68"/>
    </row>
    <row r="2" spans="2:3" ht="32.25" customHeight="1">
      <c r="B2" s="69" t="s">
        <v>1</v>
      </c>
      <c r="C2" s="65"/>
    </row>
    <row r="3" spans="2:3" ht="18.75">
      <c r="B3" s="70" t="s">
        <v>2</v>
      </c>
      <c r="C3" s="65"/>
    </row>
    <row r="4" spans="2:3" ht="18.75">
      <c r="B4" s="71" t="s">
        <v>3</v>
      </c>
      <c r="C4" s="72"/>
    </row>
    <row r="5" spans="2:3" ht="18.75">
      <c r="B5" s="71" t="s">
        <v>4</v>
      </c>
      <c r="C5" s="72"/>
    </row>
    <row r="6" spans="2:3" ht="26.25" customHeight="1">
      <c r="B6" s="64" t="s">
        <v>5</v>
      </c>
      <c r="C6" s="65"/>
    </row>
    <row r="7" spans="2:3" ht="50.25" customHeight="1">
      <c r="B7" s="2" t="s">
        <v>6</v>
      </c>
      <c r="C7" s="3" t="s">
        <v>7</v>
      </c>
    </row>
    <row r="8" spans="2:3" ht="50.25" customHeight="1">
      <c r="B8" s="2" t="s">
        <v>6</v>
      </c>
      <c r="C8" s="4" t="s">
        <v>8</v>
      </c>
    </row>
    <row r="9" spans="2:3" ht="51" customHeight="1">
      <c r="B9" s="5" t="s">
        <v>6</v>
      </c>
      <c r="C9" s="6" t="s">
        <v>9</v>
      </c>
    </row>
    <row r="10" spans="2:3" ht="52.5" customHeight="1">
      <c r="B10" s="2" t="s">
        <v>6</v>
      </c>
      <c r="C10" s="4" t="s">
        <v>10</v>
      </c>
    </row>
    <row r="11" spans="2:3" ht="51" customHeight="1">
      <c r="B11" s="2" t="s">
        <v>6</v>
      </c>
      <c r="C11" s="3" t="s">
        <v>11</v>
      </c>
    </row>
    <row r="12" spans="2:3" ht="36" customHeight="1">
      <c r="B12" s="2" t="s">
        <v>6</v>
      </c>
      <c r="C12" s="3" t="s">
        <v>12</v>
      </c>
    </row>
    <row r="13" spans="2:3" ht="53.25" customHeight="1">
      <c r="B13" s="2" t="s">
        <v>6</v>
      </c>
      <c r="C13" s="3" t="s">
        <v>13</v>
      </c>
    </row>
    <row r="14" spans="2:3" ht="94.5">
      <c r="B14" s="2" t="s">
        <v>6</v>
      </c>
      <c r="C14" s="7" t="s">
        <v>14</v>
      </c>
    </row>
    <row r="15" spans="2:3" ht="18.75" customHeight="1">
      <c r="B15" s="8"/>
      <c r="C15" s="1"/>
    </row>
    <row r="16" spans="2:3" ht="27" customHeight="1">
      <c r="B16" s="64" t="s">
        <v>15</v>
      </c>
      <c r="C16" s="65"/>
    </row>
    <row r="17" spans="2:3" ht="63.75" customHeight="1">
      <c r="B17" s="5" t="s">
        <v>6</v>
      </c>
      <c r="C17" s="6" t="s">
        <v>16</v>
      </c>
    </row>
    <row r="18" spans="2:3" ht="35.25" customHeight="1">
      <c r="B18" s="2" t="s">
        <v>6</v>
      </c>
      <c r="C18" s="4" t="s">
        <v>17</v>
      </c>
    </row>
    <row r="19" spans="2:3" ht="50.25" customHeight="1">
      <c r="B19" s="2" t="s">
        <v>6</v>
      </c>
      <c r="C19" s="4" t="s">
        <v>18</v>
      </c>
    </row>
    <row r="20" spans="2:3" ht="21" customHeight="1">
      <c r="B20" s="2" t="s">
        <v>6</v>
      </c>
      <c r="C20" s="4" t="s">
        <v>19</v>
      </c>
    </row>
    <row r="21" spans="2:3" ht="53.25" customHeight="1">
      <c r="B21" s="2" t="s">
        <v>6</v>
      </c>
      <c r="C21" s="4" t="s">
        <v>20</v>
      </c>
    </row>
    <row r="22" spans="2:3" ht="37.5" customHeight="1">
      <c r="B22" s="2" t="s">
        <v>6</v>
      </c>
      <c r="C22" s="4" t="s">
        <v>21</v>
      </c>
    </row>
    <row r="23" spans="2:3" ht="31.5">
      <c r="B23" s="2" t="s">
        <v>6</v>
      </c>
      <c r="C23" s="3" t="s">
        <v>22</v>
      </c>
    </row>
    <row r="24" spans="2:3" ht="18.75" customHeight="1">
      <c r="B24" s="1"/>
      <c r="C24" s="1"/>
    </row>
    <row r="25" spans="2:3" ht="18.75" customHeight="1">
      <c r="B25" s="66"/>
      <c r="C25" s="65"/>
    </row>
  </sheetData>
  <mergeCells count="8">
    <mergeCell ref="B6:C6"/>
    <mergeCell ref="B16:C16"/>
    <mergeCell ref="B25:C25"/>
    <mergeCell ref="B1:C1"/>
    <mergeCell ref="B2:C2"/>
    <mergeCell ref="B3:C3"/>
    <mergeCell ref="B4:C4"/>
    <mergeCell ref="B5:C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155CC"/>
    <outlinePr summaryBelow="0" summaryRight="0"/>
  </sheetPr>
  <dimension ref="A1:N53"/>
  <sheetViews>
    <sheetView workbookViewId="0">
      <selection activeCell="H5" sqref="H5:J5"/>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5" t="str">
        <f>'Your Categories'!B8</f>
        <v>Goatee</v>
      </c>
      <c r="D1" s="68"/>
      <c r="E1" s="68"/>
      <c r="F1" s="15"/>
      <c r="G1" s="77" t="s">
        <v>52</v>
      </c>
      <c r="H1" s="68"/>
      <c r="I1" s="68"/>
      <c r="J1" s="68"/>
      <c r="K1" s="68"/>
      <c r="L1" s="68"/>
      <c r="M1" s="68"/>
    </row>
    <row r="2" spans="1:14" ht="23.25" customHeight="1">
      <c r="A2" s="84" t="s">
        <v>137</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3" si="0">A4</f>
        <v>#</v>
      </c>
      <c r="H4" s="21" t="s">
        <v>60</v>
      </c>
      <c r="I4" s="21" t="s">
        <v>61</v>
      </c>
      <c r="J4" s="21" t="s">
        <v>62</v>
      </c>
      <c r="K4" s="21" t="s">
        <v>63</v>
      </c>
      <c r="L4" s="21" t="s">
        <v>64</v>
      </c>
      <c r="M4" s="22" t="s">
        <v>65</v>
      </c>
    </row>
    <row r="5" spans="1:14" ht="23.25" customHeight="1">
      <c r="A5" s="23">
        <v>601</v>
      </c>
      <c r="B5" s="24"/>
      <c r="C5" s="24"/>
      <c r="D5" s="23"/>
      <c r="E5" s="29"/>
      <c r="F5" s="26"/>
      <c r="G5" s="27">
        <f t="shared" si="0"/>
        <v>601</v>
      </c>
      <c r="H5" s="24"/>
      <c r="I5" s="24"/>
      <c r="J5" s="24"/>
      <c r="K5" s="24"/>
      <c r="L5" s="24"/>
      <c r="M5" s="54">
        <f t="shared" ref="M5:M53" si="1">SUM(H5:L5)</f>
        <v>0</v>
      </c>
      <c r="N5">
        <f>RANK(M5,$M$5:$M$17)</f>
        <v>1</v>
      </c>
    </row>
    <row r="6" spans="1:14" ht="23.25" customHeight="1">
      <c r="A6" s="23">
        <v>602</v>
      </c>
      <c r="B6" s="24"/>
      <c r="C6" s="24"/>
      <c r="D6" s="24"/>
      <c r="E6" s="25"/>
      <c r="F6" s="30"/>
      <c r="G6" s="27">
        <f t="shared" si="0"/>
        <v>602</v>
      </c>
      <c r="H6" s="24"/>
      <c r="I6" s="24"/>
      <c r="J6" s="24"/>
      <c r="K6" s="24"/>
      <c r="L6" s="24"/>
      <c r="M6" s="54">
        <f t="shared" si="1"/>
        <v>0</v>
      </c>
      <c r="N6">
        <f>RANK(M6,$M$5:$M$17)</f>
        <v>1</v>
      </c>
    </row>
    <row r="7" spans="1:14" ht="23.25" customHeight="1">
      <c r="A7" s="23">
        <v>603</v>
      </c>
      <c r="B7" s="24"/>
      <c r="C7" s="24"/>
      <c r="D7" s="24"/>
      <c r="E7" s="25"/>
      <c r="F7" s="30"/>
      <c r="G7" s="27">
        <f t="shared" si="0"/>
        <v>603</v>
      </c>
      <c r="H7" s="24"/>
      <c r="I7" s="24"/>
      <c r="J7" s="24"/>
      <c r="K7" s="24"/>
      <c r="L7" s="24"/>
      <c r="M7" s="54">
        <f t="shared" si="1"/>
        <v>0</v>
      </c>
      <c r="N7">
        <f>RANK(M6,$M$5:$M$17)</f>
        <v>1</v>
      </c>
    </row>
    <row r="8" spans="1:14" ht="23.25" customHeight="1">
      <c r="A8" s="23">
        <v>604</v>
      </c>
      <c r="B8" s="24"/>
      <c r="C8" s="24"/>
      <c r="D8" s="24"/>
      <c r="E8" s="25"/>
      <c r="F8" s="30"/>
      <c r="G8" s="27">
        <f t="shared" si="0"/>
        <v>604</v>
      </c>
      <c r="H8" s="24"/>
      <c r="I8" s="24"/>
      <c r="J8" s="24"/>
      <c r="K8" s="24"/>
      <c r="L8" s="24"/>
      <c r="M8" s="54">
        <f t="shared" si="1"/>
        <v>0</v>
      </c>
      <c r="N8">
        <f t="shared" ref="N8:N17" si="2">RANK(M8,$M$5:$M$17)</f>
        <v>1</v>
      </c>
    </row>
    <row r="9" spans="1:14" ht="23.25" customHeight="1">
      <c r="A9" s="23">
        <v>605</v>
      </c>
      <c r="B9" s="24"/>
      <c r="C9" s="24"/>
      <c r="D9" s="24"/>
      <c r="E9" s="25"/>
      <c r="F9" s="30"/>
      <c r="G9" s="27">
        <f t="shared" si="0"/>
        <v>605</v>
      </c>
      <c r="H9" s="24"/>
      <c r="I9" s="24"/>
      <c r="J9" s="24"/>
      <c r="K9" s="24"/>
      <c r="L9" s="24"/>
      <c r="M9" s="54">
        <f t="shared" si="1"/>
        <v>0</v>
      </c>
      <c r="N9">
        <f t="shared" si="2"/>
        <v>1</v>
      </c>
    </row>
    <row r="10" spans="1:14" ht="23.25" customHeight="1">
      <c r="A10" s="23">
        <v>606</v>
      </c>
      <c r="B10" s="24"/>
      <c r="C10" s="37"/>
      <c r="D10" s="24"/>
      <c r="E10" s="25"/>
      <c r="F10" s="30"/>
      <c r="G10" s="27">
        <f t="shared" si="0"/>
        <v>606</v>
      </c>
      <c r="H10" s="23"/>
      <c r="I10" s="23"/>
      <c r="J10" s="23"/>
      <c r="K10" s="23"/>
      <c r="L10" s="23"/>
      <c r="M10" s="54">
        <f t="shared" si="1"/>
        <v>0</v>
      </c>
      <c r="N10">
        <f t="shared" si="2"/>
        <v>1</v>
      </c>
    </row>
    <row r="11" spans="1:14" ht="23.25" customHeight="1">
      <c r="A11" s="23">
        <v>607</v>
      </c>
      <c r="B11" s="24"/>
      <c r="C11" s="24"/>
      <c r="D11" s="24"/>
      <c r="E11" s="25"/>
      <c r="F11" s="30"/>
      <c r="G11" s="27">
        <f t="shared" si="0"/>
        <v>607</v>
      </c>
      <c r="H11" s="24"/>
      <c r="I11" s="24"/>
      <c r="J11" s="24"/>
      <c r="K11" s="24"/>
      <c r="L11" s="24"/>
      <c r="M11" s="54">
        <f t="shared" si="1"/>
        <v>0</v>
      </c>
      <c r="N11">
        <f t="shared" si="2"/>
        <v>1</v>
      </c>
    </row>
    <row r="12" spans="1:14" ht="23.25" customHeight="1">
      <c r="A12" s="23">
        <v>608</v>
      </c>
      <c r="B12" s="24"/>
      <c r="C12" s="24"/>
      <c r="D12" s="24"/>
      <c r="E12" s="25"/>
      <c r="F12" s="30"/>
      <c r="G12" s="27">
        <f t="shared" si="0"/>
        <v>608</v>
      </c>
      <c r="H12" s="24"/>
      <c r="I12" s="24"/>
      <c r="J12" s="24"/>
      <c r="K12" s="24"/>
      <c r="L12" s="24"/>
      <c r="M12" s="54">
        <f t="shared" si="1"/>
        <v>0</v>
      </c>
      <c r="N12">
        <f t="shared" si="2"/>
        <v>1</v>
      </c>
    </row>
    <row r="13" spans="1:14" ht="23.25" customHeight="1">
      <c r="A13" s="23">
        <v>609</v>
      </c>
      <c r="B13" s="24"/>
      <c r="C13" s="24"/>
      <c r="D13" s="24"/>
      <c r="E13" s="25"/>
      <c r="F13" s="30"/>
      <c r="G13" s="27">
        <f t="shared" si="0"/>
        <v>609</v>
      </c>
      <c r="H13" s="24"/>
      <c r="I13" s="24"/>
      <c r="J13" s="24"/>
      <c r="K13" s="24"/>
      <c r="L13" s="24"/>
      <c r="M13" s="54">
        <f t="shared" si="1"/>
        <v>0</v>
      </c>
      <c r="N13">
        <f t="shared" si="2"/>
        <v>1</v>
      </c>
    </row>
    <row r="14" spans="1:14" ht="23.25" customHeight="1">
      <c r="A14" s="23">
        <v>610</v>
      </c>
      <c r="B14" s="24"/>
      <c r="C14" s="24"/>
      <c r="D14" s="24"/>
      <c r="E14" s="25"/>
      <c r="F14" s="30"/>
      <c r="G14" s="27">
        <f t="shared" si="0"/>
        <v>610</v>
      </c>
      <c r="H14" s="24"/>
      <c r="I14" s="24"/>
      <c r="J14" s="24"/>
      <c r="K14" s="24"/>
      <c r="L14" s="24"/>
      <c r="M14" s="54">
        <f t="shared" si="1"/>
        <v>0</v>
      </c>
      <c r="N14">
        <f t="shared" si="2"/>
        <v>1</v>
      </c>
    </row>
    <row r="15" spans="1:14" ht="23.25" customHeight="1">
      <c r="A15" s="23">
        <v>611</v>
      </c>
      <c r="B15" s="55"/>
      <c r="C15" s="56"/>
      <c r="D15" s="24"/>
      <c r="E15" s="25"/>
      <c r="F15" s="30"/>
      <c r="G15" s="27">
        <f t="shared" si="0"/>
        <v>611</v>
      </c>
      <c r="H15" s="24"/>
      <c r="I15" s="24"/>
      <c r="J15" s="24"/>
      <c r="K15" s="24"/>
      <c r="L15" s="24"/>
      <c r="M15" s="54">
        <f t="shared" si="1"/>
        <v>0</v>
      </c>
      <c r="N15">
        <f t="shared" si="2"/>
        <v>1</v>
      </c>
    </row>
    <row r="16" spans="1:14" ht="23.25" customHeight="1">
      <c r="A16" s="24"/>
      <c r="B16" s="34"/>
      <c r="C16" s="34"/>
      <c r="D16" s="34"/>
      <c r="E16" s="34"/>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1">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sheetData>
  <mergeCells count="5">
    <mergeCell ref="A1:B1"/>
    <mergeCell ref="C1:E1"/>
    <mergeCell ref="G1:M3"/>
    <mergeCell ref="A2:E2"/>
    <mergeCell ref="A3:E3"/>
  </mergeCells>
  <conditionalFormatting sqref="M5:M53">
    <cfRule type="cellIs" dxfId="130" priority="4" operator="equal">
      <formula>0</formula>
    </cfRule>
    <cfRule type="expression" dxfId="129" priority="5">
      <formula>COUNTIF($M:$M,M5)&gt;1</formula>
    </cfRule>
    <cfRule type="cellIs" dxfId="128" priority="6" operator="greaterThanOrEqual">
      <formula>49</formula>
    </cfRule>
    <cfRule type="cellIs" dxfId="127" priority="7" operator="greaterThan">
      <formula>25</formula>
    </cfRule>
  </conditionalFormatting>
  <conditionalFormatting sqref="N1:N1048576">
    <cfRule type="cellIs" dxfId="126" priority="1" operator="equal">
      <formula>3</formula>
    </cfRule>
    <cfRule type="cellIs" dxfId="125" priority="2" operator="equal">
      <formula>2</formula>
    </cfRule>
    <cfRule type="cellIs" dxfId="124" priority="3" operator="equal">
      <formul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1155CC"/>
    <outlinePr summaryBelow="0" summaryRight="0"/>
  </sheetPr>
  <dimension ref="A1:N54"/>
  <sheetViews>
    <sheetView workbookViewId="0">
      <selection activeCell="H5" sqref="H5:J6"/>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7" t="str">
        <f>'Your Categories'!B9</f>
        <v>Styled Stache</v>
      </c>
      <c r="D1" s="68"/>
      <c r="E1" s="68"/>
      <c r="F1" s="15"/>
      <c r="G1" s="77" t="s">
        <v>52</v>
      </c>
      <c r="H1" s="68"/>
      <c r="I1" s="68"/>
      <c r="J1" s="68"/>
      <c r="K1" s="68"/>
      <c r="L1" s="68"/>
      <c r="M1" s="68"/>
    </row>
    <row r="2" spans="1:14" ht="23.25" customHeight="1">
      <c r="A2" s="84" t="s">
        <v>138</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701</v>
      </c>
      <c r="B5" s="24"/>
      <c r="C5" s="24"/>
      <c r="D5" s="23"/>
      <c r="E5" s="24"/>
      <c r="F5" s="24"/>
      <c r="G5" s="27">
        <f t="shared" si="0"/>
        <v>701</v>
      </c>
      <c r="H5" s="24"/>
      <c r="I5" s="24"/>
      <c r="J5" s="24"/>
      <c r="K5" s="24"/>
      <c r="L5" s="24"/>
      <c r="M5" s="54">
        <f t="shared" ref="M5:M54" si="1">SUM(H5:L5)</f>
        <v>0</v>
      </c>
      <c r="N5">
        <f>RANK(M5,$M$5:$M$17)</f>
        <v>1</v>
      </c>
    </row>
    <row r="6" spans="1:14" ht="23.25" customHeight="1">
      <c r="A6" s="23">
        <v>702</v>
      </c>
      <c r="B6" s="24"/>
      <c r="C6" s="24"/>
      <c r="D6" s="24"/>
      <c r="E6" s="24"/>
      <c r="F6" s="24"/>
      <c r="G6" s="27">
        <f t="shared" si="0"/>
        <v>702</v>
      </c>
      <c r="H6" s="23"/>
      <c r="I6" s="23"/>
      <c r="J6" s="23"/>
      <c r="K6" s="23"/>
      <c r="L6" s="23"/>
      <c r="M6" s="54">
        <f t="shared" si="1"/>
        <v>0</v>
      </c>
      <c r="N6">
        <f t="shared" ref="N6:N17" si="2">RANK(M6,$M$5:$M$17)</f>
        <v>1</v>
      </c>
    </row>
    <row r="7" spans="1:14" ht="23.25" customHeight="1">
      <c r="A7" s="23">
        <v>703</v>
      </c>
      <c r="B7" s="24"/>
      <c r="C7" s="24"/>
      <c r="D7" s="24"/>
      <c r="E7" s="24"/>
      <c r="F7" s="24"/>
      <c r="G7" s="27">
        <f t="shared" si="0"/>
        <v>703</v>
      </c>
      <c r="H7" s="24"/>
      <c r="I7" s="24"/>
      <c r="J7" s="24"/>
      <c r="K7" s="24"/>
      <c r="L7" s="24"/>
      <c r="M7" s="54">
        <f t="shared" si="1"/>
        <v>0</v>
      </c>
      <c r="N7">
        <f t="shared" si="2"/>
        <v>1</v>
      </c>
    </row>
    <row r="8" spans="1:14" ht="23.25" customHeight="1">
      <c r="A8" s="23">
        <v>704</v>
      </c>
      <c r="B8" s="24"/>
      <c r="C8" s="24"/>
      <c r="D8" s="24"/>
      <c r="E8" s="24"/>
      <c r="F8" s="24"/>
      <c r="G8" s="27">
        <f t="shared" si="0"/>
        <v>704</v>
      </c>
      <c r="H8" s="24"/>
      <c r="I8" s="24"/>
      <c r="J8" s="24"/>
      <c r="K8" s="24"/>
      <c r="L8" s="24"/>
      <c r="M8" s="54">
        <f t="shared" si="1"/>
        <v>0</v>
      </c>
      <c r="N8">
        <f t="shared" si="2"/>
        <v>1</v>
      </c>
    </row>
    <row r="9" spans="1:14" ht="23.25" customHeight="1">
      <c r="A9" s="23">
        <v>705</v>
      </c>
      <c r="B9" s="24"/>
      <c r="C9" s="24"/>
      <c r="D9" s="24"/>
      <c r="E9" s="24"/>
      <c r="F9" s="24"/>
      <c r="G9" s="27">
        <f t="shared" si="0"/>
        <v>705</v>
      </c>
      <c r="H9" s="24"/>
      <c r="I9" s="24"/>
      <c r="J9" s="24"/>
      <c r="K9" s="24"/>
      <c r="L9" s="24"/>
      <c r="M9" s="54">
        <f t="shared" si="1"/>
        <v>0</v>
      </c>
      <c r="N9">
        <f t="shared" si="2"/>
        <v>1</v>
      </c>
    </row>
    <row r="10" spans="1:14" ht="23.25" customHeight="1">
      <c r="A10" s="23">
        <v>706</v>
      </c>
      <c r="B10" s="24"/>
      <c r="C10" s="24"/>
      <c r="D10" s="24"/>
      <c r="E10" s="25"/>
      <c r="F10" s="30"/>
      <c r="G10" s="27">
        <f t="shared" si="0"/>
        <v>706</v>
      </c>
      <c r="H10" s="24"/>
      <c r="I10" s="24"/>
      <c r="J10" s="24"/>
      <c r="K10" s="24"/>
      <c r="L10" s="24"/>
      <c r="M10" s="54">
        <f t="shared" si="1"/>
        <v>0</v>
      </c>
      <c r="N10">
        <f t="shared" si="2"/>
        <v>1</v>
      </c>
    </row>
    <row r="11" spans="1:14" ht="23.25" customHeight="1">
      <c r="A11" s="23">
        <v>707</v>
      </c>
      <c r="B11" s="24"/>
      <c r="C11" s="37"/>
      <c r="D11" s="24"/>
      <c r="E11" s="25"/>
      <c r="F11" s="30"/>
      <c r="G11" s="27">
        <f t="shared" si="0"/>
        <v>707</v>
      </c>
      <c r="H11" s="23"/>
      <c r="I11" s="23"/>
      <c r="J11" s="23"/>
      <c r="K11" s="23"/>
      <c r="L11" s="23"/>
      <c r="M11" s="54">
        <f t="shared" si="1"/>
        <v>0</v>
      </c>
      <c r="N11">
        <f t="shared" si="2"/>
        <v>1</v>
      </c>
    </row>
    <row r="12" spans="1:14" ht="23.25" customHeight="1">
      <c r="A12" s="23">
        <v>708</v>
      </c>
      <c r="B12" s="24"/>
      <c r="C12" s="24"/>
      <c r="D12" s="24"/>
      <c r="E12" s="25"/>
      <c r="F12" s="30"/>
      <c r="G12" s="27">
        <f t="shared" si="0"/>
        <v>708</v>
      </c>
      <c r="H12" s="24"/>
      <c r="I12" s="24"/>
      <c r="J12" s="24"/>
      <c r="K12" s="24"/>
      <c r="L12" s="24"/>
      <c r="M12" s="54">
        <f t="shared" si="1"/>
        <v>0</v>
      </c>
      <c r="N12">
        <f t="shared" si="2"/>
        <v>1</v>
      </c>
    </row>
    <row r="13" spans="1:14" ht="23.25" customHeight="1">
      <c r="A13" s="23">
        <v>709</v>
      </c>
      <c r="B13" s="24"/>
      <c r="C13" s="24"/>
      <c r="D13" s="24"/>
      <c r="E13" s="25"/>
      <c r="F13" s="30"/>
      <c r="G13" s="27">
        <f t="shared" si="0"/>
        <v>709</v>
      </c>
      <c r="H13" s="24"/>
      <c r="I13" s="24"/>
      <c r="J13" s="24"/>
      <c r="K13" s="24"/>
      <c r="L13" s="24"/>
      <c r="M13" s="54">
        <f t="shared" si="1"/>
        <v>0</v>
      </c>
      <c r="N13">
        <f t="shared" si="2"/>
        <v>1</v>
      </c>
    </row>
    <row r="14" spans="1:14" ht="23.25" customHeight="1">
      <c r="A14" s="23">
        <v>710</v>
      </c>
      <c r="B14" s="24"/>
      <c r="C14" s="24"/>
      <c r="D14" s="24"/>
      <c r="E14" s="25"/>
      <c r="F14" s="30"/>
      <c r="G14" s="27">
        <f t="shared" si="0"/>
        <v>710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123" priority="4" operator="equal">
      <formula>0</formula>
    </cfRule>
    <cfRule type="expression" dxfId="122" priority="5">
      <formula>COUNTIF($M:$M,M5)&gt;1</formula>
    </cfRule>
    <cfRule type="cellIs" dxfId="121" priority="6" operator="greaterThanOrEqual">
      <formula>49</formula>
    </cfRule>
    <cfRule type="cellIs" dxfId="120" priority="7" operator="greaterThan">
      <formula>25</formula>
    </cfRule>
  </conditionalFormatting>
  <conditionalFormatting sqref="N1:N1048576">
    <cfRule type="cellIs" dxfId="119" priority="1" operator="equal">
      <formula>3</formula>
    </cfRule>
    <cfRule type="cellIs" dxfId="118" priority="2" operator="equal">
      <formula>2</formula>
    </cfRule>
    <cfRule type="cellIs" dxfId="117" priority="3" operator="equal">
      <formula>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1155CC"/>
    <outlinePr summaryBelow="0" summaryRight="0"/>
  </sheetPr>
  <dimension ref="A1:N54"/>
  <sheetViews>
    <sheetView workbookViewId="0">
      <selection activeCell="H5" sqref="H5:J9"/>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7" t="str">
        <f>'Your Categories'!B10</f>
        <v>Whaler</v>
      </c>
      <c r="D1" s="68"/>
      <c r="E1" s="68"/>
      <c r="F1" s="15"/>
      <c r="G1" s="77" t="s">
        <v>52</v>
      </c>
      <c r="H1" s="68"/>
      <c r="I1" s="68"/>
      <c r="J1" s="68"/>
      <c r="K1" s="68"/>
      <c r="L1" s="68"/>
      <c r="M1" s="68"/>
    </row>
    <row r="2" spans="1:14" ht="23.25" customHeight="1">
      <c r="A2" s="84" t="s">
        <v>139</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801</v>
      </c>
      <c r="B5" s="24"/>
      <c r="C5" s="24"/>
      <c r="D5" s="23"/>
      <c r="E5" s="29"/>
      <c r="F5" s="26"/>
      <c r="G5" s="27">
        <f t="shared" si="0"/>
        <v>801</v>
      </c>
      <c r="H5" s="24"/>
      <c r="I5" s="24"/>
      <c r="J5" s="24"/>
      <c r="K5" s="24"/>
      <c r="L5" s="24"/>
      <c r="M5" s="54">
        <f t="shared" ref="M5:M54" si="1">SUM(H5:L5)</f>
        <v>0</v>
      </c>
      <c r="N5">
        <f>RANK(M5,$M$5:$M$17)</f>
        <v>1</v>
      </c>
    </row>
    <row r="6" spans="1:14" ht="23.25" customHeight="1">
      <c r="A6" s="23">
        <v>802</v>
      </c>
      <c r="B6" s="24"/>
      <c r="C6" s="24"/>
      <c r="D6" s="24"/>
      <c r="E6" s="25"/>
      <c r="F6" s="30"/>
      <c r="G6" s="27">
        <f t="shared" si="0"/>
        <v>802</v>
      </c>
      <c r="H6" s="23"/>
      <c r="I6" s="23"/>
      <c r="J6" s="23"/>
      <c r="K6" s="23"/>
      <c r="L6" s="23"/>
      <c r="M6" s="54">
        <f t="shared" si="1"/>
        <v>0</v>
      </c>
      <c r="N6">
        <f t="shared" ref="N6:N17" si="2">RANK(M6,$M$5:$M$17)</f>
        <v>1</v>
      </c>
    </row>
    <row r="7" spans="1:14" ht="23.25" customHeight="1">
      <c r="A7" s="23">
        <v>803</v>
      </c>
      <c r="B7" s="24"/>
      <c r="C7" s="24"/>
      <c r="D7" s="24"/>
      <c r="E7" s="25"/>
      <c r="F7" s="30"/>
      <c r="G7" s="27">
        <f t="shared" si="0"/>
        <v>803</v>
      </c>
      <c r="H7" s="24"/>
      <c r="I7" s="24"/>
      <c r="J7" s="24"/>
      <c r="K7" s="24"/>
      <c r="L7" s="24"/>
      <c r="M7" s="54">
        <f t="shared" si="1"/>
        <v>0</v>
      </c>
      <c r="N7">
        <f t="shared" si="2"/>
        <v>1</v>
      </c>
    </row>
    <row r="8" spans="1:14" ht="23.25" customHeight="1">
      <c r="A8" s="23">
        <v>804</v>
      </c>
      <c r="B8" s="24"/>
      <c r="C8" s="24"/>
      <c r="D8" s="24"/>
      <c r="E8" s="25"/>
      <c r="F8" s="30"/>
      <c r="G8" s="27">
        <f t="shared" si="0"/>
        <v>804</v>
      </c>
      <c r="H8" s="24"/>
      <c r="I8" s="24"/>
      <c r="J8" s="24"/>
      <c r="K8" s="24"/>
      <c r="L8" s="24"/>
      <c r="M8" s="54">
        <f t="shared" si="1"/>
        <v>0</v>
      </c>
      <c r="N8">
        <f t="shared" si="2"/>
        <v>1</v>
      </c>
    </row>
    <row r="9" spans="1:14" ht="23.25" customHeight="1">
      <c r="A9" s="23">
        <v>805</v>
      </c>
      <c r="B9" s="24"/>
      <c r="C9" s="24"/>
      <c r="D9" s="24"/>
      <c r="E9" s="25"/>
      <c r="F9" s="30"/>
      <c r="G9" s="27">
        <f t="shared" si="0"/>
        <v>805</v>
      </c>
      <c r="H9" s="24"/>
      <c r="I9" s="24"/>
      <c r="J9" s="24"/>
      <c r="K9" s="24"/>
      <c r="L9" s="24"/>
      <c r="M9" s="54">
        <f t="shared" si="1"/>
        <v>0</v>
      </c>
      <c r="N9">
        <f t="shared" si="2"/>
        <v>1</v>
      </c>
    </row>
    <row r="10" spans="1:14" ht="23.25" customHeight="1">
      <c r="A10" s="23">
        <v>806</v>
      </c>
      <c r="B10" s="24"/>
      <c r="C10" s="24"/>
      <c r="D10" s="24"/>
      <c r="E10" s="25"/>
      <c r="F10" s="30"/>
      <c r="G10" s="27">
        <f t="shared" si="0"/>
        <v>806</v>
      </c>
      <c r="H10" s="24"/>
      <c r="I10" s="24"/>
      <c r="J10" s="24"/>
      <c r="K10" s="24"/>
      <c r="L10" s="24"/>
      <c r="M10" s="54">
        <f t="shared" si="1"/>
        <v>0</v>
      </c>
      <c r="N10">
        <f t="shared" si="2"/>
        <v>1</v>
      </c>
    </row>
    <row r="11" spans="1:14" ht="23.25" customHeight="1">
      <c r="A11" s="23">
        <v>807</v>
      </c>
      <c r="B11" s="24"/>
      <c r="C11" s="37"/>
      <c r="D11" s="24"/>
      <c r="E11" s="25"/>
      <c r="F11" s="30"/>
      <c r="G11" s="27">
        <f t="shared" si="0"/>
        <v>807</v>
      </c>
      <c r="H11" s="23"/>
      <c r="I11" s="23"/>
      <c r="J11" s="23"/>
      <c r="K11" s="23"/>
      <c r="L11" s="23"/>
      <c r="M11" s="54">
        <f t="shared" si="1"/>
        <v>0</v>
      </c>
      <c r="N11">
        <f t="shared" si="2"/>
        <v>1</v>
      </c>
    </row>
    <row r="12" spans="1:14" ht="23.25" customHeight="1">
      <c r="A12" s="23">
        <v>808</v>
      </c>
      <c r="B12" s="24"/>
      <c r="C12" s="24"/>
      <c r="D12" s="24"/>
      <c r="E12" s="25"/>
      <c r="F12" s="30"/>
      <c r="G12" s="27">
        <f t="shared" si="0"/>
        <v>808</v>
      </c>
      <c r="H12" s="24"/>
      <c r="I12" s="24"/>
      <c r="J12" s="24"/>
      <c r="K12" s="24"/>
      <c r="L12" s="24"/>
      <c r="M12" s="54">
        <f t="shared" si="1"/>
        <v>0</v>
      </c>
      <c r="N12">
        <f t="shared" si="2"/>
        <v>1</v>
      </c>
    </row>
    <row r="13" spans="1:14" ht="23.25" customHeight="1">
      <c r="A13" s="23">
        <v>809</v>
      </c>
      <c r="B13" s="24"/>
      <c r="C13" s="24"/>
      <c r="D13" s="24"/>
      <c r="E13" s="25"/>
      <c r="F13" s="30"/>
      <c r="G13" s="27">
        <f t="shared" si="0"/>
        <v>809</v>
      </c>
      <c r="H13" s="24"/>
      <c r="I13" s="24"/>
      <c r="J13" s="24"/>
      <c r="K13" s="24"/>
      <c r="L13" s="24"/>
      <c r="M13" s="54">
        <f t="shared" si="1"/>
        <v>0</v>
      </c>
      <c r="N13">
        <f t="shared" si="2"/>
        <v>1</v>
      </c>
    </row>
    <row r="14" spans="1:14" ht="23.25" customHeight="1">
      <c r="A14" s="23">
        <v>810</v>
      </c>
      <c r="B14" s="24"/>
      <c r="C14" s="24"/>
      <c r="D14" s="24"/>
      <c r="E14" s="25"/>
      <c r="F14" s="30"/>
      <c r="G14" s="27">
        <f t="shared" si="0"/>
        <v>810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116" priority="4" operator="equal">
      <formula>0</formula>
    </cfRule>
    <cfRule type="expression" dxfId="115" priority="5">
      <formula>COUNTIF($M:$M,M5)&gt;1</formula>
    </cfRule>
    <cfRule type="cellIs" dxfId="114" priority="6" operator="greaterThanOrEqual">
      <formula>49</formula>
    </cfRule>
    <cfRule type="cellIs" dxfId="113" priority="7" operator="greaterThan">
      <formula>25</formula>
    </cfRule>
  </conditionalFormatting>
  <conditionalFormatting sqref="N1:N1048576">
    <cfRule type="cellIs" dxfId="112" priority="1" operator="equal">
      <formula>3</formula>
    </cfRule>
    <cfRule type="cellIs" dxfId="111" priority="2" operator="equal">
      <formula>2</formula>
    </cfRule>
    <cfRule type="cellIs" dxfId="110" priority="3" operator="equal">
      <formula>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1155CC"/>
    <outlinePr summaryBelow="0" summaryRight="0"/>
  </sheetPr>
  <dimension ref="A1:N54"/>
  <sheetViews>
    <sheetView workbookViewId="0">
      <selection activeCell="B5" sqref="B5"/>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7" t="str">
        <f>'Your Categories'!B11</f>
        <v>Best Groomed</v>
      </c>
      <c r="D1" s="68"/>
      <c r="E1" s="68"/>
      <c r="F1" s="15"/>
      <c r="G1" s="77" t="s">
        <v>52</v>
      </c>
      <c r="H1" s="68"/>
      <c r="I1" s="68"/>
      <c r="J1" s="68"/>
      <c r="K1" s="68"/>
      <c r="L1" s="68"/>
      <c r="M1" s="68"/>
    </row>
    <row r="2" spans="1:14" ht="23.25" customHeight="1">
      <c r="A2" s="84" t="s">
        <v>140</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901</v>
      </c>
      <c r="B5" s="24"/>
      <c r="C5" s="24"/>
      <c r="D5" s="23"/>
      <c r="E5" s="29"/>
      <c r="F5" s="26"/>
      <c r="G5" s="27">
        <f t="shared" si="0"/>
        <v>901</v>
      </c>
      <c r="H5" s="24"/>
      <c r="I5" s="24"/>
      <c r="J5" s="24"/>
      <c r="K5" s="24"/>
      <c r="L5" s="24"/>
      <c r="M5" s="54">
        <f t="shared" ref="M5:M54" si="1">SUM(H5:L5)</f>
        <v>0</v>
      </c>
      <c r="N5">
        <f>RANK(M5,$M$5:$M$17)</f>
        <v>1</v>
      </c>
    </row>
    <row r="6" spans="1:14" ht="23.25" customHeight="1">
      <c r="A6" s="23">
        <v>902</v>
      </c>
      <c r="B6" s="24"/>
      <c r="C6" s="24"/>
      <c r="D6" s="24"/>
      <c r="E6" s="25"/>
      <c r="F6" s="30"/>
      <c r="G6" s="27">
        <f t="shared" si="0"/>
        <v>902</v>
      </c>
      <c r="H6" s="23"/>
      <c r="I6" s="23"/>
      <c r="J6" s="23"/>
      <c r="K6" s="23"/>
      <c r="L6" s="23"/>
      <c r="M6" s="54">
        <f t="shared" si="1"/>
        <v>0</v>
      </c>
      <c r="N6">
        <f t="shared" ref="N6:N17" si="2">RANK(M6,$M$5:$M$17)</f>
        <v>1</v>
      </c>
    </row>
    <row r="7" spans="1:14" ht="23.25" customHeight="1">
      <c r="A7" s="23">
        <v>903</v>
      </c>
      <c r="B7" s="24"/>
      <c r="C7" s="24"/>
      <c r="D7" s="24"/>
      <c r="E7" s="25"/>
      <c r="F7" s="30"/>
      <c r="G7" s="27">
        <f t="shared" si="0"/>
        <v>903</v>
      </c>
      <c r="H7" s="24"/>
      <c r="I7" s="24"/>
      <c r="J7" s="24"/>
      <c r="K7" s="24"/>
      <c r="L7" s="24"/>
      <c r="M7" s="54">
        <f t="shared" si="1"/>
        <v>0</v>
      </c>
      <c r="N7">
        <f t="shared" si="2"/>
        <v>1</v>
      </c>
    </row>
    <row r="8" spans="1:14" ht="23.25" customHeight="1">
      <c r="A8" s="23">
        <v>904</v>
      </c>
      <c r="B8" s="24"/>
      <c r="C8" s="24"/>
      <c r="D8" s="24"/>
      <c r="E8" s="25"/>
      <c r="F8" s="30"/>
      <c r="G8" s="27">
        <f t="shared" si="0"/>
        <v>904</v>
      </c>
      <c r="H8" s="24"/>
      <c r="I8" s="24"/>
      <c r="J8" s="24"/>
      <c r="K8" s="24"/>
      <c r="L8" s="24"/>
      <c r="M8" s="54">
        <f t="shared" si="1"/>
        <v>0</v>
      </c>
      <c r="N8">
        <f t="shared" si="2"/>
        <v>1</v>
      </c>
    </row>
    <row r="9" spans="1:14" ht="23.25" customHeight="1">
      <c r="A9" s="23">
        <v>905</v>
      </c>
      <c r="B9" s="24"/>
      <c r="C9" s="24"/>
      <c r="D9" s="24"/>
      <c r="E9" s="25"/>
      <c r="F9" s="30"/>
      <c r="G9" s="27">
        <f t="shared" si="0"/>
        <v>905</v>
      </c>
      <c r="H9" s="24"/>
      <c r="I9" s="24"/>
      <c r="J9" s="24"/>
      <c r="K9" s="24"/>
      <c r="L9" s="24"/>
      <c r="M9" s="54">
        <f t="shared" si="1"/>
        <v>0</v>
      </c>
      <c r="N9">
        <f t="shared" si="2"/>
        <v>1</v>
      </c>
    </row>
    <row r="10" spans="1:14" ht="23.25" customHeight="1">
      <c r="A10" s="23">
        <v>906</v>
      </c>
      <c r="B10" s="24"/>
      <c r="C10" s="24"/>
      <c r="D10" s="24"/>
      <c r="E10" s="25"/>
      <c r="F10" s="30"/>
      <c r="G10" s="27">
        <f t="shared" si="0"/>
        <v>906</v>
      </c>
      <c r="H10" s="24"/>
      <c r="I10" s="24"/>
      <c r="J10" s="24"/>
      <c r="K10" s="24"/>
      <c r="L10" s="24"/>
      <c r="M10" s="54">
        <f t="shared" si="1"/>
        <v>0</v>
      </c>
      <c r="N10">
        <f t="shared" si="2"/>
        <v>1</v>
      </c>
    </row>
    <row r="11" spans="1:14" ht="23.25" customHeight="1">
      <c r="A11" s="23">
        <v>907</v>
      </c>
      <c r="B11" s="24"/>
      <c r="C11" s="37"/>
      <c r="D11" s="24"/>
      <c r="E11" s="25"/>
      <c r="F11" s="30"/>
      <c r="G11" s="27">
        <f t="shared" si="0"/>
        <v>907</v>
      </c>
      <c r="H11" s="23"/>
      <c r="I11" s="23"/>
      <c r="J11" s="23"/>
      <c r="K11" s="23"/>
      <c r="L11" s="23"/>
      <c r="M11" s="54">
        <f t="shared" si="1"/>
        <v>0</v>
      </c>
      <c r="N11">
        <f t="shared" si="2"/>
        <v>1</v>
      </c>
    </row>
    <row r="12" spans="1:14" ht="23.25" customHeight="1">
      <c r="A12" s="23">
        <v>908</v>
      </c>
      <c r="B12" s="24"/>
      <c r="C12" s="24"/>
      <c r="D12" s="24"/>
      <c r="E12" s="25"/>
      <c r="F12" s="30"/>
      <c r="G12" s="27">
        <f t="shared" si="0"/>
        <v>908</v>
      </c>
      <c r="H12" s="24"/>
      <c r="I12" s="24"/>
      <c r="J12" s="24"/>
      <c r="K12" s="24"/>
      <c r="L12" s="24"/>
      <c r="M12" s="54">
        <f t="shared" si="1"/>
        <v>0</v>
      </c>
      <c r="N12">
        <f t="shared" si="2"/>
        <v>1</v>
      </c>
    </row>
    <row r="13" spans="1:14" ht="23.25" customHeight="1">
      <c r="A13" s="23">
        <v>909</v>
      </c>
      <c r="B13" s="24"/>
      <c r="C13" s="24"/>
      <c r="D13" s="24"/>
      <c r="E13" s="25"/>
      <c r="F13" s="30"/>
      <c r="G13" s="27">
        <f t="shared" si="0"/>
        <v>909</v>
      </c>
      <c r="H13" s="24"/>
      <c r="I13" s="24"/>
      <c r="J13" s="24"/>
      <c r="K13" s="24"/>
      <c r="L13" s="24"/>
      <c r="M13" s="54">
        <f t="shared" si="1"/>
        <v>0</v>
      </c>
      <c r="N13">
        <f t="shared" si="2"/>
        <v>1</v>
      </c>
    </row>
    <row r="14" spans="1:14" ht="23.25" customHeight="1">
      <c r="A14" s="23">
        <v>910</v>
      </c>
      <c r="B14" s="24"/>
      <c r="C14" s="24"/>
      <c r="D14" s="24"/>
      <c r="E14" s="25"/>
      <c r="F14" s="30"/>
      <c r="G14" s="27">
        <f t="shared" si="0"/>
        <v>910</v>
      </c>
      <c r="H14" s="24"/>
      <c r="I14" s="24"/>
      <c r="J14" s="24"/>
      <c r="K14" s="24"/>
      <c r="L14" s="24"/>
      <c r="M14" s="54">
        <f t="shared" si="1"/>
        <v>0</v>
      </c>
      <c r="N14">
        <f t="shared" si="2"/>
        <v>1</v>
      </c>
    </row>
    <row r="15" spans="1:14" ht="23.25" customHeight="1">
      <c r="A15" s="23">
        <v>911</v>
      </c>
      <c r="B15" s="24"/>
      <c r="C15" s="24"/>
      <c r="D15" s="24"/>
      <c r="E15" s="25"/>
      <c r="F15" s="30"/>
      <c r="G15" s="27">
        <f t="shared" si="0"/>
        <v>911</v>
      </c>
      <c r="H15" s="24"/>
      <c r="I15" s="24"/>
      <c r="J15" s="24"/>
      <c r="K15" s="24"/>
      <c r="L15" s="24"/>
      <c r="M15" s="54">
        <f t="shared" si="1"/>
        <v>0</v>
      </c>
      <c r="N15">
        <f t="shared" si="2"/>
        <v>1</v>
      </c>
    </row>
    <row r="16" spans="1:14" ht="23.25" customHeight="1">
      <c r="A16" s="23">
        <v>912</v>
      </c>
      <c r="B16" s="55"/>
      <c r="C16" s="56"/>
      <c r="D16" s="24"/>
      <c r="E16" s="25"/>
      <c r="F16" s="30"/>
      <c r="G16" s="27">
        <f t="shared" si="0"/>
        <v>912</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109" priority="4" operator="equal">
      <formula>0</formula>
    </cfRule>
    <cfRule type="expression" dxfId="108" priority="5">
      <formula>COUNTIF($M:$M,M5)&gt;1</formula>
    </cfRule>
    <cfRule type="cellIs" dxfId="107" priority="6" operator="greaterThanOrEqual">
      <formula>49</formula>
    </cfRule>
    <cfRule type="cellIs" dxfId="106" priority="7" operator="greaterThan">
      <formula>25</formula>
    </cfRule>
  </conditionalFormatting>
  <conditionalFormatting sqref="N1:N1048576">
    <cfRule type="cellIs" dxfId="105" priority="1" operator="equal">
      <formula>3</formula>
    </cfRule>
    <cfRule type="cellIs" dxfId="104" priority="2" operator="equal">
      <formula>2</formula>
    </cfRule>
    <cfRule type="cellIs" dxfId="103" priority="3" operator="equal">
      <formula>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1155CC"/>
    <outlinePr summaryBelow="0" summaryRight="0"/>
  </sheetPr>
  <dimension ref="A1:N54"/>
  <sheetViews>
    <sheetView topLeftCell="A2" workbookViewId="0">
      <selection activeCell="H5" sqref="H5:J10"/>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7" t="str">
        <f>'Your Categories'!B12</f>
        <v>Best Under 4"</v>
      </c>
      <c r="D1" s="68"/>
      <c r="E1" s="68"/>
      <c r="F1" s="15"/>
      <c r="G1" s="77" t="s">
        <v>52</v>
      </c>
      <c r="H1" s="68"/>
      <c r="I1" s="68"/>
      <c r="J1" s="68"/>
      <c r="K1" s="68"/>
      <c r="L1" s="68"/>
      <c r="M1" s="68"/>
    </row>
    <row r="2" spans="1:14" ht="23.25" customHeight="1">
      <c r="A2" s="84" t="s">
        <v>123</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1001</v>
      </c>
      <c r="B5" s="24"/>
      <c r="C5" s="24"/>
      <c r="D5" s="23"/>
      <c r="E5" s="29"/>
      <c r="F5" s="26"/>
      <c r="G5" s="27">
        <f t="shared" si="0"/>
        <v>1001</v>
      </c>
      <c r="H5" s="24"/>
      <c r="I5" s="24"/>
      <c r="J5" s="24"/>
      <c r="K5" s="24"/>
      <c r="L5" s="24"/>
      <c r="M5" s="54">
        <f t="shared" ref="M5:M54" si="1">SUM(H5:L5)</f>
        <v>0</v>
      </c>
      <c r="N5">
        <f>RANK(M5,$M$5:$M$17)</f>
        <v>1</v>
      </c>
    </row>
    <row r="6" spans="1:14" ht="23.25" customHeight="1">
      <c r="A6" s="23">
        <v>1002</v>
      </c>
      <c r="B6" s="24"/>
      <c r="C6" s="24"/>
      <c r="D6" s="24"/>
      <c r="E6" s="25"/>
      <c r="F6" s="30"/>
      <c r="G6" s="27">
        <f t="shared" si="0"/>
        <v>1002</v>
      </c>
      <c r="H6" s="23"/>
      <c r="I6" s="23"/>
      <c r="J6" s="23"/>
      <c r="K6" s="23"/>
      <c r="L6" s="23"/>
      <c r="M6" s="54">
        <f t="shared" si="1"/>
        <v>0</v>
      </c>
      <c r="N6">
        <f t="shared" ref="N6:N17" si="2">RANK(M6,$M$5:$M$17)</f>
        <v>1</v>
      </c>
    </row>
    <row r="7" spans="1:14" ht="23.25" customHeight="1">
      <c r="A7" s="23">
        <v>1003</v>
      </c>
      <c r="B7" s="24"/>
      <c r="C7" s="24"/>
      <c r="D7" s="24"/>
      <c r="E7" s="25"/>
      <c r="F7" s="30"/>
      <c r="G7" s="27">
        <f t="shared" si="0"/>
        <v>1003</v>
      </c>
      <c r="H7" s="24"/>
      <c r="I7" s="24"/>
      <c r="J7" s="24"/>
      <c r="K7" s="24"/>
      <c r="L7" s="24"/>
      <c r="M7" s="54">
        <f t="shared" si="1"/>
        <v>0</v>
      </c>
      <c r="N7">
        <f t="shared" si="2"/>
        <v>1</v>
      </c>
    </row>
    <row r="8" spans="1:14" ht="23.25" customHeight="1">
      <c r="A8" s="23">
        <v>1004</v>
      </c>
      <c r="B8" s="24"/>
      <c r="C8" s="24"/>
      <c r="D8" s="24"/>
      <c r="E8" s="25"/>
      <c r="F8" s="30"/>
      <c r="G8" s="27">
        <f t="shared" si="0"/>
        <v>1004</v>
      </c>
      <c r="H8" s="24"/>
      <c r="I8" s="24"/>
      <c r="J8" s="24"/>
      <c r="K8" s="24"/>
      <c r="L8" s="24"/>
      <c r="M8" s="54">
        <f t="shared" si="1"/>
        <v>0</v>
      </c>
      <c r="N8">
        <f t="shared" si="2"/>
        <v>1</v>
      </c>
    </row>
    <row r="9" spans="1:14" ht="23.25" customHeight="1">
      <c r="A9" s="23">
        <v>1005</v>
      </c>
      <c r="B9" s="24"/>
      <c r="C9" s="24"/>
      <c r="D9" s="24"/>
      <c r="E9" s="25"/>
      <c r="F9" s="30"/>
      <c r="G9" s="27">
        <f t="shared" si="0"/>
        <v>1005</v>
      </c>
      <c r="H9" s="24"/>
      <c r="I9" s="24"/>
      <c r="J9" s="24"/>
      <c r="K9" s="24"/>
      <c r="L9" s="24"/>
      <c r="M9" s="54">
        <f t="shared" si="1"/>
        <v>0</v>
      </c>
      <c r="N9">
        <f t="shared" si="2"/>
        <v>1</v>
      </c>
    </row>
    <row r="10" spans="1:14" ht="23.25" customHeight="1">
      <c r="A10" s="23">
        <v>1006</v>
      </c>
      <c r="B10" s="24"/>
      <c r="C10" s="24"/>
      <c r="D10" s="24"/>
      <c r="E10" s="25"/>
      <c r="F10" s="30"/>
      <c r="G10" s="27">
        <f t="shared" si="0"/>
        <v>1006</v>
      </c>
      <c r="H10" s="24"/>
      <c r="I10" s="24"/>
      <c r="J10" s="24"/>
      <c r="K10" s="24"/>
      <c r="L10" s="24"/>
      <c r="M10" s="54">
        <f t="shared" si="1"/>
        <v>0</v>
      </c>
      <c r="N10">
        <f t="shared" si="2"/>
        <v>1</v>
      </c>
    </row>
    <row r="11" spans="1:14" ht="23.25" customHeight="1">
      <c r="A11" s="23">
        <v>1007</v>
      </c>
      <c r="B11" s="24"/>
      <c r="C11" s="37"/>
      <c r="D11" s="24"/>
      <c r="E11" s="25"/>
      <c r="F11" s="30"/>
      <c r="G11" s="27">
        <f t="shared" si="0"/>
        <v>1007</v>
      </c>
      <c r="H11" s="23"/>
      <c r="I11" s="23"/>
      <c r="J11" s="23"/>
      <c r="K11" s="23"/>
      <c r="L11" s="23"/>
      <c r="M11" s="54">
        <f t="shared" si="1"/>
        <v>0</v>
      </c>
      <c r="N11">
        <f t="shared" si="2"/>
        <v>1</v>
      </c>
    </row>
    <row r="12" spans="1:14" ht="23.25" customHeight="1">
      <c r="A12" s="23">
        <v>1008</v>
      </c>
      <c r="B12" s="24"/>
      <c r="C12" s="24"/>
      <c r="D12" s="24"/>
      <c r="E12" s="25"/>
      <c r="F12" s="30"/>
      <c r="G12" s="27">
        <f t="shared" si="0"/>
        <v>1008</v>
      </c>
      <c r="H12" s="24"/>
      <c r="I12" s="24"/>
      <c r="J12" s="24"/>
      <c r="K12" s="24"/>
      <c r="L12" s="24"/>
      <c r="M12" s="54">
        <f t="shared" si="1"/>
        <v>0</v>
      </c>
      <c r="N12">
        <f t="shared" si="2"/>
        <v>1</v>
      </c>
    </row>
    <row r="13" spans="1:14" ht="23.25" customHeight="1">
      <c r="A13" s="23">
        <v>1009</v>
      </c>
      <c r="B13" s="24"/>
      <c r="C13" s="24"/>
      <c r="D13" s="24"/>
      <c r="E13" s="25"/>
      <c r="F13" s="30"/>
      <c r="G13" s="27">
        <f t="shared" si="0"/>
        <v>1009</v>
      </c>
      <c r="H13" s="24"/>
      <c r="I13" s="24"/>
      <c r="J13" s="24"/>
      <c r="K13" s="24"/>
      <c r="L13" s="24"/>
      <c r="M13" s="54">
        <f t="shared" si="1"/>
        <v>0</v>
      </c>
      <c r="N13">
        <f t="shared" si="2"/>
        <v>1</v>
      </c>
    </row>
    <row r="14" spans="1:14" ht="23.25" customHeight="1">
      <c r="A14" s="23">
        <v>1010</v>
      </c>
      <c r="B14" s="24"/>
      <c r="C14" s="24"/>
      <c r="D14" s="24"/>
      <c r="E14" s="25"/>
      <c r="F14" s="30"/>
      <c r="G14" s="27">
        <f t="shared" si="0"/>
        <v>1010</v>
      </c>
      <c r="H14" s="24"/>
      <c r="I14" s="24"/>
      <c r="J14" s="24"/>
      <c r="K14" s="24"/>
      <c r="L14" s="24"/>
      <c r="M14" s="54">
        <f t="shared" si="1"/>
        <v>0</v>
      </c>
      <c r="N14">
        <f t="shared" si="2"/>
        <v>1</v>
      </c>
    </row>
    <row r="15" spans="1:14" ht="23.25" customHeight="1">
      <c r="A15" s="23">
        <v>1011</v>
      </c>
      <c r="B15" s="24"/>
      <c r="C15" s="24"/>
      <c r="D15" s="24"/>
      <c r="E15" s="25"/>
      <c r="F15" s="30"/>
      <c r="G15" s="27">
        <f t="shared" si="0"/>
        <v>1011</v>
      </c>
      <c r="H15" s="24"/>
      <c r="I15" s="24"/>
      <c r="J15" s="24"/>
      <c r="K15" s="24"/>
      <c r="L15" s="24"/>
      <c r="M15" s="54">
        <f t="shared" si="1"/>
        <v>0</v>
      </c>
      <c r="N15">
        <f t="shared" si="2"/>
        <v>1</v>
      </c>
    </row>
    <row r="16" spans="1:14" ht="23.25" customHeight="1">
      <c r="A16" s="23">
        <v>1012</v>
      </c>
      <c r="B16" s="55"/>
      <c r="C16" s="56"/>
      <c r="D16" s="24"/>
      <c r="E16" s="25"/>
      <c r="F16" s="30"/>
      <c r="G16" s="27">
        <f t="shared" si="0"/>
        <v>1012</v>
      </c>
      <c r="H16" s="24"/>
      <c r="I16" s="24"/>
      <c r="J16" s="24"/>
      <c r="K16" s="24"/>
      <c r="L16" s="24"/>
      <c r="M16" s="54">
        <f t="shared" si="1"/>
        <v>0</v>
      </c>
      <c r="N16">
        <f t="shared" si="2"/>
        <v>1</v>
      </c>
    </row>
    <row r="17" spans="1:14" ht="23.25" customHeight="1">
      <c r="A17" s="24">
        <v>1013</v>
      </c>
      <c r="B17" s="34"/>
      <c r="C17" s="34"/>
      <c r="D17" s="34"/>
      <c r="E17" s="34"/>
      <c r="F17" s="30"/>
      <c r="G17" s="27">
        <f t="shared" si="0"/>
        <v>1013</v>
      </c>
      <c r="H17" s="24"/>
      <c r="I17" s="24"/>
      <c r="J17" s="24"/>
      <c r="K17" s="24"/>
      <c r="L17" s="24"/>
      <c r="M17" s="54">
        <f t="shared" si="1"/>
        <v>0</v>
      </c>
      <c r="N17">
        <f t="shared" si="2"/>
        <v>1</v>
      </c>
    </row>
    <row r="18" spans="1:14" ht="23.25" customHeight="1">
      <c r="A18" s="24">
        <v>1014</v>
      </c>
      <c r="B18" s="55"/>
      <c r="C18" s="34"/>
      <c r="D18" s="34"/>
      <c r="E18" s="34"/>
      <c r="F18" s="30"/>
      <c r="G18" s="27">
        <f t="shared" si="0"/>
        <v>1014</v>
      </c>
      <c r="H18" s="24"/>
      <c r="I18" s="24"/>
      <c r="J18" s="24"/>
      <c r="K18" s="24"/>
      <c r="L18" s="24"/>
      <c r="M18" s="54">
        <f t="shared" si="1"/>
        <v>0</v>
      </c>
    </row>
    <row r="19" spans="1:14" ht="23.25" customHeight="1">
      <c r="A19" s="24">
        <v>1015</v>
      </c>
      <c r="B19" s="34"/>
      <c r="C19" s="34"/>
      <c r="D19" s="34"/>
      <c r="E19" s="34"/>
      <c r="F19" s="30"/>
      <c r="G19" s="27">
        <f t="shared" si="0"/>
        <v>1015</v>
      </c>
      <c r="H19" s="24"/>
      <c r="I19" s="24"/>
      <c r="J19" s="24"/>
      <c r="K19" s="24"/>
      <c r="L19" s="24"/>
      <c r="M19" s="54">
        <f t="shared" si="1"/>
        <v>0</v>
      </c>
    </row>
    <row r="20" spans="1:14" ht="23.25" customHeight="1">
      <c r="A20" s="24"/>
      <c r="B20" s="34"/>
      <c r="C20" s="34"/>
      <c r="D20" s="34"/>
      <c r="E20" s="34"/>
      <c r="F20" s="30"/>
      <c r="G20" s="27">
        <f t="shared" si="0"/>
        <v>0</v>
      </c>
      <c r="H20" s="24"/>
      <c r="I20" s="24"/>
      <c r="J20" s="24"/>
      <c r="K20" s="24"/>
      <c r="L20" s="24"/>
      <c r="M20" s="54">
        <f t="shared" si="1"/>
        <v>0</v>
      </c>
    </row>
    <row r="21" spans="1:14" ht="23.25" customHeight="1">
      <c r="A21" s="24"/>
      <c r="B21" s="34"/>
      <c r="C21" s="34"/>
      <c r="D21" s="34"/>
      <c r="E21" s="34"/>
      <c r="F21" s="30"/>
      <c r="G21" s="27">
        <f t="shared" si="0"/>
        <v>0</v>
      </c>
      <c r="H21" s="24"/>
      <c r="I21" s="24"/>
      <c r="J21" s="24"/>
      <c r="K21" s="24"/>
      <c r="L21" s="24"/>
      <c r="M21" s="54">
        <f t="shared" si="1"/>
        <v>0</v>
      </c>
    </row>
    <row r="22" spans="1:14" ht="23.25" customHeight="1">
      <c r="A22" s="24"/>
      <c r="B22" s="36"/>
      <c r="C22" s="36"/>
      <c r="D22" s="36"/>
      <c r="E22" s="36"/>
      <c r="F22" s="30"/>
      <c r="G22" s="21">
        <f t="shared" si="0"/>
        <v>0</v>
      </c>
      <c r="H22" s="24"/>
      <c r="I22" s="24"/>
      <c r="J22" s="24"/>
      <c r="K22" s="24"/>
      <c r="L22" s="24"/>
      <c r="M22" s="54">
        <f t="shared" si="1"/>
        <v>0</v>
      </c>
    </row>
    <row r="23" spans="1:14" ht="23.25" customHeight="1">
      <c r="A23" s="24"/>
      <c r="B23" s="36"/>
      <c r="C23" s="36"/>
      <c r="D23" s="36"/>
      <c r="E23" s="36"/>
      <c r="F23" s="30"/>
      <c r="G23" s="21">
        <f t="shared" si="0"/>
        <v>0</v>
      </c>
      <c r="H23" s="24"/>
      <c r="I23" s="24"/>
      <c r="J23" s="24"/>
      <c r="K23" s="24"/>
      <c r="L23" s="24"/>
      <c r="M23" s="54">
        <f t="shared" si="1"/>
        <v>0</v>
      </c>
    </row>
    <row r="24" spans="1:14" ht="23.25" customHeight="1">
      <c r="A24" s="24"/>
      <c r="B24" s="36"/>
      <c r="C24" s="36"/>
      <c r="D24" s="36"/>
      <c r="E24" s="36"/>
      <c r="F24" s="30"/>
      <c r="G24" s="21">
        <f t="shared" si="0"/>
        <v>0</v>
      </c>
      <c r="H24" s="24"/>
      <c r="I24" s="24"/>
      <c r="J24" s="24"/>
      <c r="K24" s="24"/>
      <c r="L24" s="24"/>
      <c r="M24" s="54">
        <f t="shared" si="1"/>
        <v>0</v>
      </c>
    </row>
    <row r="25" spans="1:14" ht="23.25" customHeight="1">
      <c r="A25" s="24"/>
      <c r="B25" s="36"/>
      <c r="C25" s="36"/>
      <c r="D25" s="36"/>
      <c r="E25" s="36"/>
      <c r="F25" s="30"/>
      <c r="G25" s="21">
        <f t="shared" si="0"/>
        <v>0</v>
      </c>
      <c r="H25" s="24"/>
      <c r="I25" s="24"/>
      <c r="J25" s="24"/>
      <c r="K25" s="24"/>
      <c r="L25" s="24"/>
      <c r="M25" s="54">
        <f t="shared" si="1"/>
        <v>0</v>
      </c>
    </row>
    <row r="26" spans="1:14" ht="23.25" customHeight="1">
      <c r="A26" s="24"/>
      <c r="B26" s="24"/>
      <c r="C26" s="24"/>
      <c r="D26" s="24"/>
      <c r="E26" s="25"/>
      <c r="F26" s="30"/>
      <c r="G26" s="21">
        <f t="shared" si="0"/>
        <v>0</v>
      </c>
      <c r="H26" s="24"/>
      <c r="I26" s="24"/>
      <c r="J26" s="24"/>
      <c r="K26" s="24"/>
      <c r="L26" s="24"/>
      <c r="M26" s="54">
        <f t="shared" si="1"/>
        <v>0</v>
      </c>
    </row>
    <row r="27" spans="1:14" ht="23.25" customHeight="1">
      <c r="A27" s="24"/>
      <c r="B27" s="24"/>
      <c r="C27" s="24"/>
      <c r="D27" s="24"/>
      <c r="E27" s="25"/>
      <c r="F27" s="30"/>
      <c r="G27" s="21">
        <f t="shared" si="0"/>
        <v>0</v>
      </c>
      <c r="H27" s="24"/>
      <c r="I27" s="24"/>
      <c r="J27" s="24"/>
      <c r="K27" s="24"/>
      <c r="L27" s="24"/>
      <c r="M27" s="54">
        <f t="shared" si="1"/>
        <v>0</v>
      </c>
    </row>
    <row r="28" spans="1:14" ht="23.25" customHeight="1">
      <c r="A28" s="24"/>
      <c r="B28" s="24"/>
      <c r="C28" s="24"/>
      <c r="D28" s="24"/>
      <c r="E28" s="25"/>
      <c r="F28" s="30"/>
      <c r="G28" s="21">
        <f t="shared" si="0"/>
        <v>0</v>
      </c>
      <c r="H28" s="24"/>
      <c r="I28" s="24"/>
      <c r="J28" s="24"/>
      <c r="K28" s="24"/>
      <c r="L28" s="24"/>
      <c r="M28" s="54">
        <f t="shared" si="1"/>
        <v>0</v>
      </c>
    </row>
    <row r="29" spans="1:14" ht="23.25" customHeight="1">
      <c r="A29" s="24"/>
      <c r="B29" s="24"/>
      <c r="C29" s="24"/>
      <c r="D29" s="24"/>
      <c r="E29" s="25"/>
      <c r="F29" s="30"/>
      <c r="G29" s="21">
        <f t="shared" si="0"/>
        <v>0</v>
      </c>
      <c r="H29" s="24"/>
      <c r="I29" s="24"/>
      <c r="J29" s="24"/>
      <c r="K29" s="24"/>
      <c r="L29" s="24"/>
      <c r="M29" s="54">
        <f t="shared" si="1"/>
        <v>0</v>
      </c>
    </row>
    <row r="30" spans="1:14" ht="23.25" customHeight="1">
      <c r="A30" s="24"/>
      <c r="B30" s="24"/>
      <c r="C30" s="24"/>
      <c r="D30" s="24"/>
      <c r="E30" s="25"/>
      <c r="F30" s="30"/>
      <c r="G30" s="21">
        <f t="shared" si="0"/>
        <v>0</v>
      </c>
      <c r="H30" s="24"/>
      <c r="I30" s="24"/>
      <c r="J30" s="24"/>
      <c r="K30" s="24"/>
      <c r="L30" s="24"/>
      <c r="M30" s="54">
        <f t="shared" si="1"/>
        <v>0</v>
      </c>
    </row>
    <row r="31" spans="1:14" ht="23.25" customHeight="1">
      <c r="A31" s="24"/>
      <c r="B31" s="24"/>
      <c r="C31" s="24"/>
      <c r="D31" s="24"/>
      <c r="E31" s="25"/>
      <c r="F31" s="30"/>
      <c r="G31" s="21">
        <f t="shared" si="0"/>
        <v>0</v>
      </c>
      <c r="H31" s="24"/>
      <c r="I31" s="24"/>
      <c r="J31" s="24"/>
      <c r="K31" s="24"/>
      <c r="L31" s="24"/>
      <c r="M31" s="54">
        <f t="shared" si="1"/>
        <v>0</v>
      </c>
    </row>
    <row r="32" spans="1:14" ht="23.25" customHeight="1">
      <c r="A32" s="24"/>
      <c r="B32" s="24"/>
      <c r="C32" s="24"/>
      <c r="D32" s="24"/>
      <c r="E32" s="25"/>
      <c r="F32" s="30"/>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102" priority="4" operator="equal">
      <formula>0</formula>
    </cfRule>
    <cfRule type="expression" dxfId="101" priority="5">
      <formula>COUNTIF($M:$M,M5)&gt;1</formula>
    </cfRule>
    <cfRule type="cellIs" dxfId="100" priority="6" operator="greaterThanOrEqual">
      <formula>49</formula>
    </cfRule>
    <cfRule type="cellIs" dxfId="99" priority="7" operator="greaterThan">
      <formula>25</formula>
    </cfRule>
  </conditionalFormatting>
  <conditionalFormatting sqref="N1:N1048576">
    <cfRule type="cellIs" dxfId="98" priority="1" operator="equal">
      <formula>3</formula>
    </cfRule>
    <cfRule type="cellIs" dxfId="97" priority="2" operator="equal">
      <formula>2</formula>
    </cfRule>
    <cfRule type="cellIs" dxfId="96" priority="3" operator="equal">
      <formula>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1155CC"/>
    <outlinePr summaryBelow="0" summaryRight="0"/>
  </sheetPr>
  <dimension ref="A1:N54"/>
  <sheetViews>
    <sheetView zoomScaleNormal="100" workbookViewId="0">
      <selection activeCell="H5" sqref="H5"/>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7"/>
      <c r="D1" s="68"/>
      <c r="E1" s="68"/>
      <c r="F1" s="15"/>
      <c r="G1" s="77" t="s">
        <v>52</v>
      </c>
      <c r="H1" s="68"/>
      <c r="I1" s="68"/>
      <c r="J1" s="68"/>
      <c r="K1" s="68"/>
      <c r="L1" s="68"/>
      <c r="M1" s="68"/>
    </row>
    <row r="2" spans="1:14" ht="23.25" customHeight="1">
      <c r="A2" s="84" t="s">
        <v>132</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1101</v>
      </c>
      <c r="B5" s="24"/>
      <c r="C5" s="24"/>
      <c r="D5" s="23"/>
      <c r="E5" s="29"/>
      <c r="F5" s="26"/>
      <c r="G5" s="27">
        <f t="shared" si="0"/>
        <v>1101</v>
      </c>
      <c r="H5" s="24"/>
      <c r="I5" s="24"/>
      <c r="J5" s="24"/>
      <c r="K5" s="24"/>
      <c r="L5" s="24"/>
      <c r="M5" s="54">
        <f t="shared" ref="M5:M54" si="1">SUM(H5:L5)</f>
        <v>0</v>
      </c>
      <c r="N5">
        <f>RANK(M5,$M$5:$M$17)</f>
        <v>1</v>
      </c>
    </row>
    <row r="6" spans="1:14" ht="23.25" customHeight="1">
      <c r="A6" s="23">
        <v>1102</v>
      </c>
      <c r="B6" s="24"/>
      <c r="C6" s="24"/>
      <c r="D6" s="24"/>
      <c r="E6" s="25"/>
      <c r="F6" s="30"/>
      <c r="G6" s="27">
        <f t="shared" si="0"/>
        <v>1102</v>
      </c>
      <c r="H6" s="23"/>
      <c r="I6" s="23"/>
      <c r="J6" s="23"/>
      <c r="K6" s="23"/>
      <c r="L6" s="23"/>
      <c r="M6" s="54">
        <f t="shared" si="1"/>
        <v>0</v>
      </c>
      <c r="N6">
        <f t="shared" ref="N6:N17" si="2">RANK(M6,$M$5:$M$17)</f>
        <v>1</v>
      </c>
    </row>
    <row r="7" spans="1:14" ht="23.25" customHeight="1">
      <c r="A7" s="23">
        <v>1103</v>
      </c>
      <c r="B7" s="24"/>
      <c r="C7" s="24"/>
      <c r="D7" s="24"/>
      <c r="E7" s="25"/>
      <c r="F7" s="30"/>
      <c r="G7" s="27">
        <f t="shared" si="0"/>
        <v>1103</v>
      </c>
      <c r="H7" s="24"/>
      <c r="I7" s="24"/>
      <c r="J7" s="24"/>
      <c r="K7" s="24"/>
      <c r="L7" s="24"/>
      <c r="M7" s="54">
        <f t="shared" si="1"/>
        <v>0</v>
      </c>
      <c r="N7">
        <f t="shared" si="2"/>
        <v>1</v>
      </c>
    </row>
    <row r="8" spans="1:14" ht="23.25" customHeight="1">
      <c r="A8" s="23">
        <v>1104</v>
      </c>
      <c r="B8" s="24"/>
      <c r="C8" s="24"/>
      <c r="D8" s="24"/>
      <c r="E8" s="25"/>
      <c r="F8" s="30"/>
      <c r="G8" s="27">
        <f t="shared" si="0"/>
        <v>1104</v>
      </c>
      <c r="H8" s="24"/>
      <c r="I8" s="24"/>
      <c r="J8" s="24"/>
      <c r="K8" s="24"/>
      <c r="L8" s="24"/>
      <c r="M8" s="54">
        <f t="shared" si="1"/>
        <v>0</v>
      </c>
      <c r="N8">
        <f t="shared" si="2"/>
        <v>1</v>
      </c>
    </row>
    <row r="9" spans="1:14" ht="23.25" customHeight="1">
      <c r="A9" s="23">
        <v>1105</v>
      </c>
      <c r="B9" s="24"/>
      <c r="C9" s="24"/>
      <c r="D9" s="24"/>
      <c r="E9" s="25"/>
      <c r="F9" s="30"/>
      <c r="G9" s="27">
        <f t="shared" si="0"/>
        <v>1105</v>
      </c>
      <c r="H9" s="24"/>
      <c r="I9" s="24"/>
      <c r="J9" s="24"/>
      <c r="K9" s="24"/>
      <c r="L9" s="24"/>
      <c r="M9" s="54">
        <f t="shared" si="1"/>
        <v>0</v>
      </c>
      <c r="N9">
        <f t="shared" si="2"/>
        <v>1</v>
      </c>
    </row>
    <row r="10" spans="1:14" ht="23.25" customHeight="1">
      <c r="A10" s="23">
        <v>1106</v>
      </c>
      <c r="B10" s="24"/>
      <c r="C10" s="24"/>
      <c r="D10" s="24"/>
      <c r="E10" s="25"/>
      <c r="F10" s="30"/>
      <c r="G10" s="27">
        <f t="shared" si="0"/>
        <v>1106</v>
      </c>
      <c r="H10" s="24"/>
      <c r="I10" s="24"/>
      <c r="J10" s="24"/>
      <c r="K10" s="24"/>
      <c r="L10" s="24"/>
      <c r="M10" s="54">
        <f t="shared" si="1"/>
        <v>0</v>
      </c>
      <c r="N10">
        <f t="shared" si="2"/>
        <v>1</v>
      </c>
    </row>
    <row r="11" spans="1:14" ht="23.25" customHeight="1">
      <c r="A11" s="23">
        <v>1107</v>
      </c>
      <c r="B11" s="24"/>
      <c r="C11" s="37"/>
      <c r="D11" s="24"/>
      <c r="E11" s="25"/>
      <c r="F11" s="30"/>
      <c r="G11" s="27">
        <f t="shared" si="0"/>
        <v>1107</v>
      </c>
      <c r="H11" s="23"/>
      <c r="I11" s="23"/>
      <c r="J11" s="23"/>
      <c r="K11" s="23"/>
      <c r="L11" s="23"/>
      <c r="M11" s="54">
        <f t="shared" si="1"/>
        <v>0</v>
      </c>
      <c r="N11">
        <f t="shared" si="2"/>
        <v>1</v>
      </c>
    </row>
    <row r="12" spans="1:14" ht="23.25" customHeight="1">
      <c r="A12" s="23">
        <v>1108</v>
      </c>
      <c r="B12" s="24"/>
      <c r="C12" s="24"/>
      <c r="D12" s="24"/>
      <c r="E12" s="25"/>
      <c r="F12" s="30"/>
      <c r="G12" s="27">
        <f t="shared" si="0"/>
        <v>1108</v>
      </c>
      <c r="H12" s="24"/>
      <c r="I12" s="24"/>
      <c r="J12" s="24"/>
      <c r="K12" s="24"/>
      <c r="L12" s="24"/>
      <c r="M12" s="54">
        <f t="shared" si="1"/>
        <v>0</v>
      </c>
      <c r="N12">
        <f t="shared" si="2"/>
        <v>1</v>
      </c>
    </row>
    <row r="13" spans="1:14" ht="23.25" customHeight="1">
      <c r="A13" s="23">
        <v>1109</v>
      </c>
      <c r="B13" s="24"/>
      <c r="C13" s="24"/>
      <c r="D13" s="24"/>
      <c r="E13" s="25"/>
      <c r="F13" s="30"/>
      <c r="G13" s="27">
        <f t="shared" si="0"/>
        <v>1109</v>
      </c>
      <c r="H13" s="24"/>
      <c r="I13" s="24"/>
      <c r="J13" s="24"/>
      <c r="K13" s="24"/>
      <c r="L13" s="24"/>
      <c r="M13" s="54">
        <f t="shared" si="1"/>
        <v>0</v>
      </c>
      <c r="N13">
        <f t="shared" si="2"/>
        <v>1</v>
      </c>
    </row>
    <row r="14" spans="1:14" ht="23.25" customHeight="1">
      <c r="A14" s="23">
        <v>1110</v>
      </c>
      <c r="B14" s="24"/>
      <c r="C14" s="24"/>
      <c r="D14" s="24"/>
      <c r="E14" s="25"/>
      <c r="F14" s="30"/>
      <c r="G14" s="27">
        <f t="shared" si="0"/>
        <v>1110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95" priority="4" operator="equal">
      <formula>0</formula>
    </cfRule>
    <cfRule type="expression" dxfId="94" priority="5">
      <formula>COUNTIF($M:$M,M5)&gt;1</formula>
    </cfRule>
    <cfRule type="cellIs" dxfId="93" priority="6" operator="greaterThanOrEqual">
      <formula>49</formula>
    </cfRule>
    <cfRule type="cellIs" dxfId="92" priority="7" operator="greaterThan">
      <formula>25</formula>
    </cfRule>
  </conditionalFormatting>
  <conditionalFormatting sqref="N1:N1048576">
    <cfRule type="cellIs" dxfId="91" priority="1" operator="equal">
      <formula>3</formula>
    </cfRule>
    <cfRule type="cellIs" dxfId="90" priority="2" operator="equal">
      <formula>2</formula>
    </cfRule>
    <cfRule type="cellIs" dxfId="89" priority="3" operator="equal">
      <formula>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1155CC"/>
    <outlinePr summaryBelow="0" summaryRight="0"/>
  </sheetPr>
  <dimension ref="A1:N54"/>
  <sheetViews>
    <sheetView workbookViewId="0">
      <selection activeCell="L8" sqref="L8"/>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7" t="str">
        <f>'Your Categories'!B14</f>
        <v>Best Under 12"</v>
      </c>
      <c r="D1" s="68"/>
      <c r="E1" s="68"/>
      <c r="F1" s="15"/>
      <c r="G1" s="77" t="s">
        <v>52</v>
      </c>
      <c r="H1" s="68"/>
      <c r="I1" s="68"/>
      <c r="J1" s="68"/>
      <c r="K1" s="68"/>
      <c r="L1" s="68"/>
      <c r="M1" s="68"/>
    </row>
    <row r="2" spans="1:14" ht="23.25" customHeight="1">
      <c r="A2" s="84" t="s">
        <v>126</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1201</v>
      </c>
      <c r="B5" s="24"/>
      <c r="C5" s="24"/>
      <c r="D5" s="23"/>
      <c r="E5" s="29"/>
      <c r="F5" s="26"/>
      <c r="G5" s="27">
        <f t="shared" si="0"/>
        <v>1201</v>
      </c>
      <c r="H5" s="24">
        <v>10</v>
      </c>
      <c r="I5" s="24">
        <v>10</v>
      </c>
      <c r="J5" s="24">
        <v>10</v>
      </c>
      <c r="K5" s="24">
        <v>9</v>
      </c>
      <c r="L5" s="24">
        <v>9</v>
      </c>
      <c r="M5" s="54">
        <f t="shared" ref="M5:M54" si="1">SUM(H5:L5)</f>
        <v>48</v>
      </c>
      <c r="N5">
        <f>RANK(M5,$M$5:$M$17)</f>
        <v>1</v>
      </c>
    </row>
    <row r="6" spans="1:14" ht="23.25" customHeight="1">
      <c r="A6" s="23">
        <v>1202</v>
      </c>
      <c r="B6" s="24"/>
      <c r="C6" s="24"/>
      <c r="D6" s="24"/>
      <c r="E6" s="25"/>
      <c r="F6" s="30"/>
      <c r="G6" s="27">
        <f t="shared" si="0"/>
        <v>1202</v>
      </c>
      <c r="H6" s="23">
        <v>9.5</v>
      </c>
      <c r="I6" s="23">
        <v>9</v>
      </c>
      <c r="J6" s="23">
        <v>9.5</v>
      </c>
      <c r="K6" s="23">
        <v>9.5</v>
      </c>
      <c r="L6" s="23">
        <v>10</v>
      </c>
      <c r="M6" s="54">
        <f t="shared" si="1"/>
        <v>47.5</v>
      </c>
      <c r="N6">
        <f t="shared" ref="N6:N17" si="2">RANK(M6,$M$5:$M$17)</f>
        <v>2</v>
      </c>
    </row>
    <row r="7" spans="1:14" ht="23.25" customHeight="1">
      <c r="A7" s="23">
        <v>1203</v>
      </c>
      <c r="B7" s="24"/>
      <c r="C7" s="24"/>
      <c r="D7" s="24"/>
      <c r="E7" s="25"/>
      <c r="F7" s="30"/>
      <c r="G7" s="27">
        <f t="shared" si="0"/>
        <v>1203</v>
      </c>
      <c r="H7" s="24">
        <v>9</v>
      </c>
      <c r="I7" s="24">
        <v>9.5</v>
      </c>
      <c r="J7" s="24">
        <v>9</v>
      </c>
      <c r="K7" s="24">
        <v>10</v>
      </c>
      <c r="L7" s="24">
        <v>8.5</v>
      </c>
      <c r="M7" s="54">
        <f t="shared" si="1"/>
        <v>46</v>
      </c>
      <c r="N7">
        <f t="shared" si="2"/>
        <v>3</v>
      </c>
    </row>
    <row r="8" spans="1:14" ht="23.25" customHeight="1">
      <c r="A8" s="23">
        <v>1204</v>
      </c>
      <c r="B8" s="24"/>
      <c r="C8" s="24"/>
      <c r="D8" s="24"/>
      <c r="E8" s="25"/>
      <c r="F8" s="30"/>
      <c r="G8" s="27">
        <f t="shared" si="0"/>
        <v>1204</v>
      </c>
      <c r="H8" s="24">
        <v>8.5</v>
      </c>
      <c r="I8" s="24">
        <v>8.5</v>
      </c>
      <c r="J8" s="24">
        <v>8.5</v>
      </c>
      <c r="K8" s="24">
        <v>8.5</v>
      </c>
      <c r="L8" s="24">
        <v>9.5</v>
      </c>
      <c r="M8" s="54">
        <f t="shared" si="1"/>
        <v>43.5</v>
      </c>
      <c r="N8">
        <f t="shared" si="2"/>
        <v>4</v>
      </c>
    </row>
    <row r="9" spans="1:14" ht="23.25" customHeight="1">
      <c r="A9" s="23">
        <v>1205</v>
      </c>
      <c r="B9" s="24"/>
      <c r="C9" s="24"/>
      <c r="D9" s="24"/>
      <c r="E9" s="25"/>
      <c r="F9" s="30"/>
      <c r="G9" s="27">
        <f t="shared" si="0"/>
        <v>1205</v>
      </c>
      <c r="H9" s="24"/>
      <c r="I9" s="24"/>
      <c r="J9" s="24"/>
      <c r="K9" s="24"/>
      <c r="L9" s="24"/>
      <c r="M9" s="54">
        <f t="shared" si="1"/>
        <v>0</v>
      </c>
      <c r="N9">
        <f t="shared" si="2"/>
        <v>5</v>
      </c>
    </row>
    <row r="10" spans="1:14" ht="23.25" customHeight="1">
      <c r="A10" s="23">
        <v>1206</v>
      </c>
      <c r="B10" s="24"/>
      <c r="C10" s="24"/>
      <c r="D10" s="24"/>
      <c r="E10" s="25"/>
      <c r="F10" s="30"/>
      <c r="G10" s="27">
        <f t="shared" si="0"/>
        <v>1206</v>
      </c>
      <c r="H10" s="24"/>
      <c r="I10" s="24"/>
      <c r="J10" s="24"/>
      <c r="K10" s="24"/>
      <c r="L10" s="24"/>
      <c r="M10" s="54">
        <f t="shared" si="1"/>
        <v>0</v>
      </c>
      <c r="N10">
        <f t="shared" si="2"/>
        <v>5</v>
      </c>
    </row>
    <row r="11" spans="1:14" ht="23.25" customHeight="1">
      <c r="A11" s="23">
        <v>1207</v>
      </c>
      <c r="B11" s="24"/>
      <c r="C11" s="37"/>
      <c r="D11" s="24"/>
      <c r="E11" s="25"/>
      <c r="F11" s="30"/>
      <c r="G11" s="27">
        <f t="shared" si="0"/>
        <v>1207</v>
      </c>
      <c r="H11" s="23"/>
      <c r="I11" s="23"/>
      <c r="J11" s="23"/>
      <c r="K11" s="23"/>
      <c r="L11" s="23"/>
      <c r="M11" s="54">
        <f t="shared" si="1"/>
        <v>0</v>
      </c>
      <c r="N11">
        <f t="shared" si="2"/>
        <v>5</v>
      </c>
    </row>
    <row r="12" spans="1:14" ht="23.25" customHeight="1">
      <c r="A12" s="23">
        <v>1208</v>
      </c>
      <c r="B12" s="24"/>
      <c r="C12" s="24"/>
      <c r="D12" s="24"/>
      <c r="E12" s="25"/>
      <c r="F12" s="30"/>
      <c r="G12" s="27">
        <f t="shared" si="0"/>
        <v>1208</v>
      </c>
      <c r="H12" s="24"/>
      <c r="I12" s="24"/>
      <c r="J12" s="24"/>
      <c r="K12" s="24"/>
      <c r="L12" s="24"/>
      <c r="M12" s="54">
        <f t="shared" si="1"/>
        <v>0</v>
      </c>
      <c r="N12">
        <f t="shared" si="2"/>
        <v>5</v>
      </c>
    </row>
    <row r="13" spans="1:14" ht="23.25" customHeight="1">
      <c r="A13" s="23">
        <v>1209</v>
      </c>
      <c r="B13" s="24"/>
      <c r="C13" s="24"/>
      <c r="D13" s="24"/>
      <c r="E13" s="25"/>
      <c r="F13" s="30"/>
      <c r="G13" s="27">
        <f t="shared" si="0"/>
        <v>1209</v>
      </c>
      <c r="H13" s="24"/>
      <c r="I13" s="24"/>
      <c r="J13" s="24"/>
      <c r="K13" s="24"/>
      <c r="L13" s="24"/>
      <c r="M13" s="54">
        <f t="shared" si="1"/>
        <v>0</v>
      </c>
      <c r="N13">
        <f t="shared" si="2"/>
        <v>5</v>
      </c>
    </row>
    <row r="14" spans="1:14" ht="23.25" customHeight="1">
      <c r="A14" s="23">
        <v>1210</v>
      </c>
      <c r="B14" s="24"/>
      <c r="C14" s="24"/>
      <c r="D14" s="24"/>
      <c r="E14" s="25"/>
      <c r="F14" s="30"/>
      <c r="G14" s="27">
        <f t="shared" si="0"/>
        <v>1210</v>
      </c>
      <c r="H14" s="24"/>
      <c r="I14" s="24"/>
      <c r="J14" s="24"/>
      <c r="K14" s="24"/>
      <c r="L14" s="24"/>
      <c r="M14" s="54">
        <f t="shared" si="1"/>
        <v>0</v>
      </c>
      <c r="N14">
        <f t="shared" si="2"/>
        <v>5</v>
      </c>
    </row>
    <row r="15" spans="1:14" ht="23.25" customHeight="1">
      <c r="A15" s="23"/>
      <c r="B15" s="24"/>
      <c r="C15" s="24"/>
      <c r="D15" s="24"/>
      <c r="E15" s="25"/>
      <c r="F15" s="30"/>
      <c r="G15" s="27">
        <f t="shared" si="0"/>
        <v>0</v>
      </c>
      <c r="H15" s="24"/>
      <c r="I15" s="24"/>
      <c r="J15" s="24"/>
      <c r="K15" s="24"/>
      <c r="L15" s="24"/>
      <c r="M15" s="54">
        <f t="shared" si="1"/>
        <v>0</v>
      </c>
      <c r="N15">
        <f t="shared" si="2"/>
        <v>5</v>
      </c>
    </row>
    <row r="16" spans="1:14" ht="23.25" customHeight="1">
      <c r="A16" s="23"/>
      <c r="B16" s="55"/>
      <c r="C16" s="56"/>
      <c r="D16" s="24"/>
      <c r="E16" s="25"/>
      <c r="F16" s="30"/>
      <c r="G16" s="27">
        <f t="shared" si="0"/>
        <v>0</v>
      </c>
      <c r="H16" s="24"/>
      <c r="I16" s="24"/>
      <c r="J16" s="24"/>
      <c r="K16" s="24"/>
      <c r="L16" s="24"/>
      <c r="M16" s="54">
        <f t="shared" si="1"/>
        <v>0</v>
      </c>
      <c r="N16">
        <f t="shared" si="2"/>
        <v>5</v>
      </c>
    </row>
    <row r="17" spans="7:14" ht="23.25" customHeight="1">
      <c r="G17" s="27">
        <f t="shared" si="0"/>
        <v>0</v>
      </c>
      <c r="H17" s="24"/>
      <c r="I17" s="24"/>
      <c r="J17" s="24"/>
      <c r="K17" s="24"/>
      <c r="L17" s="24"/>
      <c r="M17" s="54">
        <f t="shared" si="1"/>
        <v>0</v>
      </c>
      <c r="N17">
        <f t="shared" si="2"/>
        <v>5</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88" priority="4" operator="equal">
      <formula>0</formula>
    </cfRule>
    <cfRule type="expression" dxfId="87" priority="5">
      <formula>COUNTIF($M:$M,M5)&gt;1</formula>
    </cfRule>
    <cfRule type="cellIs" dxfId="86" priority="6" operator="greaterThanOrEqual">
      <formula>49</formula>
    </cfRule>
    <cfRule type="cellIs" dxfId="85" priority="7" operator="greaterThan">
      <formula>25</formula>
    </cfRule>
  </conditionalFormatting>
  <conditionalFormatting sqref="N1:N1048576">
    <cfRule type="cellIs" dxfId="84" priority="1" operator="equal">
      <formula>3</formula>
    </cfRule>
    <cfRule type="cellIs" dxfId="83" priority="2" operator="equal">
      <formula>2</formula>
    </cfRule>
    <cfRule type="cellIs" dxfId="82" priority="3" operator="equal">
      <formula>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1155CC"/>
    <outlinePr summaryBelow="0" summaryRight="0"/>
  </sheetPr>
  <dimension ref="A1:N54"/>
  <sheetViews>
    <sheetView workbookViewId="0">
      <selection activeCell="H5" sqref="H5:L8"/>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8"/>
      <c r="D1" s="68"/>
      <c r="E1" s="68"/>
      <c r="F1" s="15"/>
      <c r="G1" s="77" t="s">
        <v>52</v>
      </c>
      <c r="H1" s="68"/>
      <c r="I1" s="68"/>
      <c r="J1" s="68"/>
      <c r="K1" s="68"/>
      <c r="L1" s="68"/>
      <c r="M1" s="68"/>
    </row>
    <row r="2" spans="1:14" ht="23.25" customHeight="1">
      <c r="A2" s="84" t="s">
        <v>141</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1301</v>
      </c>
      <c r="B5" s="24"/>
      <c r="C5" s="24"/>
      <c r="D5" s="23"/>
      <c r="E5" s="29"/>
      <c r="F5" s="26"/>
      <c r="G5" s="27">
        <f t="shared" si="0"/>
        <v>1301</v>
      </c>
      <c r="H5" s="24"/>
      <c r="I5" s="24"/>
      <c r="J5" s="24"/>
      <c r="K5" s="24"/>
      <c r="L5" s="24"/>
      <c r="M5" s="54">
        <f>SUM(H5:L5)</f>
        <v>0</v>
      </c>
      <c r="N5">
        <f>RANK(M5,$M$5:$M$17)</f>
        <v>1</v>
      </c>
    </row>
    <row r="6" spans="1:14" ht="23.25" customHeight="1">
      <c r="A6" s="23">
        <v>1302</v>
      </c>
      <c r="B6" s="24"/>
      <c r="C6" s="24"/>
      <c r="D6" s="24"/>
      <c r="E6" s="25"/>
      <c r="F6" s="30"/>
      <c r="G6" s="27">
        <f t="shared" si="0"/>
        <v>1302</v>
      </c>
      <c r="H6" s="23"/>
      <c r="I6" s="23"/>
      <c r="J6" s="23"/>
      <c r="K6" s="23"/>
      <c r="L6" s="23"/>
      <c r="M6" s="54">
        <v>0</v>
      </c>
      <c r="N6">
        <f t="shared" ref="N6:N17" si="1">RANK(M6,$M$5:$M$17)</f>
        <v>1</v>
      </c>
    </row>
    <row r="7" spans="1:14" ht="23.25" customHeight="1">
      <c r="A7" s="23">
        <v>1303</v>
      </c>
      <c r="B7" s="24"/>
      <c r="C7" s="24"/>
      <c r="D7" s="24"/>
      <c r="E7" s="25"/>
      <c r="F7" s="30"/>
      <c r="G7" s="27">
        <f t="shared" si="0"/>
        <v>1303</v>
      </c>
      <c r="H7" s="24"/>
      <c r="I7" s="24"/>
      <c r="J7" s="24"/>
      <c r="K7" s="24"/>
      <c r="L7" s="24"/>
      <c r="M7" s="54">
        <f t="shared" ref="M7:M54" si="2">SUM(H7:L7)</f>
        <v>0</v>
      </c>
      <c r="N7">
        <f t="shared" si="1"/>
        <v>1</v>
      </c>
    </row>
    <row r="8" spans="1:14" ht="23.25" customHeight="1">
      <c r="A8" s="23">
        <v>1304</v>
      </c>
      <c r="B8" s="24"/>
      <c r="C8" s="24"/>
      <c r="D8" s="24"/>
      <c r="E8" s="25"/>
      <c r="F8" s="30"/>
      <c r="G8" s="27">
        <f t="shared" si="0"/>
        <v>1304</v>
      </c>
      <c r="H8" s="24"/>
      <c r="I8" s="24"/>
      <c r="J8" s="24"/>
      <c r="K8" s="24"/>
      <c r="L8" s="24"/>
      <c r="M8" s="54">
        <f t="shared" si="2"/>
        <v>0</v>
      </c>
      <c r="N8">
        <f t="shared" si="1"/>
        <v>1</v>
      </c>
    </row>
    <row r="9" spans="1:14" ht="23.25" customHeight="1">
      <c r="A9" s="23">
        <v>1305</v>
      </c>
      <c r="B9" s="24"/>
      <c r="C9" s="24"/>
      <c r="D9" s="24"/>
      <c r="E9" s="25"/>
      <c r="F9" s="30"/>
      <c r="G9" s="27">
        <f t="shared" si="0"/>
        <v>1305</v>
      </c>
      <c r="H9" s="24"/>
      <c r="I9" s="24"/>
      <c r="J9" s="24"/>
      <c r="K9" s="24"/>
      <c r="L9" s="24"/>
      <c r="M9" s="54">
        <f t="shared" si="2"/>
        <v>0</v>
      </c>
      <c r="N9">
        <f t="shared" si="1"/>
        <v>1</v>
      </c>
    </row>
    <row r="10" spans="1:14" ht="23.25" customHeight="1">
      <c r="A10" s="23">
        <v>1306</v>
      </c>
      <c r="B10" s="24"/>
      <c r="C10" s="24"/>
      <c r="D10" s="24"/>
      <c r="E10" s="25"/>
      <c r="F10" s="30"/>
      <c r="G10" s="27">
        <f t="shared" si="0"/>
        <v>1306</v>
      </c>
      <c r="H10" s="24"/>
      <c r="I10" s="24"/>
      <c r="J10" s="24"/>
      <c r="K10" s="24"/>
      <c r="L10" s="24"/>
      <c r="M10" s="54">
        <f t="shared" si="2"/>
        <v>0</v>
      </c>
      <c r="N10">
        <f t="shared" si="1"/>
        <v>1</v>
      </c>
    </row>
    <row r="11" spans="1:14" ht="23.25" customHeight="1">
      <c r="A11" s="23">
        <v>1307</v>
      </c>
      <c r="B11" s="24"/>
      <c r="C11" s="37"/>
      <c r="D11" s="24"/>
      <c r="E11" s="25"/>
      <c r="F11" s="30"/>
      <c r="G11" s="27">
        <f t="shared" si="0"/>
        <v>1307</v>
      </c>
      <c r="H11" s="23"/>
      <c r="I11" s="23"/>
      <c r="J11" s="23"/>
      <c r="K11" s="23"/>
      <c r="L11" s="23"/>
      <c r="M11" s="54">
        <f t="shared" si="2"/>
        <v>0</v>
      </c>
      <c r="N11">
        <f t="shared" si="1"/>
        <v>1</v>
      </c>
    </row>
    <row r="12" spans="1:14" ht="23.25" customHeight="1">
      <c r="A12" s="23">
        <v>1308</v>
      </c>
      <c r="B12" s="24"/>
      <c r="C12" s="24"/>
      <c r="D12" s="24"/>
      <c r="E12" s="25"/>
      <c r="F12" s="30"/>
      <c r="G12" s="27">
        <f t="shared" si="0"/>
        <v>1308</v>
      </c>
      <c r="H12" s="24"/>
      <c r="I12" s="24"/>
      <c r="J12" s="24"/>
      <c r="K12" s="24"/>
      <c r="L12" s="24"/>
      <c r="M12" s="54">
        <f t="shared" si="2"/>
        <v>0</v>
      </c>
      <c r="N12">
        <f t="shared" si="1"/>
        <v>1</v>
      </c>
    </row>
    <row r="13" spans="1:14" ht="23.25" customHeight="1">
      <c r="A13" s="23">
        <v>1309</v>
      </c>
      <c r="B13" s="24"/>
      <c r="C13" s="24"/>
      <c r="D13" s="24"/>
      <c r="E13" s="25"/>
      <c r="F13" s="30"/>
      <c r="G13" s="27">
        <f t="shared" si="0"/>
        <v>1309</v>
      </c>
      <c r="H13" s="24"/>
      <c r="I13" s="24"/>
      <c r="J13" s="24"/>
      <c r="K13" s="24"/>
      <c r="L13" s="24"/>
      <c r="M13" s="54">
        <f t="shared" si="2"/>
        <v>0</v>
      </c>
      <c r="N13">
        <f t="shared" si="1"/>
        <v>1</v>
      </c>
    </row>
    <row r="14" spans="1:14" ht="23.25" customHeight="1">
      <c r="A14" s="23">
        <v>1310</v>
      </c>
      <c r="B14" s="24"/>
      <c r="C14" s="24"/>
      <c r="D14" s="24"/>
      <c r="E14" s="25"/>
      <c r="F14" s="30"/>
      <c r="G14" s="27">
        <f t="shared" si="0"/>
        <v>1310</v>
      </c>
      <c r="H14" s="24"/>
      <c r="I14" s="24"/>
      <c r="J14" s="24"/>
      <c r="K14" s="24"/>
      <c r="L14" s="24"/>
      <c r="M14" s="54">
        <f t="shared" si="2"/>
        <v>0</v>
      </c>
      <c r="N14">
        <f t="shared" si="1"/>
        <v>1</v>
      </c>
    </row>
    <row r="15" spans="1:14" ht="23.25" customHeight="1">
      <c r="A15" s="23"/>
      <c r="B15" s="24"/>
      <c r="C15" s="24"/>
      <c r="D15" s="24"/>
      <c r="E15" s="25"/>
      <c r="F15" s="30"/>
      <c r="G15" s="27">
        <f t="shared" si="0"/>
        <v>0</v>
      </c>
      <c r="H15" s="24"/>
      <c r="I15" s="24"/>
      <c r="J15" s="24"/>
      <c r="K15" s="24"/>
      <c r="L15" s="24"/>
      <c r="M15" s="54">
        <f t="shared" si="2"/>
        <v>0</v>
      </c>
      <c r="N15">
        <f t="shared" si="1"/>
        <v>1</v>
      </c>
    </row>
    <row r="16" spans="1:14" ht="23.25" customHeight="1">
      <c r="A16" s="23"/>
      <c r="B16" s="55"/>
      <c r="C16" s="56"/>
      <c r="D16" s="24"/>
      <c r="E16" s="25"/>
      <c r="F16" s="30"/>
      <c r="G16" s="27">
        <f t="shared" si="0"/>
        <v>0</v>
      </c>
      <c r="H16" s="24"/>
      <c r="I16" s="24"/>
      <c r="J16" s="24"/>
      <c r="K16" s="24"/>
      <c r="L16" s="24"/>
      <c r="M16" s="54">
        <f t="shared" si="2"/>
        <v>0</v>
      </c>
      <c r="N16">
        <f t="shared" si="1"/>
        <v>1</v>
      </c>
    </row>
    <row r="17" spans="7:14" ht="23.25" customHeight="1">
      <c r="G17" s="27">
        <f t="shared" si="0"/>
        <v>0</v>
      </c>
      <c r="H17" s="24"/>
      <c r="I17" s="24"/>
      <c r="J17" s="24"/>
      <c r="K17" s="24"/>
      <c r="L17" s="24"/>
      <c r="M17" s="54">
        <f t="shared" si="2"/>
        <v>0</v>
      </c>
      <c r="N17">
        <f t="shared" si="1"/>
        <v>1</v>
      </c>
    </row>
    <row r="18" spans="7:14" ht="23.25" customHeight="1">
      <c r="G18" s="27">
        <f t="shared" si="0"/>
        <v>0</v>
      </c>
      <c r="H18" s="24"/>
      <c r="I18" s="24"/>
      <c r="J18" s="24"/>
      <c r="K18" s="24"/>
      <c r="L18" s="24"/>
      <c r="M18" s="54">
        <f t="shared" si="2"/>
        <v>0</v>
      </c>
    </row>
    <row r="19" spans="7:14" ht="23.25" customHeight="1">
      <c r="G19" s="27">
        <f t="shared" si="0"/>
        <v>0</v>
      </c>
      <c r="H19" s="24"/>
      <c r="I19" s="24"/>
      <c r="J19" s="24"/>
      <c r="K19" s="24"/>
      <c r="L19" s="24"/>
      <c r="M19" s="54">
        <f t="shared" si="2"/>
        <v>0</v>
      </c>
    </row>
    <row r="20" spans="7:14" ht="23.25" customHeight="1">
      <c r="G20" s="27">
        <f t="shared" si="0"/>
        <v>0</v>
      </c>
      <c r="H20" s="24"/>
      <c r="I20" s="24"/>
      <c r="J20" s="24"/>
      <c r="K20" s="24"/>
      <c r="L20" s="24"/>
      <c r="M20" s="54">
        <f t="shared" si="2"/>
        <v>0</v>
      </c>
    </row>
    <row r="21" spans="7:14" ht="23.25" customHeight="1">
      <c r="G21" s="27">
        <f t="shared" si="0"/>
        <v>0</v>
      </c>
      <c r="H21" s="24"/>
      <c r="I21" s="24"/>
      <c r="J21" s="24"/>
      <c r="K21" s="24"/>
      <c r="L21" s="24"/>
      <c r="M21" s="54">
        <f t="shared" si="2"/>
        <v>0</v>
      </c>
    </row>
    <row r="22" spans="7:14" ht="23.25" customHeight="1">
      <c r="G22" s="21">
        <f t="shared" si="0"/>
        <v>0</v>
      </c>
      <c r="H22" s="24"/>
      <c r="I22" s="24"/>
      <c r="J22" s="24"/>
      <c r="K22" s="24"/>
      <c r="L22" s="24"/>
      <c r="M22" s="54">
        <f t="shared" si="2"/>
        <v>0</v>
      </c>
    </row>
    <row r="23" spans="7:14" ht="23.25" customHeight="1">
      <c r="G23" s="21">
        <f t="shared" si="0"/>
        <v>0</v>
      </c>
      <c r="H23" s="24"/>
      <c r="I23" s="24"/>
      <c r="J23" s="24"/>
      <c r="K23" s="24"/>
      <c r="L23" s="24"/>
      <c r="M23" s="54">
        <f t="shared" si="2"/>
        <v>0</v>
      </c>
    </row>
    <row r="24" spans="7:14" ht="23.25" customHeight="1">
      <c r="G24" s="21">
        <f t="shared" si="0"/>
        <v>0</v>
      </c>
      <c r="H24" s="24"/>
      <c r="I24" s="24"/>
      <c r="J24" s="24"/>
      <c r="K24" s="24"/>
      <c r="L24" s="24"/>
      <c r="M24" s="54">
        <f t="shared" si="2"/>
        <v>0</v>
      </c>
    </row>
    <row r="25" spans="7:14" ht="23.25" customHeight="1">
      <c r="G25" s="21">
        <f t="shared" si="0"/>
        <v>0</v>
      </c>
      <c r="H25" s="24"/>
      <c r="I25" s="24"/>
      <c r="J25" s="24"/>
      <c r="K25" s="24"/>
      <c r="L25" s="24"/>
      <c r="M25" s="54">
        <f t="shared" si="2"/>
        <v>0</v>
      </c>
    </row>
    <row r="26" spans="7:14" ht="23.25" customHeight="1">
      <c r="G26" s="21">
        <f t="shared" si="0"/>
        <v>0</v>
      </c>
      <c r="H26" s="24"/>
      <c r="I26" s="24"/>
      <c r="J26" s="24"/>
      <c r="K26" s="24"/>
      <c r="L26" s="24"/>
      <c r="M26" s="54">
        <f t="shared" si="2"/>
        <v>0</v>
      </c>
    </row>
    <row r="27" spans="7:14" ht="23.25" customHeight="1">
      <c r="G27" s="21">
        <f t="shared" si="0"/>
        <v>0</v>
      </c>
      <c r="H27" s="24"/>
      <c r="I27" s="24"/>
      <c r="J27" s="24"/>
      <c r="K27" s="24"/>
      <c r="L27" s="24"/>
      <c r="M27" s="54">
        <f t="shared" si="2"/>
        <v>0</v>
      </c>
    </row>
    <row r="28" spans="7:14" ht="23.25" customHeight="1">
      <c r="G28" s="21">
        <f t="shared" si="0"/>
        <v>0</v>
      </c>
      <c r="H28" s="24"/>
      <c r="I28" s="24"/>
      <c r="J28" s="24"/>
      <c r="K28" s="24"/>
      <c r="L28" s="24"/>
      <c r="M28" s="54">
        <f t="shared" si="2"/>
        <v>0</v>
      </c>
    </row>
    <row r="29" spans="7:14" ht="23.25" customHeight="1">
      <c r="G29" s="21">
        <f t="shared" si="0"/>
        <v>0</v>
      </c>
      <c r="H29" s="24"/>
      <c r="I29" s="24"/>
      <c r="J29" s="24"/>
      <c r="K29" s="24"/>
      <c r="L29" s="24"/>
      <c r="M29" s="54">
        <f t="shared" si="2"/>
        <v>0</v>
      </c>
    </row>
    <row r="30" spans="7:14" ht="23.25" customHeight="1">
      <c r="G30" s="21">
        <f t="shared" si="0"/>
        <v>0</v>
      </c>
      <c r="H30" s="24"/>
      <c r="I30" s="24"/>
      <c r="J30" s="24"/>
      <c r="K30" s="24"/>
      <c r="L30" s="24"/>
      <c r="M30" s="54">
        <f t="shared" si="2"/>
        <v>0</v>
      </c>
    </row>
    <row r="31" spans="7:14" ht="23.25" customHeight="1">
      <c r="G31" s="21">
        <f t="shared" si="0"/>
        <v>0</v>
      </c>
      <c r="H31" s="24"/>
      <c r="I31" s="24"/>
      <c r="J31" s="24"/>
      <c r="K31" s="24"/>
      <c r="L31" s="24"/>
      <c r="M31" s="54">
        <f t="shared" si="2"/>
        <v>0</v>
      </c>
    </row>
    <row r="32" spans="7:14" ht="23.25" customHeight="1">
      <c r="G32" s="21">
        <f t="shared" si="0"/>
        <v>0</v>
      </c>
      <c r="H32" s="24"/>
      <c r="I32" s="24"/>
      <c r="J32" s="24"/>
      <c r="K32" s="24"/>
      <c r="L32" s="24"/>
      <c r="M32" s="54">
        <f t="shared" si="2"/>
        <v>0</v>
      </c>
    </row>
    <row r="33" spans="7:13" ht="23.25" customHeight="1">
      <c r="G33" s="21">
        <f t="shared" si="0"/>
        <v>0</v>
      </c>
      <c r="H33" s="24"/>
      <c r="I33" s="24"/>
      <c r="J33" s="24"/>
      <c r="K33" s="24"/>
      <c r="L33" s="24"/>
      <c r="M33" s="54">
        <f t="shared" si="2"/>
        <v>0</v>
      </c>
    </row>
    <row r="34" spans="7:13" ht="23.25" customHeight="1">
      <c r="G34" s="21">
        <f t="shared" si="0"/>
        <v>0</v>
      </c>
      <c r="H34" s="24"/>
      <c r="I34" s="24"/>
      <c r="J34" s="24"/>
      <c r="K34" s="24"/>
      <c r="L34" s="24"/>
      <c r="M34" s="54">
        <f t="shared" si="2"/>
        <v>0</v>
      </c>
    </row>
    <row r="35" spans="7:13" ht="23.25" customHeight="1">
      <c r="G35" s="21">
        <f t="shared" si="0"/>
        <v>0</v>
      </c>
      <c r="H35" s="24"/>
      <c r="I35" s="24"/>
      <c r="J35" s="24"/>
      <c r="K35" s="24"/>
      <c r="L35" s="24"/>
      <c r="M35" s="54">
        <f t="shared" si="2"/>
        <v>0</v>
      </c>
    </row>
    <row r="36" spans="7:13" ht="23.25" customHeight="1">
      <c r="G36" s="21">
        <f t="shared" si="0"/>
        <v>0</v>
      </c>
      <c r="H36" s="24"/>
      <c r="I36" s="24"/>
      <c r="J36" s="24"/>
      <c r="K36" s="24"/>
      <c r="L36" s="24"/>
      <c r="M36" s="54">
        <f t="shared" si="2"/>
        <v>0</v>
      </c>
    </row>
    <row r="37" spans="7:13" ht="23.25" customHeight="1">
      <c r="G37" s="21">
        <f t="shared" si="0"/>
        <v>0</v>
      </c>
      <c r="H37" s="24"/>
      <c r="I37" s="24"/>
      <c r="J37" s="24"/>
      <c r="K37" s="24"/>
      <c r="L37" s="24"/>
      <c r="M37" s="54">
        <f t="shared" si="2"/>
        <v>0</v>
      </c>
    </row>
    <row r="38" spans="7:13" ht="23.25" customHeight="1">
      <c r="G38" s="21">
        <f t="shared" si="0"/>
        <v>0</v>
      </c>
      <c r="H38" s="24"/>
      <c r="I38" s="24"/>
      <c r="J38" s="24"/>
      <c r="K38" s="24"/>
      <c r="L38" s="24"/>
      <c r="M38" s="54">
        <f t="shared" si="2"/>
        <v>0</v>
      </c>
    </row>
    <row r="39" spans="7:13" ht="23.25" customHeight="1">
      <c r="G39" s="21">
        <f t="shared" si="0"/>
        <v>0</v>
      </c>
      <c r="H39" s="24"/>
      <c r="I39" s="24"/>
      <c r="J39" s="24"/>
      <c r="K39" s="24"/>
      <c r="L39" s="24"/>
      <c r="M39" s="54">
        <f t="shared" si="2"/>
        <v>0</v>
      </c>
    </row>
    <row r="40" spans="7:13" ht="23.25" customHeight="1">
      <c r="G40" s="21">
        <f t="shared" si="0"/>
        <v>0</v>
      </c>
      <c r="H40" s="24"/>
      <c r="I40" s="24"/>
      <c r="J40" s="24"/>
      <c r="K40" s="24"/>
      <c r="L40" s="24"/>
      <c r="M40" s="54">
        <f t="shared" si="2"/>
        <v>0</v>
      </c>
    </row>
    <row r="41" spans="7:13" ht="23.25" customHeight="1">
      <c r="G41" s="21">
        <f t="shared" si="0"/>
        <v>0</v>
      </c>
      <c r="H41" s="24"/>
      <c r="I41" s="24"/>
      <c r="J41" s="24"/>
      <c r="K41" s="24"/>
      <c r="L41" s="24"/>
      <c r="M41" s="54">
        <f t="shared" si="2"/>
        <v>0</v>
      </c>
    </row>
    <row r="42" spans="7:13" ht="23.25" customHeight="1">
      <c r="G42" s="21">
        <f t="shared" si="0"/>
        <v>0</v>
      </c>
      <c r="H42" s="24"/>
      <c r="I42" s="24"/>
      <c r="J42" s="24"/>
      <c r="K42" s="24"/>
      <c r="L42" s="24"/>
      <c r="M42" s="54">
        <f t="shared" si="2"/>
        <v>0</v>
      </c>
    </row>
    <row r="43" spans="7:13" ht="23.25" customHeight="1">
      <c r="G43" s="21">
        <f t="shared" si="0"/>
        <v>0</v>
      </c>
      <c r="H43" s="24"/>
      <c r="I43" s="24"/>
      <c r="J43" s="24"/>
      <c r="K43" s="24"/>
      <c r="L43" s="24"/>
      <c r="M43" s="54">
        <f t="shared" si="2"/>
        <v>0</v>
      </c>
    </row>
    <row r="44" spans="7:13" ht="23.25" customHeight="1">
      <c r="G44" s="21">
        <f t="shared" si="0"/>
        <v>0</v>
      </c>
      <c r="H44" s="24"/>
      <c r="I44" s="24"/>
      <c r="J44" s="24"/>
      <c r="K44" s="24"/>
      <c r="L44" s="24"/>
      <c r="M44" s="54">
        <f t="shared" si="2"/>
        <v>0</v>
      </c>
    </row>
    <row r="45" spans="7:13" ht="23.25" customHeight="1">
      <c r="G45" s="21">
        <f t="shared" si="0"/>
        <v>0</v>
      </c>
      <c r="H45" s="24"/>
      <c r="I45" s="24"/>
      <c r="J45" s="24"/>
      <c r="K45" s="24"/>
      <c r="L45" s="24"/>
      <c r="M45" s="54">
        <f t="shared" si="2"/>
        <v>0</v>
      </c>
    </row>
    <row r="46" spans="7:13" ht="23.25" customHeight="1">
      <c r="G46" s="21">
        <f t="shared" si="0"/>
        <v>0</v>
      </c>
      <c r="H46" s="24"/>
      <c r="I46" s="24"/>
      <c r="J46" s="24"/>
      <c r="K46" s="24"/>
      <c r="L46" s="24"/>
      <c r="M46" s="54">
        <f t="shared" si="2"/>
        <v>0</v>
      </c>
    </row>
    <row r="47" spans="7:13" ht="23.25" customHeight="1">
      <c r="G47" s="21">
        <f t="shared" si="0"/>
        <v>0</v>
      </c>
      <c r="H47" s="24"/>
      <c r="I47" s="24"/>
      <c r="J47" s="24"/>
      <c r="K47" s="24"/>
      <c r="L47" s="24"/>
      <c r="M47" s="54">
        <f t="shared" si="2"/>
        <v>0</v>
      </c>
    </row>
    <row r="48" spans="7:13" ht="23.25" customHeight="1">
      <c r="G48" s="21">
        <f t="shared" si="0"/>
        <v>0</v>
      </c>
      <c r="H48" s="24"/>
      <c r="I48" s="24"/>
      <c r="J48" s="24"/>
      <c r="K48" s="24"/>
      <c r="L48" s="24"/>
      <c r="M48" s="54">
        <f t="shared" si="2"/>
        <v>0</v>
      </c>
    </row>
    <row r="49" spans="7:13" ht="23.25" customHeight="1">
      <c r="G49" s="21">
        <f t="shared" si="0"/>
        <v>0</v>
      </c>
      <c r="H49" s="24"/>
      <c r="I49" s="24"/>
      <c r="J49" s="24"/>
      <c r="K49" s="24"/>
      <c r="L49" s="24"/>
      <c r="M49" s="54">
        <f t="shared" si="2"/>
        <v>0</v>
      </c>
    </row>
    <row r="50" spans="7:13" ht="23.25" customHeight="1">
      <c r="G50" s="21">
        <f t="shared" si="0"/>
        <v>0</v>
      </c>
      <c r="H50" s="24"/>
      <c r="I50" s="24"/>
      <c r="J50" s="24"/>
      <c r="K50" s="24"/>
      <c r="L50" s="24"/>
      <c r="M50" s="54">
        <f t="shared" si="2"/>
        <v>0</v>
      </c>
    </row>
    <row r="51" spans="7:13" ht="23.25" customHeight="1">
      <c r="G51" s="21">
        <f t="shared" si="0"/>
        <v>0</v>
      </c>
      <c r="H51" s="24"/>
      <c r="I51" s="24"/>
      <c r="J51" s="24"/>
      <c r="K51" s="24"/>
      <c r="L51" s="24"/>
      <c r="M51" s="54">
        <f t="shared" si="2"/>
        <v>0</v>
      </c>
    </row>
    <row r="52" spans="7:13" ht="23.25" customHeight="1">
      <c r="G52" s="21">
        <f t="shared" si="0"/>
        <v>0</v>
      </c>
      <c r="H52" s="24"/>
      <c r="I52" s="24"/>
      <c r="J52" s="24"/>
      <c r="K52" s="24"/>
      <c r="L52" s="24"/>
      <c r="M52" s="54">
        <f t="shared" si="2"/>
        <v>0</v>
      </c>
    </row>
    <row r="53" spans="7:13" ht="23.25" customHeight="1">
      <c r="G53" s="21">
        <f t="shared" si="0"/>
        <v>0</v>
      </c>
      <c r="H53" s="24"/>
      <c r="I53" s="24"/>
      <c r="J53" s="24"/>
      <c r="K53" s="24"/>
      <c r="L53" s="24"/>
      <c r="M53" s="54">
        <f t="shared" si="2"/>
        <v>0</v>
      </c>
    </row>
    <row r="54" spans="7:13" ht="23.25" customHeight="1">
      <c r="G54" s="21">
        <f t="shared" si="0"/>
        <v>0</v>
      </c>
      <c r="H54" s="24"/>
      <c r="I54" s="24"/>
      <c r="J54" s="24"/>
      <c r="K54" s="24"/>
      <c r="L54" s="24"/>
      <c r="M54" s="54">
        <f t="shared" si="2"/>
        <v>0</v>
      </c>
    </row>
  </sheetData>
  <mergeCells count="5">
    <mergeCell ref="A1:B1"/>
    <mergeCell ref="C1:E1"/>
    <mergeCell ref="G1:M3"/>
    <mergeCell ref="A2:E2"/>
    <mergeCell ref="A3:E3"/>
  </mergeCells>
  <conditionalFormatting sqref="M5:M54">
    <cfRule type="cellIs" dxfId="81" priority="4" operator="equal">
      <formula>0</formula>
    </cfRule>
    <cfRule type="expression" dxfId="80" priority="5">
      <formula>COUNTIF($M:$M,M5)&gt;1</formula>
    </cfRule>
    <cfRule type="cellIs" dxfId="79" priority="6" operator="greaterThanOrEqual">
      <formula>49</formula>
    </cfRule>
    <cfRule type="cellIs" dxfId="78" priority="7" operator="greaterThan">
      <formula>25</formula>
    </cfRule>
  </conditionalFormatting>
  <conditionalFormatting sqref="N1:N1048576">
    <cfRule type="cellIs" dxfId="77" priority="1" operator="equal">
      <formula>3</formula>
    </cfRule>
    <cfRule type="cellIs" dxfId="76" priority="2" operator="equal">
      <formula>2</formula>
    </cfRule>
    <cfRule type="cellIs" dxfId="75" priority="3" operator="equal">
      <formula>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1155CC"/>
    <outlinePr summaryBelow="0" summaryRight="0"/>
  </sheetPr>
  <dimension ref="A1:N54"/>
  <sheetViews>
    <sheetView workbookViewId="0">
      <selection activeCell="B5" sqref="B5:B7"/>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9" t="str">
        <f>'Your Categories'!B16</f>
        <v>Category 15 Name</v>
      </c>
      <c r="D1" s="68"/>
      <c r="E1" s="68"/>
      <c r="F1" s="15"/>
      <c r="G1" s="77" t="s">
        <v>52</v>
      </c>
      <c r="H1" s="68"/>
      <c r="I1" s="68"/>
      <c r="J1" s="68"/>
      <c r="K1" s="68"/>
      <c r="L1" s="68"/>
      <c r="M1" s="68"/>
    </row>
    <row r="2" spans="1:14" ht="23.25" customHeight="1">
      <c r="A2" s="90" t="s">
        <v>142</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1401</v>
      </c>
      <c r="B5" s="24"/>
      <c r="C5" s="24"/>
      <c r="D5" s="23"/>
      <c r="E5" s="29"/>
      <c r="F5" s="26"/>
      <c r="G5" s="27">
        <f t="shared" si="0"/>
        <v>1401</v>
      </c>
      <c r="H5" s="24"/>
      <c r="I5" s="24"/>
      <c r="J5" s="24"/>
      <c r="K5" s="24"/>
      <c r="L5" s="24"/>
      <c r="M5" s="54">
        <f t="shared" ref="M5:M54" si="1">SUM(H5:L5)</f>
        <v>0</v>
      </c>
      <c r="N5">
        <f>RANK(M5,$M$5:$M$17)</f>
        <v>1</v>
      </c>
    </row>
    <row r="6" spans="1:14" ht="23.25" customHeight="1">
      <c r="A6" s="23">
        <v>1402</v>
      </c>
      <c r="B6" s="24"/>
      <c r="C6" s="24"/>
      <c r="D6" s="24"/>
      <c r="E6" s="25"/>
      <c r="F6" s="30"/>
      <c r="G6" s="27">
        <f t="shared" si="0"/>
        <v>1402</v>
      </c>
      <c r="H6" s="23"/>
      <c r="I6" s="23"/>
      <c r="J6" s="23"/>
      <c r="K6" s="23"/>
      <c r="L6" s="23"/>
      <c r="M6" s="54">
        <f t="shared" si="1"/>
        <v>0</v>
      </c>
      <c r="N6">
        <f t="shared" ref="N6:N17" si="2">RANK(M6,$M$5:$M$17)</f>
        <v>1</v>
      </c>
    </row>
    <row r="7" spans="1:14" ht="23.25" customHeight="1">
      <c r="A7" s="23">
        <v>1403</v>
      </c>
      <c r="B7" s="24"/>
      <c r="C7" s="24"/>
      <c r="D7" s="24"/>
      <c r="E7" s="25"/>
      <c r="F7" s="30"/>
      <c r="G7" s="27">
        <f t="shared" si="0"/>
        <v>1403</v>
      </c>
      <c r="H7" s="24"/>
      <c r="I7" s="24"/>
      <c r="J7" s="24"/>
      <c r="K7" s="24"/>
      <c r="L7" s="24"/>
      <c r="M7" s="54">
        <f t="shared" si="1"/>
        <v>0</v>
      </c>
      <c r="N7">
        <f t="shared" si="2"/>
        <v>1</v>
      </c>
    </row>
    <row r="8" spans="1:14" ht="23.25" customHeight="1">
      <c r="A8" s="23">
        <v>1404</v>
      </c>
      <c r="B8" s="24"/>
      <c r="C8" s="24"/>
      <c r="D8" s="24"/>
      <c r="E8" s="25"/>
      <c r="F8" s="30"/>
      <c r="G8" s="27">
        <f t="shared" si="0"/>
        <v>1404</v>
      </c>
      <c r="H8" s="24"/>
      <c r="I8" s="24"/>
      <c r="J8" s="24"/>
      <c r="K8" s="24"/>
      <c r="L8" s="24"/>
      <c r="M8" s="54">
        <f t="shared" si="1"/>
        <v>0</v>
      </c>
      <c r="N8">
        <f t="shared" si="2"/>
        <v>1</v>
      </c>
    </row>
    <row r="9" spans="1:14" ht="23.25" customHeight="1">
      <c r="A9" s="23">
        <v>1405</v>
      </c>
      <c r="B9" s="24"/>
      <c r="C9" s="24"/>
      <c r="D9" s="24"/>
      <c r="E9" s="25"/>
      <c r="F9" s="30"/>
      <c r="G9" s="27">
        <f t="shared" si="0"/>
        <v>1405</v>
      </c>
      <c r="H9" s="24"/>
      <c r="I9" s="24"/>
      <c r="J9" s="24"/>
      <c r="K9" s="24"/>
      <c r="L9" s="24"/>
      <c r="M9" s="54">
        <f t="shared" si="1"/>
        <v>0</v>
      </c>
      <c r="N9">
        <f t="shared" si="2"/>
        <v>1</v>
      </c>
    </row>
    <row r="10" spans="1:14" ht="23.25" customHeight="1">
      <c r="A10" s="23">
        <v>1406</v>
      </c>
      <c r="B10" s="24"/>
      <c r="C10" s="24"/>
      <c r="D10" s="24"/>
      <c r="E10" s="25"/>
      <c r="F10" s="30"/>
      <c r="G10" s="27">
        <f t="shared" si="0"/>
        <v>1406</v>
      </c>
      <c r="H10" s="24"/>
      <c r="I10" s="24"/>
      <c r="J10" s="24"/>
      <c r="K10" s="24"/>
      <c r="L10" s="24"/>
      <c r="M10" s="54">
        <f t="shared" si="1"/>
        <v>0</v>
      </c>
      <c r="N10">
        <f t="shared" si="2"/>
        <v>1</v>
      </c>
    </row>
    <row r="11" spans="1:14" ht="23.25" customHeight="1">
      <c r="A11" s="23">
        <v>1407</v>
      </c>
      <c r="B11" s="24"/>
      <c r="C11" s="37"/>
      <c r="D11" s="24"/>
      <c r="E11" s="25"/>
      <c r="F11" s="30"/>
      <c r="G11" s="27">
        <f t="shared" si="0"/>
        <v>1407</v>
      </c>
      <c r="H11" s="23"/>
      <c r="I11" s="23"/>
      <c r="J11" s="23"/>
      <c r="K11" s="23"/>
      <c r="L11" s="23"/>
      <c r="M11" s="54">
        <f t="shared" si="1"/>
        <v>0</v>
      </c>
      <c r="N11">
        <f t="shared" si="2"/>
        <v>1</v>
      </c>
    </row>
    <row r="12" spans="1:14" ht="23.25" customHeight="1">
      <c r="A12" s="23">
        <v>1408</v>
      </c>
      <c r="B12" s="24"/>
      <c r="C12" s="24"/>
      <c r="D12" s="24"/>
      <c r="E12" s="25"/>
      <c r="F12" s="30"/>
      <c r="G12" s="27">
        <f t="shared" si="0"/>
        <v>1408</v>
      </c>
      <c r="H12" s="24"/>
      <c r="I12" s="24"/>
      <c r="J12" s="24"/>
      <c r="K12" s="24"/>
      <c r="L12" s="24"/>
      <c r="M12" s="54">
        <f t="shared" si="1"/>
        <v>0</v>
      </c>
      <c r="N12">
        <f t="shared" si="2"/>
        <v>1</v>
      </c>
    </row>
    <row r="13" spans="1:14" ht="23.25" customHeight="1">
      <c r="A13" s="23">
        <v>1409</v>
      </c>
      <c r="B13" s="24"/>
      <c r="C13" s="24"/>
      <c r="D13" s="24"/>
      <c r="E13" s="25"/>
      <c r="F13" s="30"/>
      <c r="G13" s="27">
        <f t="shared" si="0"/>
        <v>1409</v>
      </c>
      <c r="H13" s="24"/>
      <c r="I13" s="24"/>
      <c r="J13" s="24"/>
      <c r="K13" s="24"/>
      <c r="L13" s="24"/>
      <c r="M13" s="54">
        <f t="shared" si="1"/>
        <v>0</v>
      </c>
      <c r="N13">
        <f t="shared" si="2"/>
        <v>1</v>
      </c>
    </row>
    <row r="14" spans="1:14" ht="23.25" customHeight="1">
      <c r="A14" s="23">
        <v>1410</v>
      </c>
      <c r="B14" s="24"/>
      <c r="C14" s="24"/>
      <c r="D14" s="24"/>
      <c r="E14" s="25"/>
      <c r="F14" s="30"/>
      <c r="G14" s="27">
        <f t="shared" si="0"/>
        <v>1410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74" priority="4" operator="equal">
      <formula>0</formula>
    </cfRule>
    <cfRule type="expression" dxfId="73" priority="5">
      <formula>COUNTIF($M:$M,M5)&gt;1</formula>
    </cfRule>
    <cfRule type="cellIs" dxfId="72" priority="6" operator="greaterThanOrEqual">
      <formula>49</formula>
    </cfRule>
    <cfRule type="cellIs" dxfId="71" priority="7" operator="greaterThan">
      <formula>25</formula>
    </cfRule>
  </conditionalFormatting>
  <conditionalFormatting sqref="N1:N1048576">
    <cfRule type="cellIs" dxfId="70" priority="1" operator="equal">
      <formula>3</formula>
    </cfRule>
    <cfRule type="cellIs" dxfId="69" priority="2" operator="equal">
      <formula>2</formula>
    </cfRule>
    <cfRule type="cellIs" dxfId="68" priority="3" operator="equal">
      <formula>1</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1155CC"/>
    <outlinePr summaryBelow="0" summaryRight="0"/>
  </sheetPr>
  <dimension ref="A1:N54"/>
  <sheetViews>
    <sheetView workbookViewId="0">
      <selection activeCell="L6" sqref="L6"/>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76" t="str">
        <f>'Your Categories'!B17</f>
        <v>Category 16 Name</v>
      </c>
      <c r="D1" s="68"/>
      <c r="E1" s="68"/>
      <c r="F1" s="15"/>
      <c r="G1" s="77" t="s">
        <v>52</v>
      </c>
      <c r="H1" s="68"/>
      <c r="I1" s="68"/>
      <c r="J1" s="68"/>
      <c r="K1" s="68"/>
      <c r="L1" s="68"/>
      <c r="M1" s="68"/>
    </row>
    <row r="2" spans="1:14" ht="23.25" customHeight="1">
      <c r="A2" s="78" t="s">
        <v>143</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1501</v>
      </c>
      <c r="B5" s="24"/>
      <c r="C5" s="24"/>
      <c r="D5" s="23"/>
      <c r="E5" s="29"/>
      <c r="F5" s="26"/>
      <c r="G5" s="27">
        <f t="shared" si="0"/>
        <v>1501</v>
      </c>
      <c r="H5" s="24">
        <v>10</v>
      </c>
      <c r="I5" s="24">
        <v>10</v>
      </c>
      <c r="J5" s="24">
        <v>10</v>
      </c>
      <c r="K5" s="24">
        <v>10</v>
      </c>
      <c r="L5" s="24">
        <v>10</v>
      </c>
      <c r="M5" s="54">
        <f t="shared" ref="M5:M54" si="1">SUM(H5:L5)</f>
        <v>50</v>
      </c>
      <c r="N5">
        <f>RANK(M5,$M$5:$M$17)</f>
        <v>1</v>
      </c>
    </row>
    <row r="6" spans="1:14" ht="23.25" customHeight="1">
      <c r="A6" s="23">
        <v>1502</v>
      </c>
      <c r="B6" s="24"/>
      <c r="C6" s="24"/>
      <c r="D6" s="24"/>
      <c r="E6" s="25"/>
      <c r="F6" s="30"/>
      <c r="G6" s="27">
        <f t="shared" si="0"/>
        <v>1502</v>
      </c>
      <c r="H6" s="23"/>
      <c r="I6" s="23"/>
      <c r="J6" s="23"/>
      <c r="K6" s="23"/>
      <c r="L6" s="23"/>
      <c r="M6" s="54">
        <f t="shared" si="1"/>
        <v>0</v>
      </c>
      <c r="N6">
        <f t="shared" ref="N6:N17" si="2">RANK(M6,$M$5:$M$17)</f>
        <v>2</v>
      </c>
    </row>
    <row r="7" spans="1:14" ht="23.25" customHeight="1">
      <c r="A7" s="23">
        <v>1503</v>
      </c>
      <c r="B7" s="24"/>
      <c r="C7" s="24"/>
      <c r="D7" s="24"/>
      <c r="E7" s="25"/>
      <c r="F7" s="30"/>
      <c r="G7" s="27">
        <f t="shared" si="0"/>
        <v>1503</v>
      </c>
      <c r="H7" s="24"/>
      <c r="I7" s="24"/>
      <c r="J7" s="24"/>
      <c r="K7" s="24"/>
      <c r="L7" s="24"/>
      <c r="M7" s="54">
        <f t="shared" si="1"/>
        <v>0</v>
      </c>
      <c r="N7">
        <f t="shared" si="2"/>
        <v>2</v>
      </c>
    </row>
    <row r="8" spans="1:14" ht="23.25" customHeight="1">
      <c r="A8" s="23">
        <v>1504</v>
      </c>
      <c r="B8" s="24"/>
      <c r="C8" s="24"/>
      <c r="D8" s="24"/>
      <c r="E8" s="25"/>
      <c r="F8" s="30"/>
      <c r="G8" s="27">
        <f t="shared" si="0"/>
        <v>1504</v>
      </c>
      <c r="H8" s="24"/>
      <c r="I8" s="24"/>
      <c r="J8" s="24"/>
      <c r="K8" s="24"/>
      <c r="L8" s="24"/>
      <c r="M8" s="54">
        <f t="shared" si="1"/>
        <v>0</v>
      </c>
      <c r="N8">
        <f t="shared" si="2"/>
        <v>2</v>
      </c>
    </row>
    <row r="9" spans="1:14" ht="23.25" customHeight="1">
      <c r="A9" s="23">
        <v>1505</v>
      </c>
      <c r="B9" s="24"/>
      <c r="C9" s="24"/>
      <c r="D9" s="24"/>
      <c r="E9" s="25"/>
      <c r="F9" s="30"/>
      <c r="G9" s="27">
        <f t="shared" si="0"/>
        <v>1505</v>
      </c>
      <c r="H9" s="24"/>
      <c r="I9" s="24"/>
      <c r="J9" s="24"/>
      <c r="K9" s="24"/>
      <c r="L9" s="24"/>
      <c r="M9" s="54">
        <f t="shared" si="1"/>
        <v>0</v>
      </c>
      <c r="N9">
        <f t="shared" si="2"/>
        <v>2</v>
      </c>
    </row>
    <row r="10" spans="1:14" ht="23.25" customHeight="1">
      <c r="A10" s="23">
        <v>1506</v>
      </c>
      <c r="B10" s="24"/>
      <c r="C10" s="24"/>
      <c r="D10" s="24"/>
      <c r="E10" s="25"/>
      <c r="F10" s="30"/>
      <c r="G10" s="27">
        <f t="shared" si="0"/>
        <v>1506</v>
      </c>
      <c r="H10" s="24"/>
      <c r="I10" s="24"/>
      <c r="J10" s="24"/>
      <c r="K10" s="24"/>
      <c r="L10" s="24"/>
      <c r="M10" s="54">
        <f t="shared" si="1"/>
        <v>0</v>
      </c>
      <c r="N10">
        <f t="shared" si="2"/>
        <v>2</v>
      </c>
    </row>
    <row r="11" spans="1:14" ht="23.25" customHeight="1">
      <c r="A11" s="23">
        <v>1507</v>
      </c>
      <c r="B11" s="24"/>
      <c r="C11" s="37"/>
      <c r="D11" s="24"/>
      <c r="E11" s="25"/>
      <c r="F11" s="30"/>
      <c r="G11" s="27">
        <f t="shared" si="0"/>
        <v>1507</v>
      </c>
      <c r="H11" s="23"/>
      <c r="I11" s="23"/>
      <c r="J11" s="23"/>
      <c r="K11" s="23"/>
      <c r="L11" s="23"/>
      <c r="M11" s="54">
        <f t="shared" si="1"/>
        <v>0</v>
      </c>
      <c r="N11">
        <f t="shared" si="2"/>
        <v>2</v>
      </c>
    </row>
    <row r="12" spans="1:14" ht="23.25" customHeight="1">
      <c r="A12" s="23">
        <v>1508</v>
      </c>
      <c r="B12" s="24"/>
      <c r="C12" s="24"/>
      <c r="D12" s="24"/>
      <c r="E12" s="25"/>
      <c r="F12" s="30"/>
      <c r="G12" s="27">
        <f t="shared" si="0"/>
        <v>1508</v>
      </c>
      <c r="H12" s="24"/>
      <c r="I12" s="24"/>
      <c r="J12" s="24"/>
      <c r="K12" s="24"/>
      <c r="L12" s="24"/>
      <c r="M12" s="54">
        <f t="shared" si="1"/>
        <v>0</v>
      </c>
      <c r="N12">
        <f t="shared" si="2"/>
        <v>2</v>
      </c>
    </row>
    <row r="13" spans="1:14" ht="23.25" customHeight="1">
      <c r="A13" s="23">
        <v>1509</v>
      </c>
      <c r="B13" s="24"/>
      <c r="C13" s="24"/>
      <c r="D13" s="24"/>
      <c r="E13" s="25"/>
      <c r="F13" s="30"/>
      <c r="G13" s="27">
        <f t="shared" si="0"/>
        <v>1509</v>
      </c>
      <c r="H13" s="24"/>
      <c r="I13" s="24"/>
      <c r="J13" s="24"/>
      <c r="K13" s="24"/>
      <c r="L13" s="24"/>
      <c r="M13" s="54">
        <f t="shared" si="1"/>
        <v>0</v>
      </c>
      <c r="N13">
        <f t="shared" si="2"/>
        <v>2</v>
      </c>
    </row>
    <row r="14" spans="1:14" ht="23.25" customHeight="1">
      <c r="A14" s="23">
        <v>1510</v>
      </c>
      <c r="B14" s="24"/>
      <c r="C14" s="24"/>
      <c r="D14" s="24"/>
      <c r="E14" s="25"/>
      <c r="F14" s="30"/>
      <c r="G14" s="27">
        <f t="shared" si="0"/>
        <v>1510</v>
      </c>
      <c r="H14" s="24"/>
      <c r="I14" s="24"/>
      <c r="J14" s="24"/>
      <c r="K14" s="24"/>
      <c r="L14" s="24"/>
      <c r="M14" s="54">
        <f t="shared" si="1"/>
        <v>0</v>
      </c>
      <c r="N14">
        <f t="shared" si="2"/>
        <v>2</v>
      </c>
    </row>
    <row r="15" spans="1:14" ht="23.25" customHeight="1">
      <c r="A15" s="23"/>
      <c r="B15" s="24"/>
      <c r="C15" s="24"/>
      <c r="D15" s="24"/>
      <c r="E15" s="25"/>
      <c r="F15" s="30"/>
      <c r="G15" s="27">
        <f t="shared" si="0"/>
        <v>0</v>
      </c>
      <c r="H15" s="24"/>
      <c r="I15" s="24"/>
      <c r="J15" s="24"/>
      <c r="K15" s="24"/>
      <c r="L15" s="24"/>
      <c r="M15" s="54">
        <f t="shared" si="1"/>
        <v>0</v>
      </c>
      <c r="N15">
        <f t="shared" si="2"/>
        <v>2</v>
      </c>
    </row>
    <row r="16" spans="1:14" ht="23.25" customHeight="1">
      <c r="A16" s="23"/>
      <c r="B16" s="55"/>
      <c r="C16" s="56"/>
      <c r="D16" s="24"/>
      <c r="E16" s="25"/>
      <c r="F16" s="30"/>
      <c r="G16" s="27">
        <f t="shared" si="0"/>
        <v>0</v>
      </c>
      <c r="H16" s="24"/>
      <c r="I16" s="24"/>
      <c r="J16" s="24"/>
      <c r="K16" s="24"/>
      <c r="L16" s="24"/>
      <c r="M16" s="54">
        <f t="shared" si="1"/>
        <v>0</v>
      </c>
      <c r="N16">
        <f t="shared" si="2"/>
        <v>2</v>
      </c>
    </row>
    <row r="17" spans="7:14" ht="23.25" customHeight="1">
      <c r="G17" s="27">
        <f t="shared" si="0"/>
        <v>0</v>
      </c>
      <c r="H17" s="24"/>
      <c r="I17" s="24"/>
      <c r="J17" s="24"/>
      <c r="K17" s="24"/>
      <c r="L17" s="24"/>
      <c r="M17" s="54">
        <f t="shared" si="1"/>
        <v>0</v>
      </c>
      <c r="N17">
        <f t="shared" si="2"/>
        <v>2</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67" priority="4" operator="equal">
      <formula>0</formula>
    </cfRule>
    <cfRule type="expression" dxfId="66" priority="5">
      <formula>COUNTIF($M:$M,M5)&gt;1</formula>
    </cfRule>
    <cfRule type="cellIs" dxfId="65" priority="6" operator="greaterThanOrEqual">
      <formula>49</formula>
    </cfRule>
    <cfRule type="cellIs" dxfId="64" priority="7" operator="greaterThan">
      <formula>25</formula>
    </cfRule>
  </conditionalFormatting>
  <conditionalFormatting sqref="N1:N1048576">
    <cfRule type="cellIs" dxfId="63" priority="1" operator="equal">
      <formula>3</formula>
    </cfRule>
    <cfRule type="cellIs" dxfId="62" priority="2" operator="equal">
      <formula>2</formula>
    </cfRule>
    <cfRule type="cellIs" dxfId="61" priority="3" operator="equal">
      <formula>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outlinePr summaryBelow="0" summaryRight="0"/>
  </sheetPr>
  <dimension ref="A1:F21"/>
  <sheetViews>
    <sheetView workbookViewId="0">
      <selection activeCell="B16" sqref="B16"/>
    </sheetView>
  </sheetViews>
  <sheetFormatPr defaultColWidth="12.5703125" defaultRowHeight="12.75" customHeight="1"/>
  <cols>
    <col min="1" max="1" width="29.85546875" customWidth="1"/>
    <col min="2" max="2" width="62.5703125" customWidth="1"/>
  </cols>
  <sheetData>
    <row r="1" spans="1:2" ht="33.75" customHeight="1">
      <c r="A1" s="73" t="s">
        <v>23</v>
      </c>
      <c r="B1" s="74"/>
    </row>
    <row r="2" spans="1:2" ht="22.5" customHeight="1">
      <c r="A2" s="9" t="s">
        <v>24</v>
      </c>
      <c r="B2" s="10" t="s">
        <v>118</v>
      </c>
    </row>
    <row r="3" spans="1:2" ht="22.5" customHeight="1">
      <c r="A3" s="9" t="s">
        <v>25</v>
      </c>
      <c r="B3" s="11" t="s">
        <v>119</v>
      </c>
    </row>
    <row r="4" spans="1:2" ht="22.5" customHeight="1">
      <c r="A4" s="9" t="s">
        <v>26</v>
      </c>
      <c r="B4" s="11" t="s">
        <v>120</v>
      </c>
    </row>
    <row r="5" spans="1:2" ht="22.5" customHeight="1">
      <c r="A5" s="9" t="s">
        <v>27</v>
      </c>
      <c r="B5" s="63" t="s">
        <v>121</v>
      </c>
    </row>
    <row r="6" spans="1:2" ht="22.5" customHeight="1">
      <c r="A6" s="9" t="s">
        <v>28</v>
      </c>
      <c r="B6" s="11" t="s">
        <v>122</v>
      </c>
    </row>
    <row r="7" spans="1:2" ht="22.5" customHeight="1">
      <c r="A7" s="9" t="s">
        <v>29</v>
      </c>
      <c r="B7" s="11" t="s">
        <v>123</v>
      </c>
    </row>
    <row r="8" spans="1:2" ht="22.5" customHeight="1">
      <c r="A8" s="9" t="s">
        <v>30</v>
      </c>
      <c r="B8" s="11" t="s">
        <v>124</v>
      </c>
    </row>
    <row r="9" spans="1:2" ht="22.5" customHeight="1">
      <c r="A9" s="9" t="s">
        <v>31</v>
      </c>
      <c r="B9" s="11" t="s">
        <v>125</v>
      </c>
    </row>
    <row r="10" spans="1:2" ht="22.5" customHeight="1">
      <c r="A10" s="9" t="s">
        <v>32</v>
      </c>
      <c r="B10" s="11" t="s">
        <v>126</v>
      </c>
    </row>
    <row r="11" spans="1:2" ht="22.5" customHeight="1">
      <c r="A11" s="9" t="s">
        <v>33</v>
      </c>
      <c r="B11" s="11" t="s">
        <v>127</v>
      </c>
    </row>
    <row r="12" spans="1:2" ht="22.5" customHeight="1">
      <c r="A12" s="9" t="s">
        <v>34</v>
      </c>
      <c r="B12" s="11" t="s">
        <v>128</v>
      </c>
    </row>
    <row r="13" spans="1:2" ht="22.5" customHeight="1">
      <c r="A13" s="9" t="s">
        <v>35</v>
      </c>
      <c r="B13" s="11" t="s">
        <v>129</v>
      </c>
    </row>
    <row r="14" spans="1:2" ht="22.5" customHeight="1">
      <c r="A14" s="9" t="s">
        <v>36</v>
      </c>
      <c r="B14" s="11" t="s">
        <v>130</v>
      </c>
    </row>
    <row r="15" spans="1:2" ht="22.5" customHeight="1">
      <c r="A15" s="9" t="s">
        <v>37</v>
      </c>
      <c r="B15" s="11" t="s">
        <v>131</v>
      </c>
    </row>
    <row r="16" spans="1:2" ht="22.5" customHeight="1">
      <c r="A16" s="9" t="s">
        <v>38</v>
      </c>
      <c r="B16" s="11" t="s">
        <v>39</v>
      </c>
    </row>
    <row r="17" spans="1:6" ht="22.5" customHeight="1">
      <c r="A17" s="9" t="s">
        <v>40</v>
      </c>
      <c r="B17" s="11" t="s">
        <v>41</v>
      </c>
      <c r="C17" s="10"/>
      <c r="D17" s="10"/>
      <c r="E17" s="10"/>
      <c r="F17" s="10"/>
    </row>
    <row r="18" spans="1:6" ht="22.5" customHeight="1">
      <c r="A18" s="9" t="s">
        <v>42</v>
      </c>
      <c r="B18" s="11" t="s">
        <v>43</v>
      </c>
      <c r="C18" s="10"/>
      <c r="D18" s="10"/>
      <c r="E18" s="10"/>
      <c r="F18" s="10"/>
    </row>
    <row r="19" spans="1:6" ht="22.5" customHeight="1">
      <c r="A19" s="9" t="s">
        <v>44</v>
      </c>
      <c r="B19" s="11" t="s">
        <v>45</v>
      </c>
      <c r="C19" s="10"/>
      <c r="D19" s="10"/>
      <c r="E19" s="10"/>
      <c r="F19" s="10"/>
    </row>
    <row r="20" spans="1:6" ht="22.5" customHeight="1">
      <c r="A20" s="9" t="s">
        <v>46</v>
      </c>
      <c r="B20" s="11" t="s">
        <v>47</v>
      </c>
      <c r="C20" s="10"/>
      <c r="D20" s="10"/>
      <c r="E20" s="10"/>
      <c r="F20" s="10"/>
    </row>
    <row r="21" spans="1:6" ht="22.5" customHeight="1">
      <c r="A21" s="12" t="s">
        <v>48</v>
      </c>
      <c r="B21" s="13" t="s">
        <v>49</v>
      </c>
      <c r="C21" s="14"/>
      <c r="D21" s="14"/>
      <c r="E21" s="14"/>
      <c r="F21" s="14" t="s">
        <v>117</v>
      </c>
    </row>
  </sheetData>
  <mergeCells count="1">
    <mergeCell ref="A1:B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1155CC"/>
    <outlinePr summaryBelow="0" summaryRight="0"/>
  </sheetPr>
  <dimension ref="A1:N54"/>
  <sheetViews>
    <sheetView workbookViewId="0">
      <selection activeCell="A3" sqref="A3:E3"/>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76" t="str">
        <f>'Your Categories'!B18</f>
        <v>Category 17 Name</v>
      </c>
      <c r="D1" s="68"/>
      <c r="E1" s="68"/>
      <c r="F1" s="15"/>
      <c r="G1" s="77" t="s">
        <v>52</v>
      </c>
      <c r="H1" s="68"/>
      <c r="I1" s="68"/>
      <c r="J1" s="68"/>
      <c r="K1" s="68"/>
      <c r="L1" s="68"/>
      <c r="M1" s="68"/>
    </row>
    <row r="2" spans="1:14" ht="23.25" customHeight="1">
      <c r="A2" s="78" t="s">
        <v>144</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1601</v>
      </c>
      <c r="B5" s="24"/>
      <c r="C5" s="24"/>
      <c r="D5" s="23"/>
      <c r="E5" s="29"/>
      <c r="F5" s="26"/>
      <c r="G5" s="27">
        <f t="shared" si="0"/>
        <v>1601</v>
      </c>
      <c r="H5" s="24"/>
      <c r="I5" s="24"/>
      <c r="J5" s="24"/>
      <c r="K5" s="24"/>
      <c r="L5" s="24"/>
      <c r="M5" s="54">
        <f t="shared" ref="M5:M54" si="1">SUM(H5:L5)</f>
        <v>0</v>
      </c>
      <c r="N5">
        <f>RANK(M5,$M$5:$M$17)</f>
        <v>1</v>
      </c>
    </row>
    <row r="6" spans="1:14" ht="23.25" customHeight="1">
      <c r="A6" s="23">
        <v>1602</v>
      </c>
      <c r="B6" s="24"/>
      <c r="C6" s="24"/>
      <c r="D6" s="24"/>
      <c r="E6" s="25"/>
      <c r="F6" s="30"/>
      <c r="G6" s="27">
        <f t="shared" si="0"/>
        <v>1602</v>
      </c>
      <c r="H6" s="23"/>
      <c r="I6" s="23"/>
      <c r="J6" s="23"/>
      <c r="K6" s="23"/>
      <c r="L6" s="23"/>
      <c r="M6" s="54">
        <f t="shared" si="1"/>
        <v>0</v>
      </c>
      <c r="N6">
        <f t="shared" ref="N6:N17" si="2">RANK(M6,$M$5:$M$17)</f>
        <v>1</v>
      </c>
    </row>
    <row r="7" spans="1:14" ht="23.25" customHeight="1">
      <c r="A7" s="23">
        <v>1603</v>
      </c>
      <c r="B7" s="24"/>
      <c r="C7" s="24"/>
      <c r="D7" s="24"/>
      <c r="E7" s="25"/>
      <c r="F7" s="30"/>
      <c r="G7" s="27">
        <f t="shared" si="0"/>
        <v>1603</v>
      </c>
      <c r="H7" s="24"/>
      <c r="I7" s="24"/>
      <c r="J7" s="24"/>
      <c r="K7" s="24"/>
      <c r="L7" s="24"/>
      <c r="M7" s="54">
        <f t="shared" si="1"/>
        <v>0</v>
      </c>
      <c r="N7">
        <f t="shared" si="2"/>
        <v>1</v>
      </c>
    </row>
    <row r="8" spans="1:14" ht="23.25" customHeight="1">
      <c r="A8" s="23">
        <v>1604</v>
      </c>
      <c r="B8" s="24"/>
      <c r="C8" s="24"/>
      <c r="D8" s="24"/>
      <c r="E8" s="25"/>
      <c r="F8" s="30"/>
      <c r="G8" s="27">
        <f t="shared" si="0"/>
        <v>1604</v>
      </c>
      <c r="H8" s="24"/>
      <c r="I8" s="24"/>
      <c r="J8" s="24"/>
      <c r="K8" s="24"/>
      <c r="L8" s="24"/>
      <c r="M8" s="54">
        <f t="shared" si="1"/>
        <v>0</v>
      </c>
      <c r="N8">
        <f t="shared" si="2"/>
        <v>1</v>
      </c>
    </row>
    <row r="9" spans="1:14" ht="23.25" customHeight="1">
      <c r="A9" s="23">
        <v>1605</v>
      </c>
      <c r="B9" s="24"/>
      <c r="C9" s="24"/>
      <c r="D9" s="24"/>
      <c r="E9" s="25"/>
      <c r="F9" s="30"/>
      <c r="G9" s="27">
        <f t="shared" si="0"/>
        <v>1605</v>
      </c>
      <c r="H9" s="24"/>
      <c r="I9" s="24"/>
      <c r="J9" s="24"/>
      <c r="K9" s="24"/>
      <c r="L9" s="24"/>
      <c r="M9" s="54">
        <f t="shared" si="1"/>
        <v>0</v>
      </c>
      <c r="N9">
        <f t="shared" si="2"/>
        <v>1</v>
      </c>
    </row>
    <row r="10" spans="1:14" ht="23.25" customHeight="1">
      <c r="A10" s="23">
        <v>1606</v>
      </c>
      <c r="B10" s="24"/>
      <c r="C10" s="24"/>
      <c r="D10" s="24"/>
      <c r="E10" s="25"/>
      <c r="F10" s="30"/>
      <c r="G10" s="27">
        <f t="shared" si="0"/>
        <v>1606</v>
      </c>
      <c r="H10" s="24"/>
      <c r="I10" s="24"/>
      <c r="J10" s="24"/>
      <c r="K10" s="24"/>
      <c r="L10" s="24"/>
      <c r="M10" s="54">
        <f t="shared" si="1"/>
        <v>0</v>
      </c>
      <c r="N10">
        <f t="shared" si="2"/>
        <v>1</v>
      </c>
    </row>
    <row r="11" spans="1:14" ht="23.25" customHeight="1">
      <c r="A11" s="23">
        <v>1607</v>
      </c>
      <c r="B11" s="24"/>
      <c r="C11" s="37"/>
      <c r="D11" s="24"/>
      <c r="E11" s="25"/>
      <c r="F11" s="30"/>
      <c r="G11" s="27">
        <f t="shared" si="0"/>
        <v>1607</v>
      </c>
      <c r="H11" s="23"/>
      <c r="I11" s="23"/>
      <c r="J11" s="23"/>
      <c r="K11" s="23"/>
      <c r="L11" s="23"/>
      <c r="M11" s="54">
        <f t="shared" si="1"/>
        <v>0</v>
      </c>
      <c r="N11">
        <f t="shared" si="2"/>
        <v>1</v>
      </c>
    </row>
    <row r="12" spans="1:14" ht="23.25" customHeight="1">
      <c r="A12" s="23">
        <v>1608</v>
      </c>
      <c r="B12" s="24"/>
      <c r="C12" s="24"/>
      <c r="D12" s="24"/>
      <c r="E12" s="25"/>
      <c r="F12" s="30"/>
      <c r="G12" s="27">
        <f t="shared" si="0"/>
        <v>1608</v>
      </c>
      <c r="H12" s="24"/>
      <c r="I12" s="24"/>
      <c r="J12" s="24"/>
      <c r="K12" s="24"/>
      <c r="L12" s="24"/>
      <c r="M12" s="54">
        <f t="shared" si="1"/>
        <v>0</v>
      </c>
      <c r="N12">
        <f t="shared" si="2"/>
        <v>1</v>
      </c>
    </row>
    <row r="13" spans="1:14" ht="23.25" customHeight="1">
      <c r="A13" s="23">
        <v>1609</v>
      </c>
      <c r="B13" s="24"/>
      <c r="C13" s="24"/>
      <c r="D13" s="24"/>
      <c r="E13" s="25"/>
      <c r="F13" s="30"/>
      <c r="G13" s="27">
        <f t="shared" si="0"/>
        <v>1609</v>
      </c>
      <c r="H13" s="24"/>
      <c r="I13" s="24"/>
      <c r="J13" s="24"/>
      <c r="K13" s="24"/>
      <c r="L13" s="24"/>
      <c r="M13" s="54">
        <f t="shared" si="1"/>
        <v>0</v>
      </c>
      <c r="N13">
        <f t="shared" si="2"/>
        <v>1</v>
      </c>
    </row>
    <row r="14" spans="1:14" ht="23.25" customHeight="1">
      <c r="A14" s="23">
        <v>1610</v>
      </c>
      <c r="B14" s="24"/>
      <c r="C14" s="24"/>
      <c r="D14" s="24"/>
      <c r="E14" s="25"/>
      <c r="F14" s="30"/>
      <c r="G14" s="27">
        <f t="shared" si="0"/>
        <v>1610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60" priority="4" operator="equal">
      <formula>0</formula>
    </cfRule>
    <cfRule type="expression" dxfId="59" priority="5">
      <formula>COUNTIF($M:$M,M5)&gt;1</formula>
    </cfRule>
    <cfRule type="cellIs" dxfId="58" priority="6" operator="greaterThanOrEqual">
      <formula>49</formula>
    </cfRule>
    <cfRule type="cellIs" dxfId="57" priority="7" operator="greaterThan">
      <formula>25</formula>
    </cfRule>
  </conditionalFormatting>
  <conditionalFormatting sqref="N1:N1048576">
    <cfRule type="cellIs" dxfId="56" priority="1" operator="equal">
      <formula>3</formula>
    </cfRule>
    <cfRule type="cellIs" dxfId="55" priority="2" operator="equal">
      <formula>2</formula>
    </cfRule>
    <cfRule type="cellIs" dxfId="54" priority="3" operator="equal">
      <formula>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1155CC"/>
    <outlinePr summaryBelow="0" summaryRight="0"/>
  </sheetPr>
  <dimension ref="A1:N54"/>
  <sheetViews>
    <sheetView workbookViewId="0">
      <selection activeCell="A5" sqref="A5"/>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76" t="str">
        <f>'Your Categories'!B19</f>
        <v>Category 18 Name</v>
      </c>
      <c r="D1" s="68"/>
      <c r="E1" s="68"/>
      <c r="F1" s="15"/>
      <c r="G1" s="77" t="s">
        <v>52</v>
      </c>
      <c r="H1" s="68"/>
      <c r="I1" s="68"/>
      <c r="J1" s="68"/>
      <c r="K1" s="68"/>
      <c r="L1" s="68"/>
      <c r="M1" s="68"/>
    </row>
    <row r="2" spans="1:14" ht="23.25" customHeight="1">
      <c r="A2" s="78" t="str">
        <f>'Your Categories'!B18</f>
        <v>Category 17 Name</v>
      </c>
      <c r="B2" s="68"/>
      <c r="C2" s="68"/>
      <c r="D2" s="68"/>
      <c r="E2" s="68"/>
      <c r="F2" s="15"/>
      <c r="G2" s="68"/>
      <c r="H2" s="68"/>
      <c r="I2" s="68"/>
      <c r="J2" s="68"/>
      <c r="K2" s="68"/>
      <c r="L2" s="68"/>
      <c r="M2" s="68"/>
    </row>
    <row r="3" spans="1:14" ht="23.25" customHeight="1">
      <c r="A3" s="79" t="s">
        <v>115</v>
      </c>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1701</v>
      </c>
      <c r="B5" s="24"/>
      <c r="C5" s="24"/>
      <c r="D5" s="23"/>
      <c r="E5" s="29"/>
      <c r="F5" s="26"/>
      <c r="G5" s="27">
        <f t="shared" si="0"/>
        <v>1701</v>
      </c>
      <c r="H5" s="24"/>
      <c r="I5" s="24"/>
      <c r="J5" s="24"/>
      <c r="K5" s="24"/>
      <c r="L5" s="24"/>
      <c r="M5" s="54">
        <f t="shared" ref="M5:M54" si="1">SUM(H5:L5)</f>
        <v>0</v>
      </c>
      <c r="N5">
        <f>RANK(M5,$M$5:$M$17)</f>
        <v>1</v>
      </c>
    </row>
    <row r="6" spans="1:14" ht="23.25" customHeight="1">
      <c r="A6" s="23">
        <v>1702</v>
      </c>
      <c r="B6" s="24"/>
      <c r="C6" s="24"/>
      <c r="D6" s="24"/>
      <c r="E6" s="25"/>
      <c r="F6" s="30"/>
      <c r="G6" s="27">
        <f t="shared" si="0"/>
        <v>1702</v>
      </c>
      <c r="H6" s="23"/>
      <c r="I6" s="23"/>
      <c r="J6" s="23"/>
      <c r="K6" s="23"/>
      <c r="L6" s="23"/>
      <c r="M6" s="54">
        <f t="shared" si="1"/>
        <v>0</v>
      </c>
      <c r="N6">
        <f t="shared" ref="N6:N17" si="2">RANK(M6,$M$5:$M$17)</f>
        <v>1</v>
      </c>
    </row>
    <row r="7" spans="1:14" ht="23.25" customHeight="1">
      <c r="A7" s="23">
        <v>1703</v>
      </c>
      <c r="B7" s="24"/>
      <c r="C7" s="24"/>
      <c r="D7" s="24"/>
      <c r="E7" s="25"/>
      <c r="F7" s="30"/>
      <c r="G7" s="27">
        <f t="shared" si="0"/>
        <v>1703</v>
      </c>
      <c r="H7" s="24"/>
      <c r="I7" s="24"/>
      <c r="J7" s="24"/>
      <c r="K7" s="24"/>
      <c r="L7" s="24"/>
      <c r="M7" s="54">
        <f t="shared" si="1"/>
        <v>0</v>
      </c>
      <c r="N7">
        <f t="shared" si="2"/>
        <v>1</v>
      </c>
    </row>
    <row r="8" spans="1:14" ht="23.25" customHeight="1">
      <c r="A8" s="23">
        <v>1704</v>
      </c>
      <c r="B8" s="24"/>
      <c r="C8" s="24"/>
      <c r="D8" s="24"/>
      <c r="E8" s="25"/>
      <c r="F8" s="30"/>
      <c r="G8" s="27">
        <f t="shared" si="0"/>
        <v>1704</v>
      </c>
      <c r="H8" s="24"/>
      <c r="I8" s="24"/>
      <c r="J8" s="24"/>
      <c r="K8" s="24"/>
      <c r="L8" s="24"/>
      <c r="M8" s="54">
        <f t="shared" si="1"/>
        <v>0</v>
      </c>
      <c r="N8">
        <f t="shared" si="2"/>
        <v>1</v>
      </c>
    </row>
    <row r="9" spans="1:14" ht="23.25" customHeight="1">
      <c r="A9" s="23">
        <v>1705</v>
      </c>
      <c r="B9" s="24"/>
      <c r="C9" s="24"/>
      <c r="D9" s="24"/>
      <c r="E9" s="25"/>
      <c r="F9" s="30"/>
      <c r="G9" s="27">
        <f t="shared" si="0"/>
        <v>1705</v>
      </c>
      <c r="H9" s="24"/>
      <c r="I9" s="24"/>
      <c r="J9" s="24"/>
      <c r="K9" s="24"/>
      <c r="L9" s="24"/>
      <c r="M9" s="54">
        <f t="shared" si="1"/>
        <v>0</v>
      </c>
      <c r="N9">
        <f t="shared" si="2"/>
        <v>1</v>
      </c>
    </row>
    <row r="10" spans="1:14" ht="23.25" customHeight="1">
      <c r="A10" s="23">
        <v>1706</v>
      </c>
      <c r="B10" s="24"/>
      <c r="C10" s="24"/>
      <c r="D10" s="24"/>
      <c r="E10" s="25"/>
      <c r="F10" s="30"/>
      <c r="G10" s="27">
        <f t="shared" si="0"/>
        <v>1706</v>
      </c>
      <c r="H10" s="24"/>
      <c r="I10" s="24"/>
      <c r="J10" s="24"/>
      <c r="K10" s="24"/>
      <c r="L10" s="24"/>
      <c r="M10" s="54">
        <f t="shared" si="1"/>
        <v>0</v>
      </c>
      <c r="N10">
        <f t="shared" si="2"/>
        <v>1</v>
      </c>
    </row>
    <row r="11" spans="1:14" ht="23.25" customHeight="1">
      <c r="A11" s="23">
        <v>1707</v>
      </c>
      <c r="B11" s="24"/>
      <c r="C11" s="37"/>
      <c r="D11" s="24"/>
      <c r="E11" s="25"/>
      <c r="F11" s="30"/>
      <c r="G11" s="27">
        <f t="shared" si="0"/>
        <v>1707</v>
      </c>
      <c r="H11" s="23"/>
      <c r="I11" s="23"/>
      <c r="J11" s="23"/>
      <c r="K11" s="23"/>
      <c r="L11" s="23"/>
      <c r="M11" s="54">
        <f t="shared" si="1"/>
        <v>0</v>
      </c>
      <c r="N11">
        <f t="shared" si="2"/>
        <v>1</v>
      </c>
    </row>
    <row r="12" spans="1:14" ht="23.25" customHeight="1">
      <c r="A12" s="23">
        <v>1708</v>
      </c>
      <c r="B12" s="24"/>
      <c r="C12" s="24"/>
      <c r="D12" s="24"/>
      <c r="E12" s="25"/>
      <c r="F12" s="30"/>
      <c r="G12" s="27">
        <f t="shared" si="0"/>
        <v>1708</v>
      </c>
      <c r="H12" s="24"/>
      <c r="I12" s="24"/>
      <c r="J12" s="24"/>
      <c r="K12" s="24"/>
      <c r="L12" s="24"/>
      <c r="M12" s="54">
        <f t="shared" si="1"/>
        <v>0</v>
      </c>
      <c r="N12">
        <f t="shared" si="2"/>
        <v>1</v>
      </c>
    </row>
    <row r="13" spans="1:14" ht="23.25" customHeight="1">
      <c r="A13" s="23">
        <v>1709</v>
      </c>
      <c r="B13" s="24"/>
      <c r="C13" s="24"/>
      <c r="D13" s="24"/>
      <c r="E13" s="25"/>
      <c r="F13" s="30"/>
      <c r="G13" s="27">
        <f t="shared" si="0"/>
        <v>1709</v>
      </c>
      <c r="H13" s="24"/>
      <c r="I13" s="24"/>
      <c r="J13" s="24"/>
      <c r="K13" s="24"/>
      <c r="L13" s="24"/>
      <c r="M13" s="54">
        <f t="shared" si="1"/>
        <v>0</v>
      </c>
      <c r="N13">
        <f t="shared" si="2"/>
        <v>1</v>
      </c>
    </row>
    <row r="14" spans="1:14" ht="23.25" customHeight="1">
      <c r="A14" s="23">
        <v>1710</v>
      </c>
      <c r="B14" s="24"/>
      <c r="C14" s="24"/>
      <c r="D14" s="24"/>
      <c r="E14" s="25"/>
      <c r="F14" s="30"/>
      <c r="G14" s="27">
        <f t="shared" si="0"/>
        <v>1710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53" priority="4" operator="equal">
      <formula>0</formula>
    </cfRule>
    <cfRule type="expression" dxfId="52" priority="5">
      <formula>COUNTIF($M:$M,M5)&gt;1</formula>
    </cfRule>
    <cfRule type="cellIs" dxfId="51" priority="6" operator="greaterThanOrEqual">
      <formula>49</formula>
    </cfRule>
    <cfRule type="cellIs" dxfId="50" priority="7" operator="greaterThan">
      <formula>25</formula>
    </cfRule>
  </conditionalFormatting>
  <conditionalFormatting sqref="N1:N1048576">
    <cfRule type="cellIs" dxfId="49" priority="1" operator="equal">
      <formula>3</formula>
    </cfRule>
    <cfRule type="cellIs" dxfId="48" priority="2" operator="equal">
      <formula>2</formula>
    </cfRule>
    <cfRule type="cellIs" dxfId="47" priority="3" operator="equal">
      <formula>1</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1155CC"/>
    <outlinePr summaryBelow="0" summaryRight="0"/>
  </sheetPr>
  <dimension ref="A1:N54"/>
  <sheetViews>
    <sheetView workbookViewId="0">
      <selection activeCell="A5" sqref="A5"/>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76" t="str">
        <f>'Your Categories'!B20</f>
        <v>Category 19 Name</v>
      </c>
      <c r="D1" s="68"/>
      <c r="E1" s="68"/>
      <c r="F1" s="15"/>
      <c r="G1" s="77" t="s">
        <v>52</v>
      </c>
      <c r="H1" s="68"/>
      <c r="I1" s="68"/>
      <c r="J1" s="68"/>
      <c r="K1" s="68"/>
      <c r="L1" s="68"/>
      <c r="M1" s="68"/>
    </row>
    <row r="2" spans="1:14" ht="23.25" customHeight="1">
      <c r="A2" s="78" t="str">
        <f>'Your Categories'!B19</f>
        <v>Category 18 Name</v>
      </c>
      <c r="B2" s="68"/>
      <c r="C2" s="68"/>
      <c r="D2" s="68"/>
      <c r="E2" s="68"/>
      <c r="F2" s="15"/>
      <c r="G2" s="68"/>
      <c r="H2" s="68"/>
      <c r="I2" s="68"/>
      <c r="J2" s="68"/>
      <c r="K2" s="68"/>
      <c r="L2" s="68"/>
      <c r="M2" s="68"/>
    </row>
    <row r="3" spans="1:14" ht="23.25" customHeight="1">
      <c r="A3" s="79" t="s">
        <v>115</v>
      </c>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1801</v>
      </c>
      <c r="B5" s="24"/>
      <c r="C5" s="24"/>
      <c r="D5" s="23"/>
      <c r="E5" s="29"/>
      <c r="F5" s="26"/>
      <c r="G5" s="27">
        <f t="shared" si="0"/>
        <v>1801</v>
      </c>
      <c r="H5" s="24"/>
      <c r="I5" s="24"/>
      <c r="J5" s="24"/>
      <c r="K5" s="24"/>
      <c r="L5" s="24"/>
      <c r="M5" s="54">
        <f t="shared" ref="M5:M54" si="1">SUM(H5:L5)</f>
        <v>0</v>
      </c>
      <c r="N5">
        <f>RANK(M5,$M$5:$M$17)</f>
        <v>1</v>
      </c>
    </row>
    <row r="6" spans="1:14" ht="23.25" customHeight="1">
      <c r="A6" s="23">
        <v>1802</v>
      </c>
      <c r="B6" s="24"/>
      <c r="C6" s="24"/>
      <c r="D6" s="24"/>
      <c r="E6" s="25"/>
      <c r="F6" s="30"/>
      <c r="G6" s="27">
        <f t="shared" si="0"/>
        <v>1802</v>
      </c>
      <c r="H6" s="23"/>
      <c r="I6" s="23"/>
      <c r="J6" s="23"/>
      <c r="K6" s="23"/>
      <c r="L6" s="23"/>
      <c r="M6" s="54">
        <f t="shared" si="1"/>
        <v>0</v>
      </c>
      <c r="N6">
        <f t="shared" ref="N6:N17" si="2">RANK(M6,$M$5:$M$17)</f>
        <v>1</v>
      </c>
    </row>
    <row r="7" spans="1:14" ht="23.25" customHeight="1">
      <c r="A7" s="23">
        <v>1803</v>
      </c>
      <c r="B7" s="24"/>
      <c r="C7" s="24"/>
      <c r="D7" s="24"/>
      <c r="E7" s="25"/>
      <c r="F7" s="30"/>
      <c r="G7" s="27">
        <f t="shared" si="0"/>
        <v>1803</v>
      </c>
      <c r="H7" s="24"/>
      <c r="I7" s="24"/>
      <c r="J7" s="24"/>
      <c r="K7" s="24"/>
      <c r="L7" s="24"/>
      <c r="M7" s="54">
        <f t="shared" si="1"/>
        <v>0</v>
      </c>
      <c r="N7">
        <f t="shared" si="2"/>
        <v>1</v>
      </c>
    </row>
    <row r="8" spans="1:14" ht="23.25" customHeight="1">
      <c r="A8" s="23">
        <v>1804</v>
      </c>
      <c r="B8" s="24"/>
      <c r="C8" s="24"/>
      <c r="D8" s="24"/>
      <c r="E8" s="25"/>
      <c r="F8" s="30"/>
      <c r="G8" s="27">
        <f t="shared" si="0"/>
        <v>1804</v>
      </c>
      <c r="H8" s="24"/>
      <c r="I8" s="24"/>
      <c r="J8" s="24"/>
      <c r="K8" s="24"/>
      <c r="L8" s="24"/>
      <c r="M8" s="54">
        <f t="shared" si="1"/>
        <v>0</v>
      </c>
      <c r="N8">
        <f t="shared" si="2"/>
        <v>1</v>
      </c>
    </row>
    <row r="9" spans="1:14" ht="23.25" customHeight="1">
      <c r="A9" s="23">
        <v>1805</v>
      </c>
      <c r="B9" s="24"/>
      <c r="C9" s="24"/>
      <c r="D9" s="24"/>
      <c r="E9" s="25"/>
      <c r="F9" s="30"/>
      <c r="G9" s="27">
        <f t="shared" si="0"/>
        <v>1805</v>
      </c>
      <c r="H9" s="24"/>
      <c r="I9" s="24"/>
      <c r="J9" s="24"/>
      <c r="K9" s="24"/>
      <c r="L9" s="24"/>
      <c r="M9" s="54">
        <f t="shared" si="1"/>
        <v>0</v>
      </c>
      <c r="N9">
        <f t="shared" si="2"/>
        <v>1</v>
      </c>
    </row>
    <row r="10" spans="1:14" ht="23.25" customHeight="1">
      <c r="A10" s="23">
        <v>1806</v>
      </c>
      <c r="B10" s="24"/>
      <c r="C10" s="24"/>
      <c r="D10" s="24"/>
      <c r="E10" s="25"/>
      <c r="F10" s="30"/>
      <c r="G10" s="27">
        <f t="shared" si="0"/>
        <v>1806</v>
      </c>
      <c r="H10" s="24"/>
      <c r="I10" s="24"/>
      <c r="J10" s="24"/>
      <c r="K10" s="24"/>
      <c r="L10" s="24"/>
      <c r="M10" s="54">
        <f t="shared" si="1"/>
        <v>0</v>
      </c>
      <c r="N10">
        <f t="shared" si="2"/>
        <v>1</v>
      </c>
    </row>
    <row r="11" spans="1:14" ht="23.25" customHeight="1">
      <c r="A11" s="23">
        <v>1807</v>
      </c>
      <c r="B11" s="24"/>
      <c r="C11" s="37"/>
      <c r="D11" s="24"/>
      <c r="E11" s="25"/>
      <c r="F11" s="30"/>
      <c r="G11" s="27">
        <f t="shared" si="0"/>
        <v>1807</v>
      </c>
      <c r="H11" s="23"/>
      <c r="I11" s="23"/>
      <c r="J11" s="23"/>
      <c r="K11" s="23"/>
      <c r="L11" s="23"/>
      <c r="M11" s="54">
        <f t="shared" si="1"/>
        <v>0</v>
      </c>
      <c r="N11">
        <f t="shared" si="2"/>
        <v>1</v>
      </c>
    </row>
    <row r="12" spans="1:14" ht="23.25" customHeight="1">
      <c r="A12" s="23">
        <v>1808</v>
      </c>
      <c r="B12" s="24"/>
      <c r="C12" s="24"/>
      <c r="D12" s="24"/>
      <c r="E12" s="25"/>
      <c r="F12" s="30"/>
      <c r="G12" s="27">
        <f t="shared" si="0"/>
        <v>1808</v>
      </c>
      <c r="H12" s="24"/>
      <c r="I12" s="24"/>
      <c r="J12" s="24"/>
      <c r="K12" s="24"/>
      <c r="L12" s="24"/>
      <c r="M12" s="54">
        <f t="shared" si="1"/>
        <v>0</v>
      </c>
      <c r="N12">
        <f t="shared" si="2"/>
        <v>1</v>
      </c>
    </row>
    <row r="13" spans="1:14" ht="23.25" customHeight="1">
      <c r="A13" s="23">
        <v>1809</v>
      </c>
      <c r="B13" s="24"/>
      <c r="C13" s="24"/>
      <c r="D13" s="24"/>
      <c r="E13" s="25"/>
      <c r="F13" s="30"/>
      <c r="G13" s="27">
        <f t="shared" si="0"/>
        <v>1809</v>
      </c>
      <c r="H13" s="24"/>
      <c r="I13" s="24"/>
      <c r="J13" s="24"/>
      <c r="K13" s="24"/>
      <c r="L13" s="24"/>
      <c r="M13" s="54">
        <f t="shared" si="1"/>
        <v>0</v>
      </c>
      <c r="N13">
        <f t="shared" si="2"/>
        <v>1</v>
      </c>
    </row>
    <row r="14" spans="1:14" ht="23.25" customHeight="1">
      <c r="A14" s="23">
        <v>1810</v>
      </c>
      <c r="B14" s="24"/>
      <c r="C14" s="24"/>
      <c r="D14" s="24"/>
      <c r="E14" s="25"/>
      <c r="F14" s="30"/>
      <c r="G14" s="27">
        <f t="shared" si="0"/>
        <v>1810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46" priority="4" operator="equal">
      <formula>0</formula>
    </cfRule>
    <cfRule type="expression" dxfId="45" priority="5">
      <formula>COUNTIF($M:$M,M5)&gt;1</formula>
    </cfRule>
    <cfRule type="cellIs" dxfId="44" priority="6" operator="greaterThanOrEqual">
      <formula>49</formula>
    </cfRule>
    <cfRule type="cellIs" dxfId="43" priority="7" operator="greaterThan">
      <formula>25</formula>
    </cfRule>
  </conditionalFormatting>
  <conditionalFormatting sqref="N1:N1048576">
    <cfRule type="cellIs" dxfId="42" priority="1" operator="equal">
      <formula>3</formula>
    </cfRule>
    <cfRule type="cellIs" dxfId="41" priority="2" operator="equal">
      <formula>2</formula>
    </cfRule>
    <cfRule type="cellIs" dxfId="40" priority="3" operator="equal">
      <formula>1</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1155CC"/>
    <outlinePr summaryBelow="0" summaryRight="0"/>
  </sheetPr>
  <dimension ref="A1:N54"/>
  <sheetViews>
    <sheetView topLeftCell="E1" workbookViewId="0">
      <selection activeCell="N1" sqref="N1:N1048576"/>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76" t="str">
        <f>'Cat 20'!A2</f>
        <v>Category 20 Name</v>
      </c>
      <c r="D1" s="68"/>
      <c r="E1" s="68"/>
      <c r="F1" s="15"/>
      <c r="G1" s="77" t="s">
        <v>52</v>
      </c>
      <c r="H1" s="68"/>
      <c r="I1" s="68"/>
      <c r="J1" s="68"/>
      <c r="K1" s="68"/>
      <c r="L1" s="68"/>
      <c r="M1" s="68"/>
    </row>
    <row r="2" spans="1:14" ht="23.25" customHeight="1">
      <c r="A2" s="78" t="str">
        <f>'Your Categories'!B20</f>
        <v>Category 19 Name</v>
      </c>
      <c r="B2" s="68"/>
      <c r="C2" s="68"/>
      <c r="D2" s="68"/>
      <c r="E2" s="68"/>
      <c r="F2" s="15"/>
      <c r="G2" s="68"/>
      <c r="H2" s="68"/>
      <c r="I2" s="68"/>
      <c r="J2" s="68"/>
      <c r="K2" s="68"/>
      <c r="L2" s="68"/>
      <c r="M2" s="68"/>
    </row>
    <row r="3" spans="1:14" ht="23.25" customHeight="1">
      <c r="A3" s="79" t="s">
        <v>115</v>
      </c>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c r="B5" s="24"/>
      <c r="C5" s="24"/>
      <c r="D5" s="23"/>
      <c r="E5" s="29"/>
      <c r="F5" s="26"/>
      <c r="G5" s="27">
        <f t="shared" si="0"/>
        <v>0</v>
      </c>
      <c r="H5" s="24"/>
      <c r="I5" s="24"/>
      <c r="J5" s="24"/>
      <c r="K5" s="24"/>
      <c r="L5" s="24"/>
      <c r="M5" s="54">
        <f t="shared" ref="M5:M54" si="1">SUM(H5:L5)</f>
        <v>0</v>
      </c>
      <c r="N5">
        <f>RANK(M5,$M$5:$M$17)</f>
        <v>1</v>
      </c>
    </row>
    <row r="6" spans="1:14" ht="23.25" customHeight="1">
      <c r="A6" s="23"/>
      <c r="B6" s="24"/>
      <c r="C6" s="24"/>
      <c r="D6" s="24"/>
      <c r="E6" s="25"/>
      <c r="F6" s="30"/>
      <c r="G6" s="27">
        <f t="shared" si="0"/>
        <v>0</v>
      </c>
      <c r="H6" s="23"/>
      <c r="I6" s="23"/>
      <c r="J6" s="23"/>
      <c r="K6" s="23"/>
      <c r="L6" s="23"/>
      <c r="M6" s="54">
        <f t="shared" si="1"/>
        <v>0</v>
      </c>
      <c r="N6">
        <f t="shared" ref="N6:N17" si="2">RANK(M6,$M$5:$M$17)</f>
        <v>1</v>
      </c>
    </row>
    <row r="7" spans="1:14" ht="23.25" customHeight="1">
      <c r="A7" s="23"/>
      <c r="B7" s="24"/>
      <c r="C7" s="24"/>
      <c r="D7" s="24"/>
      <c r="E7" s="25"/>
      <c r="F7" s="30"/>
      <c r="G7" s="27">
        <f t="shared" si="0"/>
        <v>0</v>
      </c>
      <c r="H7" s="24"/>
      <c r="I7" s="24"/>
      <c r="J7" s="24"/>
      <c r="K7" s="24"/>
      <c r="L7" s="24"/>
      <c r="M7" s="54">
        <f t="shared" si="1"/>
        <v>0</v>
      </c>
      <c r="N7">
        <f t="shared" si="2"/>
        <v>1</v>
      </c>
    </row>
    <row r="8" spans="1:14" ht="23.25" customHeight="1">
      <c r="A8" s="23"/>
      <c r="B8" s="24"/>
      <c r="C8" s="24"/>
      <c r="D8" s="24"/>
      <c r="E8" s="25"/>
      <c r="F8" s="30"/>
      <c r="G8" s="27">
        <f t="shared" si="0"/>
        <v>0</v>
      </c>
      <c r="H8" s="24"/>
      <c r="I8" s="24"/>
      <c r="J8" s="24"/>
      <c r="K8" s="24"/>
      <c r="L8" s="24"/>
      <c r="M8" s="54">
        <f t="shared" si="1"/>
        <v>0</v>
      </c>
      <c r="N8">
        <f t="shared" si="2"/>
        <v>1</v>
      </c>
    </row>
    <row r="9" spans="1:14" ht="23.25" customHeight="1">
      <c r="A9" s="23"/>
      <c r="B9" s="24"/>
      <c r="C9" s="24"/>
      <c r="D9" s="24"/>
      <c r="E9" s="25"/>
      <c r="F9" s="30"/>
      <c r="G9" s="27">
        <f t="shared" si="0"/>
        <v>0</v>
      </c>
      <c r="H9" s="24"/>
      <c r="I9" s="24"/>
      <c r="J9" s="24"/>
      <c r="K9" s="24"/>
      <c r="L9" s="24"/>
      <c r="M9" s="54">
        <f t="shared" si="1"/>
        <v>0</v>
      </c>
      <c r="N9">
        <f t="shared" si="2"/>
        <v>1</v>
      </c>
    </row>
    <row r="10" spans="1:14" ht="23.25" customHeight="1">
      <c r="A10" s="23"/>
      <c r="B10" s="24"/>
      <c r="C10" s="24"/>
      <c r="D10" s="24"/>
      <c r="E10" s="25"/>
      <c r="F10" s="30"/>
      <c r="G10" s="27">
        <f t="shared" si="0"/>
        <v>0</v>
      </c>
      <c r="H10" s="24"/>
      <c r="I10" s="24"/>
      <c r="J10" s="24"/>
      <c r="K10" s="24"/>
      <c r="L10" s="24"/>
      <c r="M10" s="54">
        <f t="shared" si="1"/>
        <v>0</v>
      </c>
      <c r="N10">
        <f t="shared" si="2"/>
        <v>1</v>
      </c>
    </row>
    <row r="11" spans="1:14" ht="23.25" customHeight="1">
      <c r="A11" s="23"/>
      <c r="B11" s="24"/>
      <c r="C11" s="37"/>
      <c r="D11" s="24"/>
      <c r="E11" s="25"/>
      <c r="F11" s="30"/>
      <c r="G11" s="27">
        <f t="shared" si="0"/>
        <v>0</v>
      </c>
      <c r="H11" s="23"/>
      <c r="I11" s="23"/>
      <c r="J11" s="23"/>
      <c r="K11" s="23"/>
      <c r="L11" s="23"/>
      <c r="M11" s="54">
        <f t="shared" si="1"/>
        <v>0</v>
      </c>
      <c r="N11">
        <f t="shared" si="2"/>
        <v>1</v>
      </c>
    </row>
    <row r="12" spans="1:14" ht="23.25" customHeight="1">
      <c r="A12" s="23"/>
      <c r="B12" s="24"/>
      <c r="C12" s="24"/>
      <c r="D12" s="24"/>
      <c r="E12" s="25"/>
      <c r="F12" s="30"/>
      <c r="G12" s="27">
        <f t="shared" si="0"/>
        <v>0</v>
      </c>
      <c r="H12" s="24"/>
      <c r="I12" s="24"/>
      <c r="J12" s="24"/>
      <c r="K12" s="24"/>
      <c r="L12" s="24"/>
      <c r="M12" s="54">
        <f t="shared" si="1"/>
        <v>0</v>
      </c>
      <c r="N12">
        <f t="shared" si="2"/>
        <v>1</v>
      </c>
    </row>
    <row r="13" spans="1:14" ht="23.25" customHeight="1">
      <c r="A13" s="23"/>
      <c r="B13" s="24"/>
      <c r="C13" s="24"/>
      <c r="D13" s="24"/>
      <c r="E13" s="25"/>
      <c r="F13" s="30"/>
      <c r="G13" s="27">
        <f t="shared" si="0"/>
        <v>0</v>
      </c>
      <c r="H13" s="24"/>
      <c r="I13" s="24"/>
      <c r="J13" s="24"/>
      <c r="K13" s="24"/>
      <c r="L13" s="24"/>
      <c r="M13" s="54">
        <f t="shared" si="1"/>
        <v>0</v>
      </c>
      <c r="N13">
        <f t="shared" si="2"/>
        <v>1</v>
      </c>
    </row>
    <row r="14" spans="1:14" ht="23.25" customHeight="1">
      <c r="A14" s="23"/>
      <c r="B14" s="24"/>
      <c r="C14" s="24"/>
      <c r="D14" s="24"/>
      <c r="E14" s="25"/>
      <c r="F14" s="30"/>
      <c r="G14" s="27">
        <f t="shared" si="0"/>
        <v>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39" priority="4" operator="equal">
      <formula>0</formula>
    </cfRule>
    <cfRule type="expression" dxfId="38" priority="5">
      <formula>COUNTIF($M:$M,M5)&gt;1</formula>
    </cfRule>
    <cfRule type="cellIs" dxfId="37" priority="6" operator="greaterThanOrEqual">
      <formula>49</formula>
    </cfRule>
    <cfRule type="cellIs" dxfId="36" priority="7" operator="greaterThan">
      <formula>25</formula>
    </cfRule>
  </conditionalFormatting>
  <conditionalFormatting sqref="N1:N1048576">
    <cfRule type="cellIs" dxfId="35" priority="1" operator="equal">
      <formula>3</formula>
    </cfRule>
    <cfRule type="cellIs" dxfId="34" priority="2" operator="equal">
      <formula>2</formula>
    </cfRule>
    <cfRule type="cellIs" dxfId="33" priority="3" operator="equal">
      <formula>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1155CC"/>
    <outlinePr summaryBelow="0" summaryRight="0"/>
  </sheetPr>
  <dimension ref="A1:N54"/>
  <sheetViews>
    <sheetView topLeftCell="E1" workbookViewId="0">
      <selection activeCell="N1" sqref="N1:N1048576"/>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76" t="str">
        <f>AWARDS!A1</f>
        <v>AWARDS ROUND</v>
      </c>
      <c r="D1" s="68"/>
      <c r="E1" s="68"/>
      <c r="F1" s="15"/>
      <c r="G1" s="77" t="s">
        <v>52</v>
      </c>
      <c r="H1" s="68"/>
      <c r="I1" s="68"/>
      <c r="J1" s="68"/>
      <c r="K1" s="68"/>
      <c r="L1" s="68"/>
      <c r="M1" s="68"/>
    </row>
    <row r="2" spans="1:14" ht="23.25" customHeight="1">
      <c r="A2" s="78" t="str">
        <f>'Your Categories'!B21</f>
        <v>Category 20 Name</v>
      </c>
      <c r="B2" s="68"/>
      <c r="C2" s="68"/>
      <c r="D2" s="68"/>
      <c r="E2" s="68"/>
      <c r="F2" s="15"/>
      <c r="G2" s="68"/>
      <c r="H2" s="68"/>
      <c r="I2" s="68"/>
      <c r="J2" s="68"/>
      <c r="K2" s="68"/>
      <c r="L2" s="68"/>
      <c r="M2" s="68"/>
    </row>
    <row r="3" spans="1:14" ht="23.25" customHeight="1">
      <c r="A3" s="79" t="s">
        <v>115</v>
      </c>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c r="B5" s="24"/>
      <c r="C5" s="24"/>
      <c r="D5" s="23"/>
      <c r="E5" s="29"/>
      <c r="F5" s="26"/>
      <c r="G5" s="27">
        <f t="shared" si="0"/>
        <v>0</v>
      </c>
      <c r="H5" s="24"/>
      <c r="I5" s="24"/>
      <c r="J5" s="24"/>
      <c r="K5" s="24"/>
      <c r="L5" s="24"/>
      <c r="M5" s="54">
        <f t="shared" ref="M5:M54" si="1">SUM(H5:L5)</f>
        <v>0</v>
      </c>
      <c r="N5">
        <f>RANK(M5,$M$5:$M$17)</f>
        <v>1</v>
      </c>
    </row>
    <row r="6" spans="1:14" ht="23.25" customHeight="1">
      <c r="A6" s="23"/>
      <c r="B6" s="24"/>
      <c r="C6" s="24"/>
      <c r="D6" s="24"/>
      <c r="E6" s="25"/>
      <c r="F6" s="30"/>
      <c r="G6" s="27">
        <f t="shared" si="0"/>
        <v>0</v>
      </c>
      <c r="H6" s="23"/>
      <c r="I6" s="23"/>
      <c r="J6" s="23"/>
      <c r="K6" s="23"/>
      <c r="L6" s="23"/>
      <c r="M6" s="54">
        <f t="shared" si="1"/>
        <v>0</v>
      </c>
      <c r="N6">
        <f t="shared" ref="N6:N17" si="2">RANK(M6,$M$5:$M$17)</f>
        <v>1</v>
      </c>
    </row>
    <row r="7" spans="1:14" ht="23.25" customHeight="1">
      <c r="A7" s="23"/>
      <c r="B7" s="24"/>
      <c r="C7" s="24"/>
      <c r="D7" s="24"/>
      <c r="E7" s="25"/>
      <c r="F7" s="30"/>
      <c r="G7" s="27">
        <f t="shared" si="0"/>
        <v>0</v>
      </c>
      <c r="H7" s="24"/>
      <c r="I7" s="24"/>
      <c r="J7" s="24"/>
      <c r="K7" s="24"/>
      <c r="L7" s="24"/>
      <c r="M7" s="54">
        <f t="shared" si="1"/>
        <v>0</v>
      </c>
      <c r="N7">
        <f t="shared" si="2"/>
        <v>1</v>
      </c>
    </row>
    <row r="8" spans="1:14" ht="23.25" customHeight="1">
      <c r="A8" s="23"/>
      <c r="B8" s="24"/>
      <c r="C8" s="24"/>
      <c r="D8" s="24"/>
      <c r="E8" s="25"/>
      <c r="F8" s="30"/>
      <c r="G8" s="27">
        <f t="shared" si="0"/>
        <v>0</v>
      </c>
      <c r="H8" s="24"/>
      <c r="I8" s="24"/>
      <c r="J8" s="24"/>
      <c r="K8" s="24"/>
      <c r="L8" s="24"/>
      <c r="M8" s="54">
        <f t="shared" si="1"/>
        <v>0</v>
      </c>
      <c r="N8">
        <f t="shared" si="2"/>
        <v>1</v>
      </c>
    </row>
    <row r="9" spans="1:14" ht="23.25" customHeight="1">
      <c r="A9" s="23"/>
      <c r="B9" s="24"/>
      <c r="C9" s="24"/>
      <c r="D9" s="24"/>
      <c r="E9" s="25"/>
      <c r="F9" s="30"/>
      <c r="G9" s="27">
        <f t="shared" si="0"/>
        <v>0</v>
      </c>
      <c r="H9" s="24"/>
      <c r="I9" s="24"/>
      <c r="J9" s="24"/>
      <c r="K9" s="24"/>
      <c r="L9" s="24"/>
      <c r="M9" s="54">
        <f t="shared" si="1"/>
        <v>0</v>
      </c>
      <c r="N9">
        <f t="shared" si="2"/>
        <v>1</v>
      </c>
    </row>
    <row r="10" spans="1:14" ht="23.25" customHeight="1">
      <c r="A10" s="23"/>
      <c r="B10" s="24"/>
      <c r="C10" s="24"/>
      <c r="D10" s="24"/>
      <c r="E10" s="25"/>
      <c r="F10" s="30"/>
      <c r="G10" s="27">
        <f t="shared" si="0"/>
        <v>0</v>
      </c>
      <c r="H10" s="24"/>
      <c r="I10" s="24"/>
      <c r="J10" s="24"/>
      <c r="K10" s="24"/>
      <c r="L10" s="24"/>
      <c r="M10" s="54">
        <f t="shared" si="1"/>
        <v>0</v>
      </c>
      <c r="N10">
        <f t="shared" si="2"/>
        <v>1</v>
      </c>
    </row>
    <row r="11" spans="1:14" ht="23.25" customHeight="1">
      <c r="A11" s="23"/>
      <c r="B11" s="24"/>
      <c r="C11" s="37"/>
      <c r="D11" s="24"/>
      <c r="E11" s="25"/>
      <c r="F11" s="30"/>
      <c r="G11" s="27">
        <f t="shared" si="0"/>
        <v>0</v>
      </c>
      <c r="H11" s="23"/>
      <c r="I11" s="23"/>
      <c r="J11" s="23"/>
      <c r="K11" s="23"/>
      <c r="L11" s="23"/>
      <c r="M11" s="54">
        <f t="shared" si="1"/>
        <v>0</v>
      </c>
      <c r="N11">
        <f t="shared" si="2"/>
        <v>1</v>
      </c>
    </row>
    <row r="12" spans="1:14" ht="23.25" customHeight="1">
      <c r="A12" s="23"/>
      <c r="B12" s="24"/>
      <c r="C12" s="24"/>
      <c r="D12" s="24"/>
      <c r="E12" s="25"/>
      <c r="F12" s="30"/>
      <c r="G12" s="27">
        <f t="shared" si="0"/>
        <v>0</v>
      </c>
      <c r="H12" s="24"/>
      <c r="I12" s="24"/>
      <c r="J12" s="24"/>
      <c r="K12" s="24"/>
      <c r="L12" s="24"/>
      <c r="M12" s="54">
        <f t="shared" si="1"/>
        <v>0</v>
      </c>
      <c r="N12">
        <f t="shared" si="2"/>
        <v>1</v>
      </c>
    </row>
    <row r="13" spans="1:14" ht="23.25" customHeight="1">
      <c r="A13" s="23"/>
      <c r="B13" s="24"/>
      <c r="C13" s="24"/>
      <c r="D13" s="24"/>
      <c r="E13" s="25"/>
      <c r="F13" s="30"/>
      <c r="G13" s="27">
        <f t="shared" si="0"/>
        <v>0</v>
      </c>
      <c r="H13" s="24"/>
      <c r="I13" s="24"/>
      <c r="J13" s="24"/>
      <c r="K13" s="24"/>
      <c r="L13" s="24"/>
      <c r="M13" s="54">
        <f t="shared" si="1"/>
        <v>0</v>
      </c>
      <c r="N13">
        <f t="shared" si="2"/>
        <v>1</v>
      </c>
    </row>
    <row r="14" spans="1:14" ht="23.25" customHeight="1">
      <c r="A14" s="23"/>
      <c r="B14" s="24"/>
      <c r="C14" s="24"/>
      <c r="D14" s="24"/>
      <c r="E14" s="25"/>
      <c r="F14" s="30"/>
      <c r="G14" s="27">
        <f t="shared" si="0"/>
        <v>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32" priority="4" operator="equal">
      <formula>0</formula>
    </cfRule>
    <cfRule type="expression" dxfId="31" priority="5">
      <formula>COUNTIF($M:$M,M5)&gt;1</formula>
    </cfRule>
    <cfRule type="cellIs" dxfId="30" priority="6" operator="greaterThanOrEqual">
      <formula>49</formula>
    </cfRule>
    <cfRule type="cellIs" dxfId="29" priority="7" operator="greaterThan">
      <formula>25</formula>
    </cfRule>
  </conditionalFormatting>
  <conditionalFormatting sqref="N1:N1048576">
    <cfRule type="cellIs" dxfId="28" priority="1" operator="equal">
      <formula>3</formula>
    </cfRule>
    <cfRule type="cellIs" dxfId="27" priority="2" operator="equal">
      <formula>2</formula>
    </cfRule>
    <cfRule type="cellIs" dxfId="26" priority="3" operator="equal">
      <formula>1</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BF9000"/>
    <outlinePr summaryBelow="0" summaryRight="0"/>
  </sheetPr>
  <dimension ref="A1:F202"/>
  <sheetViews>
    <sheetView workbookViewId="0">
      <selection sqref="A1:E1"/>
    </sheetView>
  </sheetViews>
  <sheetFormatPr defaultColWidth="12.5703125" defaultRowHeight="12.75" customHeight="1"/>
  <cols>
    <col min="1" max="1" width="10.140625" customWidth="1"/>
    <col min="2" max="2" width="9.42578125" customWidth="1"/>
    <col min="3" max="3" width="23.5703125" customWidth="1"/>
    <col min="4" max="4" width="48.85546875" customWidth="1"/>
    <col min="5" max="5" width="10.42578125" customWidth="1"/>
    <col min="6" max="6" width="11.85546875" customWidth="1"/>
    <col min="7" max="17" width="30.42578125" customWidth="1"/>
  </cols>
  <sheetData>
    <row r="1" spans="1:6" ht="27" customHeight="1">
      <c r="A1" s="78" t="s">
        <v>105</v>
      </c>
      <c r="B1" s="68"/>
      <c r="C1" s="68"/>
      <c r="D1" s="68"/>
      <c r="E1" s="82"/>
      <c r="F1" s="39" t="s">
        <v>106</v>
      </c>
    </row>
    <row r="2" spans="1:6" ht="27" customHeight="1">
      <c r="A2" s="81" t="s">
        <v>116</v>
      </c>
      <c r="B2" s="68"/>
      <c r="C2" s="68"/>
      <c r="D2" s="68"/>
      <c r="E2" s="82"/>
      <c r="F2" s="40" t="s">
        <v>108</v>
      </c>
    </row>
    <row r="3" spans="1:6" ht="27" customHeight="1">
      <c r="A3" s="41"/>
      <c r="B3" s="41" t="s">
        <v>55</v>
      </c>
      <c r="C3" s="41" t="s">
        <v>56</v>
      </c>
      <c r="D3" s="41" t="s">
        <v>57</v>
      </c>
      <c r="E3" s="42" t="s">
        <v>109</v>
      </c>
      <c r="F3" s="43" t="s">
        <v>110</v>
      </c>
    </row>
    <row r="4" spans="1:6" ht="27" customHeight="1">
      <c r="A4" s="83" t="str">
        <f>KIDS!A2</f>
        <v>Kids</v>
      </c>
      <c r="B4" s="68"/>
      <c r="C4" s="68"/>
      <c r="D4" s="68"/>
      <c r="E4" s="82"/>
      <c r="F4" s="44"/>
    </row>
    <row r="5" spans="1:6" ht="27" customHeight="1">
      <c r="A5" s="41" t="s">
        <v>111</v>
      </c>
      <c r="B5" s="45">
        <f ca="1">IFERROR(__xludf.DUMMYFUNCTION("query(KIDS!A5:M54, ""select A,B,C, M order by M desc limit 8"")"),102)</f>
        <v>102</v>
      </c>
      <c r="C5" s="23" t="str">
        <f ca="1">IFERROR(__xludf.DUMMYFUNCTION("""COMPUTED_VALUE"""),"James")</f>
        <v>James</v>
      </c>
      <c r="D5" s="23" t="str">
        <f ca="1">IFERROR(__xludf.DUMMYFUNCTION("""COMPUTED_VALUE"""),"Modesto BMC")</f>
        <v>Modesto BMC</v>
      </c>
      <c r="E5" s="46">
        <f ca="1">IFERROR(__xludf.DUMMYFUNCTION("""COMPUTED_VALUE"""),48)</f>
        <v>48</v>
      </c>
      <c r="F5" s="44"/>
    </row>
    <row r="6" spans="1:6" ht="27" customHeight="1">
      <c r="A6" s="47" t="s">
        <v>112</v>
      </c>
      <c r="B6" s="45">
        <f ca="1">IFERROR(__xludf.DUMMYFUNCTION("""COMPUTED_VALUE"""),103)</f>
        <v>103</v>
      </c>
      <c r="C6" s="23" t="str">
        <f ca="1">IFERROR(__xludf.DUMMYFUNCTION("""COMPUTED_VALUE"""),"Aida")</f>
        <v>Aida</v>
      </c>
      <c r="D6" s="23" t="str">
        <f ca="1">IFERROR(__xludf.DUMMYFUNCTION("""COMPUTED_VALUE"""),"Modesto BMC")</f>
        <v>Modesto BMC</v>
      </c>
      <c r="E6" s="46">
        <f ca="1">IFERROR(__xludf.DUMMYFUNCTION("""COMPUTED_VALUE"""),47.5)</f>
        <v>47.5</v>
      </c>
      <c r="F6" s="44"/>
    </row>
    <row r="7" spans="1:6" ht="27" customHeight="1">
      <c r="A7" s="48" t="s">
        <v>113</v>
      </c>
      <c r="B7" s="45">
        <f ca="1">IFERROR(__xludf.DUMMYFUNCTION("""COMPUTED_VALUE"""),101)</f>
        <v>101</v>
      </c>
      <c r="C7" s="23" t="str">
        <f ca="1">IFERROR(__xludf.DUMMYFUNCTION("""COMPUTED_VALUE"""),"Emilio Paredes")</f>
        <v>Emilio Paredes</v>
      </c>
      <c r="D7" s="23" t="str">
        <f ca="1">IFERROR(__xludf.DUMMYFUNCTION("""COMPUTED_VALUE"""),"Modesto BMC")</f>
        <v>Modesto BMC</v>
      </c>
      <c r="E7" s="46">
        <f ca="1">IFERROR(__xludf.DUMMYFUNCTION("""COMPUTED_VALUE"""),47)</f>
        <v>47</v>
      </c>
      <c r="F7" s="44">
        <v>4</v>
      </c>
    </row>
    <row r="8" spans="1:6" ht="27" customHeight="1">
      <c r="A8" s="49" t="s">
        <v>114</v>
      </c>
      <c r="B8" s="50"/>
      <c r="C8" s="50"/>
      <c r="D8" s="50"/>
      <c r="E8" s="51">
        <f ca="1">IFERROR(__xludf.DUMMYFUNCTION("""COMPUTED_VALUE"""),0)</f>
        <v>0</v>
      </c>
      <c r="F8" s="44">
        <v>3</v>
      </c>
    </row>
    <row r="9" spans="1:6" ht="27" customHeight="1">
      <c r="A9" s="49" t="s">
        <v>114</v>
      </c>
      <c r="B9" s="50"/>
      <c r="C9" s="50"/>
      <c r="D9" s="50"/>
      <c r="E9" s="51">
        <f ca="1">IFERROR(__xludf.DUMMYFUNCTION("""COMPUTED_VALUE"""),0)</f>
        <v>0</v>
      </c>
      <c r="F9" s="44"/>
    </row>
    <row r="10" spans="1:6" ht="27" customHeight="1">
      <c r="A10" s="49" t="s">
        <v>114</v>
      </c>
      <c r="B10" s="50"/>
      <c r="C10" s="50"/>
      <c r="D10" s="50"/>
      <c r="E10" s="51">
        <f ca="1">IFERROR(__xludf.DUMMYFUNCTION("""COMPUTED_VALUE"""),0)</f>
        <v>0</v>
      </c>
      <c r="F10" s="44"/>
    </row>
    <row r="11" spans="1:6" ht="27" customHeight="1">
      <c r="A11" s="49" t="s">
        <v>114</v>
      </c>
      <c r="B11" s="50"/>
      <c r="C11" s="50"/>
      <c r="D11" s="50"/>
      <c r="E11" s="51">
        <f ca="1">IFERROR(__xludf.DUMMYFUNCTION("""COMPUTED_VALUE"""),0)</f>
        <v>0</v>
      </c>
      <c r="F11" s="44"/>
    </row>
    <row r="12" spans="1:6" ht="27" customHeight="1">
      <c r="A12" s="49" t="s">
        <v>114</v>
      </c>
      <c r="B12" s="50"/>
      <c r="C12" s="50"/>
      <c r="D12" s="50"/>
      <c r="E12" s="51">
        <f ca="1">IFERROR(__xludf.DUMMYFUNCTION("""COMPUTED_VALUE"""),0)</f>
        <v>0</v>
      </c>
      <c r="F12" s="44"/>
    </row>
    <row r="13" spans="1:6" ht="27" customHeight="1">
      <c r="A13" s="57"/>
      <c r="B13" s="37"/>
      <c r="C13" s="37"/>
      <c r="D13" s="37"/>
      <c r="E13" s="58"/>
      <c r="F13" s="44"/>
    </row>
    <row r="14" spans="1:6" ht="27" customHeight="1">
      <c r="A14" s="91" t="str">
        <f>'Freestyle!'!A2</f>
        <v>Freestyle!</v>
      </c>
      <c r="B14" s="68"/>
      <c r="C14" s="68"/>
      <c r="D14" s="68"/>
      <c r="E14" s="68"/>
      <c r="F14" s="44"/>
    </row>
    <row r="15" spans="1:6" ht="27" customHeight="1">
      <c r="A15" s="41" t="s">
        <v>111</v>
      </c>
      <c r="B15" s="59">
        <f ca="1">IFERROR(__xludf.DUMMYFUNCTION("query('FULL BEARD FREESTYLE'!A5:M54, ""select A,B,C, M order by M desc limit 8"")"),202)</f>
        <v>202</v>
      </c>
      <c r="C15" s="23" t="str">
        <f ca="1">IFERROR(__xludf.DUMMYFUNCTION("""COMPUTED_VALUE"""),"John Banks")</f>
        <v>John Banks</v>
      </c>
      <c r="D15" s="23" t="str">
        <f ca="1">IFERROR(__xludf.DUMMYFUNCTION("""COMPUTED_VALUE"""),"GSCLA")</f>
        <v>GSCLA</v>
      </c>
      <c r="E15" s="46">
        <f ca="1">IFERROR(__xludf.DUMMYFUNCTION("""COMPUTED_VALUE"""),49.5)</f>
        <v>49.5</v>
      </c>
      <c r="F15" s="44"/>
    </row>
    <row r="16" spans="1:6" ht="27" customHeight="1">
      <c r="A16" s="47" t="s">
        <v>112</v>
      </c>
      <c r="B16" s="60">
        <f ca="1">IFERROR(__xludf.DUMMYFUNCTION("""COMPUTED_VALUE"""),201)</f>
        <v>201</v>
      </c>
      <c r="C16" s="24" t="str">
        <f ca="1">IFERROR(__xludf.DUMMYFUNCTION("""COMPUTED_VALUE"""),"Joe Haydostian")</f>
        <v>Joe Haydostian</v>
      </c>
      <c r="D16" s="24" t="str">
        <f ca="1">IFERROR(__xludf.DUMMYFUNCTION("""COMPUTED_VALUE"""),"Fresno MBC")</f>
        <v>Fresno MBC</v>
      </c>
      <c r="E16" s="46">
        <f ca="1">IFERROR(__xludf.DUMMYFUNCTION("""COMPUTED_VALUE"""),46.5)</f>
        <v>46.5</v>
      </c>
      <c r="F16" s="44"/>
    </row>
    <row r="17" spans="1:5" ht="27" customHeight="1">
      <c r="A17" s="48" t="s">
        <v>113</v>
      </c>
      <c r="B17" s="60">
        <f ca="1">IFERROR(__xludf.DUMMYFUNCTION("""COMPUTED_VALUE"""),203)</f>
        <v>203</v>
      </c>
      <c r="C17" s="24" t="str">
        <f ca="1">IFERROR(__xludf.DUMMYFUNCTION("""COMPUTED_VALUE"""),"Brandon Reeder")</f>
        <v>Brandon Reeder</v>
      </c>
      <c r="D17" s="24" t="str">
        <f ca="1">IFERROR(__xludf.DUMMYFUNCTION("""COMPUTED_VALUE"""),"GSCLA")</f>
        <v>GSCLA</v>
      </c>
      <c r="E17" s="46">
        <f ca="1">IFERROR(__xludf.DUMMYFUNCTION("""COMPUTED_VALUE"""),46)</f>
        <v>46</v>
      </c>
    </row>
    <row r="18" spans="1:5" ht="27" customHeight="1">
      <c r="A18" s="49" t="s">
        <v>114</v>
      </c>
      <c r="B18" s="50"/>
      <c r="C18" s="50"/>
      <c r="D18" s="50"/>
      <c r="E18" s="58">
        <f ca="1">IFERROR(__xludf.DUMMYFUNCTION("""COMPUTED_VALUE"""),0)</f>
        <v>0</v>
      </c>
    </row>
    <row r="19" spans="1:5" ht="27" customHeight="1">
      <c r="A19" s="49" t="s">
        <v>114</v>
      </c>
      <c r="B19" s="50"/>
      <c r="C19" s="50"/>
      <c r="D19" s="50"/>
      <c r="E19" s="51">
        <f ca="1">IFERROR(__xludf.DUMMYFUNCTION("""COMPUTED_VALUE"""),0)</f>
        <v>0</v>
      </c>
    </row>
    <row r="20" spans="1:5" ht="27" customHeight="1">
      <c r="A20" s="49" t="s">
        <v>114</v>
      </c>
      <c r="B20" s="50"/>
      <c r="C20" s="50"/>
      <c r="D20" s="50"/>
      <c r="E20" s="51">
        <f ca="1">IFERROR(__xludf.DUMMYFUNCTION("""COMPUTED_VALUE"""),0)</f>
        <v>0</v>
      </c>
    </row>
    <row r="21" spans="1:5" ht="27" customHeight="1">
      <c r="A21" s="49" t="s">
        <v>114</v>
      </c>
      <c r="B21" s="50"/>
      <c r="C21" s="50"/>
      <c r="D21" s="50"/>
      <c r="E21" s="51">
        <f ca="1">IFERROR(__xludf.DUMMYFUNCTION("""COMPUTED_VALUE"""),0)</f>
        <v>0</v>
      </c>
    </row>
    <row r="22" spans="1:5" ht="27" customHeight="1">
      <c r="A22" s="49" t="s">
        <v>114</v>
      </c>
      <c r="B22" s="50"/>
      <c r="C22" s="50"/>
      <c r="D22" s="50"/>
      <c r="E22" s="51">
        <f ca="1">IFERROR(__xludf.DUMMYFUNCTION("""COMPUTED_VALUE"""),0)</f>
        <v>0</v>
      </c>
    </row>
    <row r="23" spans="1:5" ht="27" customHeight="1">
      <c r="A23" s="57"/>
      <c r="B23" s="37"/>
      <c r="C23" s="37"/>
      <c r="D23" s="37"/>
      <c r="E23" s="58"/>
    </row>
    <row r="24" spans="1:5" ht="27" customHeight="1">
      <c r="A24" s="91" t="str">
        <f>Moustache!A2</f>
        <v>Natural Moustache</v>
      </c>
      <c r="B24" s="68"/>
      <c r="C24" s="68"/>
      <c r="D24" s="68"/>
      <c r="E24" s="68"/>
    </row>
    <row r="25" spans="1:5" ht="27" customHeight="1">
      <c r="A25" s="41" t="s">
        <v>111</v>
      </c>
      <c r="B25" s="59">
        <f ca="1">IFERROR(__xludf.DUMMYFUNCTION("query('GROOMED BEARD UNDER 8'!A5:M53, ""select A,B,C, M order by M desc limit 8"")"),309)</f>
        <v>309</v>
      </c>
      <c r="C25" s="23" t="str">
        <f ca="1">IFERROR(__xludf.DUMMYFUNCTION("""COMPUTED_VALUE"""),"Bacon")</f>
        <v>Bacon</v>
      </c>
      <c r="D25" s="23" t="str">
        <f ca="1">IFERROR(__xludf.DUMMYFUNCTION("""COMPUTED_VALUE"""),"MBSC")</f>
        <v>MBSC</v>
      </c>
      <c r="E25" s="46">
        <f ca="1">IFERROR(__xludf.DUMMYFUNCTION("""COMPUTED_VALUE"""),46)</f>
        <v>46</v>
      </c>
    </row>
    <row r="26" spans="1:5" ht="27" customHeight="1">
      <c r="A26" s="47" t="s">
        <v>112</v>
      </c>
      <c r="B26" s="60">
        <f ca="1">IFERROR(__xludf.DUMMYFUNCTION("""COMPUTED_VALUE"""),311)</f>
        <v>311</v>
      </c>
      <c r="C26" s="24" t="str">
        <f ca="1">IFERROR(__xludf.DUMMYFUNCTION("""COMPUTED_VALUE"""),"Zackalious")</f>
        <v>Zackalious</v>
      </c>
      <c r="D26" s="24" t="str">
        <f ca="1">IFERROR(__xludf.DUMMYFUNCTION("""COMPUTED_VALUE"""),"GSCLA")</f>
        <v>GSCLA</v>
      </c>
      <c r="E26" s="46">
        <f ca="1">IFERROR(__xludf.DUMMYFUNCTION("""COMPUTED_VALUE"""),46)</f>
        <v>46</v>
      </c>
    </row>
    <row r="27" spans="1:5" ht="27" customHeight="1">
      <c r="A27" s="48" t="s">
        <v>113</v>
      </c>
      <c r="B27" s="60">
        <f ca="1">IFERROR(__xludf.DUMMYFUNCTION("""COMPUTED_VALUE"""),314)</f>
        <v>314</v>
      </c>
      <c r="C27" s="24" t="str">
        <f ca="1">IFERROR(__xludf.DUMMYFUNCTION("""COMPUTED_VALUE"""),"Gary Turner")</f>
        <v>Gary Turner</v>
      </c>
      <c r="D27" s="24"/>
      <c r="E27" s="46">
        <f ca="1">IFERROR(__xludf.DUMMYFUNCTION("""COMPUTED_VALUE"""),46)</f>
        <v>46</v>
      </c>
    </row>
    <row r="28" spans="1:5" ht="27" customHeight="1">
      <c r="A28" s="49" t="s">
        <v>114</v>
      </c>
      <c r="B28" s="50">
        <f ca="1">IFERROR(__xludf.DUMMYFUNCTION("""COMPUTED_VALUE"""),310)</f>
        <v>310</v>
      </c>
      <c r="C28" s="50" t="str">
        <f ca="1">IFERROR(__xludf.DUMMYFUNCTION("""COMPUTED_VALUE"""),"Gabriel Valles")</f>
        <v>Gabriel Valles</v>
      </c>
      <c r="D28" s="50" t="str">
        <f ca="1">IFERROR(__xludf.DUMMYFUNCTION("""COMPUTED_VALUE"""),"BV")</f>
        <v>BV</v>
      </c>
      <c r="E28" s="58">
        <f ca="1">IFERROR(__xludf.DUMMYFUNCTION("""COMPUTED_VALUE"""),43)</f>
        <v>43</v>
      </c>
    </row>
    <row r="29" spans="1:5" ht="27" customHeight="1">
      <c r="A29" s="49" t="s">
        <v>114</v>
      </c>
      <c r="B29" s="50">
        <f ca="1">IFERROR(__xludf.DUMMYFUNCTION("""COMPUTED_VALUE"""),305)</f>
        <v>305</v>
      </c>
      <c r="C29" s="50" t="str">
        <f ca="1">IFERROR(__xludf.DUMMYFUNCTION("""COMPUTED_VALUE"""),"Unicorn")</f>
        <v>Unicorn</v>
      </c>
      <c r="D29" s="50" t="str">
        <f ca="1">IFERROR(__xludf.DUMMYFUNCTION("""COMPUTED_VALUE"""),"GSCLA")</f>
        <v>GSCLA</v>
      </c>
      <c r="E29" s="51">
        <f ca="1">IFERROR(__xludf.DUMMYFUNCTION("""COMPUTED_VALUE"""),42.5)</f>
        <v>42.5</v>
      </c>
    </row>
    <row r="30" spans="1:5" ht="27" customHeight="1">
      <c r="A30" s="49" t="s">
        <v>114</v>
      </c>
      <c r="B30" s="50">
        <f ca="1">IFERROR(__xludf.DUMMYFUNCTION("""COMPUTED_VALUE"""),306)</f>
        <v>306</v>
      </c>
      <c r="C30" s="50" t="str">
        <f ca="1">IFERROR(__xludf.DUMMYFUNCTION("""COMPUTED_VALUE"""),"John Freitas")</f>
        <v>John Freitas</v>
      </c>
      <c r="D30" s="50" t="str">
        <f ca="1">IFERROR(__xludf.DUMMYFUNCTION("""COMPUTED_VALUE"""),"Beard Mobb")</f>
        <v>Beard Mobb</v>
      </c>
      <c r="E30" s="51">
        <f ca="1">IFERROR(__xludf.DUMMYFUNCTION("""COMPUTED_VALUE"""),42.5)</f>
        <v>42.5</v>
      </c>
    </row>
    <row r="31" spans="1:5" ht="27" customHeight="1">
      <c r="A31" s="49" t="s">
        <v>114</v>
      </c>
      <c r="B31" s="50">
        <f ca="1">IFERROR(__xludf.DUMMYFUNCTION("""COMPUTED_VALUE"""),307)</f>
        <v>307</v>
      </c>
      <c r="C31" s="50" t="str">
        <f ca="1">IFERROR(__xludf.DUMMYFUNCTION("""COMPUTED_VALUE"""),"Dylan Miller")</f>
        <v>Dylan Miller</v>
      </c>
      <c r="D31" s="50" t="str">
        <f ca="1">IFERROR(__xludf.DUMMYFUNCTION("""COMPUTED_VALUE"""),"MBSC")</f>
        <v>MBSC</v>
      </c>
      <c r="E31" s="51">
        <f ca="1">IFERROR(__xludf.DUMMYFUNCTION("""COMPUTED_VALUE"""),42.5)</f>
        <v>42.5</v>
      </c>
    </row>
    <row r="32" spans="1:5" ht="27" customHeight="1">
      <c r="A32" s="49" t="s">
        <v>114</v>
      </c>
      <c r="B32" s="50">
        <f ca="1">IFERROR(__xludf.DUMMYFUNCTION("""COMPUTED_VALUE"""),308)</f>
        <v>308</v>
      </c>
      <c r="C32" s="50" t="str">
        <f ca="1">IFERROR(__xludf.DUMMYFUNCTION("""COMPUTED_VALUE"""),"John McNeil")</f>
        <v>John McNeil</v>
      </c>
      <c r="D32" s="50" t="str">
        <f ca="1">IFERROR(__xludf.DUMMYFUNCTION("""COMPUTED_VALUE"""),"MBSC")</f>
        <v>MBSC</v>
      </c>
      <c r="E32" s="51">
        <f ca="1">IFERROR(__xludf.DUMMYFUNCTION("""COMPUTED_VALUE"""),42.5)</f>
        <v>42.5</v>
      </c>
    </row>
    <row r="34" spans="1:5" ht="27" customHeight="1">
      <c r="A34" s="91" t="str">
        <f>'Styled Stache'!A2</f>
        <v xml:space="preserve"> Styled Stache</v>
      </c>
      <c r="B34" s="68"/>
      <c r="C34" s="68"/>
      <c r="D34" s="68"/>
      <c r="E34" s="68"/>
    </row>
    <row r="35" spans="1:5" ht="27" customHeight="1">
      <c r="A35" s="41" t="s">
        <v>111</v>
      </c>
      <c r="B35" s="59">
        <f ca="1">IFERROR(__xludf.DUMMYFUNCTION("query('CREATIVE WHISKERINA'!A5:M54, ""select A,B,C, M order by M desc limit 8"")"),403)</f>
        <v>403</v>
      </c>
      <c r="C35" s="23" t="str">
        <f ca="1">IFERROR(__xludf.DUMMYFUNCTION("""COMPUTED_VALUE"""),"Dana Turner")</f>
        <v>Dana Turner</v>
      </c>
      <c r="D35" s="23" t="str">
        <f ca="1">IFERROR(__xludf.DUMMYFUNCTION("""COMPUTED_VALUE"""),"Fresno ")</f>
        <v xml:space="preserve">Fresno </v>
      </c>
      <c r="E35" s="46">
        <f ca="1">IFERROR(__xludf.DUMMYFUNCTION("""COMPUTED_VALUE"""),49.5)</f>
        <v>49.5</v>
      </c>
    </row>
    <row r="36" spans="1:5" ht="27" customHeight="1">
      <c r="A36" s="47" t="s">
        <v>112</v>
      </c>
      <c r="B36" s="60">
        <f ca="1">IFERROR(__xludf.DUMMYFUNCTION("""COMPUTED_VALUE"""),402)</f>
        <v>402</v>
      </c>
      <c r="C36" s="24" t="str">
        <f ca="1">IFERROR(__xludf.DUMMYFUNCTION("""COMPUTED_VALUE"""),"Sarah Dallas")</f>
        <v>Sarah Dallas</v>
      </c>
      <c r="D36" s="24" t="str">
        <f ca="1">IFERROR(__xludf.DUMMYFUNCTION("""COMPUTED_VALUE"""),"Battle Born Beards &amp; Cohorts")</f>
        <v>Battle Born Beards &amp; Cohorts</v>
      </c>
      <c r="E36" s="46">
        <f ca="1">IFERROR(__xludf.DUMMYFUNCTION("""COMPUTED_VALUE"""),47)</f>
        <v>47</v>
      </c>
    </row>
    <row r="37" spans="1:5" ht="27" customHeight="1">
      <c r="A37" s="48" t="s">
        <v>113</v>
      </c>
      <c r="B37" s="60">
        <f ca="1">IFERROR(__xludf.DUMMYFUNCTION("""COMPUTED_VALUE"""),405)</f>
        <v>405</v>
      </c>
      <c r="C37" s="24" t="str">
        <f ca="1">IFERROR(__xludf.DUMMYFUNCTION("""COMPUTED_VALUE"""),"Monica Haydostian")</f>
        <v>Monica Haydostian</v>
      </c>
      <c r="D37" s="24" t="str">
        <f ca="1">IFERROR(__xludf.DUMMYFUNCTION("""COMPUTED_VALUE"""),"Fresno MBC")</f>
        <v>Fresno MBC</v>
      </c>
      <c r="E37" s="46">
        <f ca="1">IFERROR(__xludf.DUMMYFUNCTION("""COMPUTED_VALUE"""),44.5)</f>
        <v>44.5</v>
      </c>
    </row>
    <row r="38" spans="1:5" ht="27" customHeight="1">
      <c r="A38" s="49" t="s">
        <v>114</v>
      </c>
      <c r="B38" s="50">
        <f ca="1">IFERROR(__xludf.DUMMYFUNCTION("""COMPUTED_VALUE"""),404)</f>
        <v>404</v>
      </c>
      <c r="C38" s="50" t="str">
        <f ca="1">IFERROR(__xludf.DUMMYFUNCTION("""COMPUTED_VALUE"""),"Pam Johns")</f>
        <v>Pam Johns</v>
      </c>
      <c r="D38" s="50" t="str">
        <f ca="1">IFERROR(__xludf.DUMMYFUNCTION("""COMPUTED_VALUE"""),"Unknown")</f>
        <v>Unknown</v>
      </c>
      <c r="E38" s="58">
        <f ca="1">IFERROR(__xludf.DUMMYFUNCTION("""COMPUTED_VALUE"""),44)</f>
        <v>44</v>
      </c>
    </row>
    <row r="39" spans="1:5" ht="27" customHeight="1">
      <c r="A39" s="49" t="s">
        <v>114</v>
      </c>
      <c r="B39" s="50">
        <f ca="1">IFERROR(__xludf.DUMMYFUNCTION("""COMPUTED_VALUE"""),401)</f>
        <v>401</v>
      </c>
      <c r="C39" s="50" t="str">
        <f ca="1">IFERROR(__xludf.DUMMYFUNCTION("""COMPUTED_VALUE"""),"Sharon Ramsey")</f>
        <v>Sharon Ramsey</v>
      </c>
      <c r="D39" s="50" t="str">
        <f ca="1">IFERROR(__xludf.DUMMYFUNCTION("""COMPUTED_VALUE"""),"Unknown Beardsmen")</f>
        <v>Unknown Beardsmen</v>
      </c>
      <c r="E39" s="51">
        <f ca="1">IFERROR(__xludf.DUMMYFUNCTION("""COMPUTED_VALUE"""),40.5)</f>
        <v>40.5</v>
      </c>
    </row>
    <row r="40" spans="1:5" ht="27" customHeight="1">
      <c r="A40" s="49" t="s">
        <v>114</v>
      </c>
      <c r="B40" s="50"/>
      <c r="C40" s="50"/>
      <c r="D40" s="50"/>
      <c r="E40" s="51">
        <f ca="1">IFERROR(__xludf.DUMMYFUNCTION("""COMPUTED_VALUE"""),0)</f>
        <v>0</v>
      </c>
    </row>
    <row r="41" spans="1:5" ht="27" customHeight="1">
      <c r="A41" s="49" t="s">
        <v>114</v>
      </c>
      <c r="B41" s="50"/>
      <c r="C41" s="50"/>
      <c r="D41" s="50"/>
      <c r="E41" s="51">
        <f ca="1">IFERROR(__xludf.DUMMYFUNCTION("""COMPUTED_VALUE"""),0)</f>
        <v>0</v>
      </c>
    </row>
    <row r="42" spans="1:5" ht="27" customHeight="1">
      <c r="A42" s="49" t="s">
        <v>114</v>
      </c>
      <c r="B42" s="50"/>
      <c r="C42" s="50"/>
      <c r="D42" s="50"/>
      <c r="E42" s="51">
        <f ca="1">IFERROR(__xludf.DUMMYFUNCTION("""COMPUTED_VALUE"""),0)</f>
        <v>0</v>
      </c>
    </row>
    <row r="43" spans="1:5" ht="27" customHeight="1">
      <c r="A43" s="57"/>
      <c r="B43" s="37"/>
      <c r="C43" s="37"/>
      <c r="D43" s="37"/>
      <c r="E43" s="58"/>
    </row>
    <row r="44" spans="1:5" ht="27" customHeight="1">
      <c r="A44" s="91" t="str">
        <f>'FBSS!'!A2</f>
        <v>Full Beard Styled Stache</v>
      </c>
      <c r="B44" s="68"/>
      <c r="C44" s="68"/>
      <c r="D44" s="68"/>
      <c r="E44" s="68"/>
    </row>
    <row r="45" spans="1:5" ht="27" customHeight="1">
      <c r="A45" s="41" t="s">
        <v>111</v>
      </c>
      <c r="B45" s="59">
        <f ca="1">IFERROR(__xludf.DUMMYFUNCTION("query('FULL BEARD STYLED STACHE'!A5:M53, ""select A,B,C, M order by M desc limit 8"")"),505)</f>
        <v>505</v>
      </c>
      <c r="C45" s="23" t="str">
        <f ca="1">IFERROR(__xludf.DUMMYFUNCTION("""COMPUTED_VALUE"""),"Randy Forsmen")</f>
        <v>Randy Forsmen</v>
      </c>
      <c r="D45" s="23" t="str">
        <f ca="1">IFERROR(__xludf.DUMMYFUNCTION("""COMPUTED_VALUE"""),"MBSC")</f>
        <v>MBSC</v>
      </c>
      <c r="E45" s="46">
        <f ca="1">IFERROR(__xludf.DUMMYFUNCTION("""COMPUTED_VALUE"""),50)</f>
        <v>50</v>
      </c>
    </row>
    <row r="46" spans="1:5" ht="27" customHeight="1">
      <c r="A46" s="47" t="s">
        <v>112</v>
      </c>
      <c r="B46" s="60">
        <f ca="1">IFERROR(__xludf.DUMMYFUNCTION("""COMPUTED_VALUE"""),504)</f>
        <v>504</v>
      </c>
      <c r="C46" s="24" t="str">
        <f ca="1">IFERROR(__xludf.DUMMYFUNCTION("""COMPUTED_VALUE"""),"Carlos Flores")</f>
        <v>Carlos Flores</v>
      </c>
      <c r="D46" s="24" t="str">
        <f ca="1">IFERROR(__xludf.DUMMYFUNCTION("""COMPUTED_VALUE"""),"MBSC")</f>
        <v>MBSC</v>
      </c>
      <c r="E46" s="46">
        <f ca="1">IFERROR(__xludf.DUMMYFUNCTION("""COMPUTED_VALUE"""),45)</f>
        <v>45</v>
      </c>
    </row>
    <row r="47" spans="1:5" ht="27" customHeight="1">
      <c r="A47" s="48" t="s">
        <v>113</v>
      </c>
      <c r="B47" s="60">
        <f ca="1">IFERROR(__xludf.DUMMYFUNCTION("""COMPUTED_VALUE"""),501)</f>
        <v>501</v>
      </c>
      <c r="C47" s="24" t="str">
        <f ca="1">IFERROR(__xludf.DUMMYFUNCTION("""COMPUTED_VALUE"""),"Dennis Johns")</f>
        <v>Dennis Johns</v>
      </c>
      <c r="D47" s="24" t="str">
        <f ca="1">IFERROR(__xludf.DUMMYFUNCTION("""COMPUTED_VALUE"""),"Unknown Beardsmen")</f>
        <v>Unknown Beardsmen</v>
      </c>
      <c r="E47" s="46">
        <f ca="1">IFERROR(__xludf.DUMMYFUNCTION("""COMPUTED_VALUE"""),44)</f>
        <v>44</v>
      </c>
    </row>
    <row r="48" spans="1:5" ht="27" customHeight="1">
      <c r="A48" s="49" t="s">
        <v>114</v>
      </c>
      <c r="B48" s="50">
        <f ca="1">IFERROR(__xludf.DUMMYFUNCTION("""COMPUTED_VALUE"""),503)</f>
        <v>503</v>
      </c>
      <c r="C48" s="50" t="str">
        <f ca="1">IFERROR(__xludf.DUMMYFUNCTION("""COMPUTED_VALUE"""),"John Freitas")</f>
        <v>John Freitas</v>
      </c>
      <c r="D48" s="50" t="str">
        <f ca="1">IFERROR(__xludf.DUMMYFUNCTION("""COMPUTED_VALUE"""),"Beard Mobb")</f>
        <v>Beard Mobb</v>
      </c>
      <c r="E48" s="58">
        <f ca="1">IFERROR(__xludf.DUMMYFUNCTION("""COMPUTED_VALUE"""),43)</f>
        <v>43</v>
      </c>
    </row>
    <row r="49" spans="1:5" ht="27" customHeight="1">
      <c r="A49" s="49" t="s">
        <v>114</v>
      </c>
      <c r="B49" s="50"/>
      <c r="C49" s="50"/>
      <c r="D49" s="50"/>
      <c r="E49" s="51">
        <f ca="1">IFERROR(__xludf.DUMMYFUNCTION("""COMPUTED_VALUE"""),0)</f>
        <v>0</v>
      </c>
    </row>
    <row r="50" spans="1:5" ht="27" customHeight="1">
      <c r="A50" s="49" t="s">
        <v>114</v>
      </c>
      <c r="B50" s="50"/>
      <c r="C50" s="50"/>
      <c r="D50" s="50"/>
      <c r="E50" s="51">
        <f ca="1">IFERROR(__xludf.DUMMYFUNCTION("""COMPUTED_VALUE"""),0)</f>
        <v>0</v>
      </c>
    </row>
    <row r="51" spans="1:5" ht="27" customHeight="1">
      <c r="A51" s="49" t="s">
        <v>114</v>
      </c>
      <c r="B51" s="50"/>
      <c r="C51" s="50"/>
      <c r="D51" s="50"/>
      <c r="E51" s="51">
        <f ca="1">IFERROR(__xludf.DUMMYFUNCTION("""COMPUTED_VALUE"""),0)</f>
        <v>0</v>
      </c>
    </row>
    <row r="52" spans="1:5" ht="27" customHeight="1">
      <c r="A52" s="49" t="s">
        <v>114</v>
      </c>
      <c r="B52" s="50"/>
      <c r="C52" s="50"/>
      <c r="D52" s="50"/>
      <c r="E52" s="51">
        <f ca="1">IFERROR(__xludf.DUMMYFUNCTION("""COMPUTED_VALUE"""),0)</f>
        <v>0</v>
      </c>
    </row>
    <row r="53" spans="1:5" ht="27" customHeight="1">
      <c r="A53" s="57"/>
      <c r="B53" s="37"/>
      <c r="C53" s="37"/>
      <c r="D53" s="37"/>
      <c r="E53" s="58"/>
    </row>
    <row r="54" spans="1:5" ht="27" customHeight="1">
      <c r="A54" s="91" t="str">
        <f>'0-4'!A2</f>
        <v>Full Beard 0-4</v>
      </c>
      <c r="B54" s="68"/>
      <c r="C54" s="68"/>
      <c r="D54" s="68"/>
      <c r="E54" s="68"/>
    </row>
    <row r="55" spans="1:5" ht="27" customHeight="1">
      <c r="A55" s="41" t="s">
        <v>111</v>
      </c>
      <c r="B55" s="59">
        <f ca="1">IFERROR(__xludf.DUMMYFUNCTION("query('FULL BEARD OVER 12'!A5:M53, ""select A,B,C, M order by M desc limit 8"")"),601)</f>
        <v>601</v>
      </c>
      <c r="C55" s="23" t="str">
        <f ca="1">IFERROR(__xludf.DUMMYFUNCTION("""COMPUTED_VALUE"""),"Matt Sherwood")</f>
        <v>Matt Sherwood</v>
      </c>
      <c r="D55" s="23" t="str">
        <f ca="1">IFERROR(__xludf.DUMMYFUNCTION("""COMPUTED_VALUE"""),"Rocky Mountain")</f>
        <v>Rocky Mountain</v>
      </c>
      <c r="E55" s="46">
        <f ca="1">IFERROR(__xludf.DUMMYFUNCTION("""COMPUTED_VALUE"""),49.5)</f>
        <v>49.5</v>
      </c>
    </row>
    <row r="56" spans="1:5" ht="27" customHeight="1">
      <c r="A56" s="47" t="s">
        <v>112</v>
      </c>
      <c r="B56" s="60">
        <f ca="1">IFERROR(__xludf.DUMMYFUNCTION("""COMPUTED_VALUE"""),604)</f>
        <v>604</v>
      </c>
      <c r="C56" s="24" t="str">
        <f ca="1">IFERROR(__xludf.DUMMYFUNCTION("""COMPUTED_VALUE"""),"Justin Miller")</f>
        <v>Justin Miller</v>
      </c>
      <c r="D56" s="24"/>
      <c r="E56" s="46">
        <f ca="1">IFERROR(__xludf.DUMMYFUNCTION("""COMPUTED_VALUE"""),48)</f>
        <v>48</v>
      </c>
    </row>
    <row r="57" spans="1:5" ht="27" customHeight="1">
      <c r="A57" s="48" t="s">
        <v>113</v>
      </c>
      <c r="B57" s="60"/>
      <c r="C57" s="24"/>
      <c r="D57" s="24"/>
      <c r="E57" s="46">
        <f ca="1">IFERROR(__xludf.DUMMYFUNCTION("""COMPUTED_VALUE"""),0)</f>
        <v>0</v>
      </c>
    </row>
    <row r="58" spans="1:5" ht="27" customHeight="1">
      <c r="A58" s="49" t="s">
        <v>114</v>
      </c>
      <c r="B58" s="50"/>
      <c r="C58" s="50"/>
      <c r="D58" s="50"/>
      <c r="E58" s="58">
        <f ca="1">IFERROR(__xludf.DUMMYFUNCTION("""COMPUTED_VALUE"""),0)</f>
        <v>0</v>
      </c>
    </row>
    <row r="59" spans="1:5" ht="27" customHeight="1">
      <c r="A59" s="49" t="s">
        <v>114</v>
      </c>
      <c r="B59" s="50"/>
      <c r="C59" s="50"/>
      <c r="D59" s="50"/>
      <c r="E59" s="51">
        <f ca="1">IFERROR(__xludf.DUMMYFUNCTION("""COMPUTED_VALUE"""),0)</f>
        <v>0</v>
      </c>
    </row>
    <row r="60" spans="1:5" ht="27" customHeight="1">
      <c r="A60" s="49" t="s">
        <v>114</v>
      </c>
      <c r="B60" s="50"/>
      <c r="C60" s="50"/>
      <c r="D60" s="50"/>
      <c r="E60" s="51">
        <f ca="1">IFERROR(__xludf.DUMMYFUNCTION("""COMPUTED_VALUE"""),0)</f>
        <v>0</v>
      </c>
    </row>
    <row r="61" spans="1:5" ht="27" customHeight="1">
      <c r="A61" s="49" t="s">
        <v>114</v>
      </c>
      <c r="B61" s="50"/>
      <c r="C61" s="50"/>
      <c r="D61" s="50"/>
      <c r="E61" s="51">
        <f ca="1">IFERROR(__xludf.DUMMYFUNCTION("""COMPUTED_VALUE"""),0)</f>
        <v>0</v>
      </c>
    </row>
    <row r="62" spans="1:5" ht="27" customHeight="1">
      <c r="A62" s="49" t="s">
        <v>114</v>
      </c>
      <c r="B62" s="50"/>
      <c r="C62" s="50"/>
      <c r="D62" s="50"/>
      <c r="E62" s="51">
        <f ca="1">IFERROR(__xludf.DUMMYFUNCTION("""COMPUTED_VALUE"""),0)</f>
        <v>0</v>
      </c>
    </row>
    <row r="63" spans="1:5" ht="27" customHeight="1">
      <c r="A63" s="57"/>
      <c r="B63" s="37"/>
      <c r="C63" s="37"/>
      <c r="D63" s="37"/>
      <c r="E63" s="58"/>
    </row>
    <row r="64" spans="1:5" ht="27" customHeight="1">
      <c r="A64" s="91" t="str">
        <f>'4-8'!A2</f>
        <v>Full Beard 4 - 8</v>
      </c>
      <c r="B64" s="68"/>
      <c r="C64" s="68"/>
      <c r="D64" s="68"/>
      <c r="E64" s="68"/>
    </row>
    <row r="65" spans="1:5" ht="27" customHeight="1">
      <c r="A65" s="41" t="s">
        <v>111</v>
      </c>
      <c r="B65" s="59">
        <f ca="1">IFERROR(__xludf.DUMMYFUNCTION("query('FULL BEARD UNDER 12'!A5:M54, ""select A,B,C, M order by M desc limit 8"")"),702)</f>
        <v>702</v>
      </c>
      <c r="C65" s="59" t="str">
        <f ca="1">IFERROR(__xludf.DUMMYFUNCTION("""COMPUTED_VALUE"""),"David Gloeckner")</f>
        <v>David Gloeckner</v>
      </c>
      <c r="D65" s="59" t="str">
        <f ca="1">IFERROR(__xludf.DUMMYFUNCTION("""COMPUTED_VALUE"""),"NorCal BV")</f>
        <v>NorCal BV</v>
      </c>
      <c r="E65" s="46">
        <f ca="1">IFERROR(__xludf.DUMMYFUNCTION("""COMPUTED_VALUE"""),47.5)</f>
        <v>47.5</v>
      </c>
    </row>
    <row r="66" spans="1:5" ht="27" customHeight="1">
      <c r="A66" s="47" t="s">
        <v>112</v>
      </c>
      <c r="B66" s="60">
        <f ca="1">IFERROR(__xludf.DUMMYFUNCTION("""COMPUTED_VALUE"""),701)</f>
        <v>701</v>
      </c>
      <c r="C66" s="60" t="str">
        <f ca="1">IFERROR(__xludf.DUMMYFUNCTION("""COMPUTED_VALUE"""),"Tylor Grady")</f>
        <v>Tylor Grady</v>
      </c>
      <c r="D66" s="60" t="str">
        <f ca="1">IFERROR(__xludf.DUMMYFUNCTION("""COMPUTED_VALUE"""),"FresnoMBC")</f>
        <v>FresnoMBC</v>
      </c>
      <c r="E66" s="46">
        <f ca="1">IFERROR(__xludf.DUMMYFUNCTION("""COMPUTED_VALUE"""),47)</f>
        <v>47</v>
      </c>
    </row>
    <row r="67" spans="1:5" ht="27" customHeight="1">
      <c r="A67" s="61" t="s">
        <v>113</v>
      </c>
      <c r="B67" s="24">
        <f ca="1">IFERROR(__xludf.DUMMYFUNCTION("""COMPUTED_VALUE"""),703)</f>
        <v>703</v>
      </c>
      <c r="C67" s="24" t="str">
        <f ca="1">IFERROR(__xludf.DUMMYFUNCTION("""COMPUTED_VALUE"""),"Aaron Wilson")</f>
        <v>Aaron Wilson</v>
      </c>
      <c r="D67" s="24" t="str">
        <f ca="1">IFERROR(__xludf.DUMMYFUNCTION("""COMPUTED_VALUE"""),"Beards By the Bay")</f>
        <v>Beards By the Bay</v>
      </c>
      <c r="E67" s="46">
        <f ca="1">IFERROR(__xludf.DUMMYFUNCTION("""COMPUTED_VALUE"""),46.5)</f>
        <v>46.5</v>
      </c>
    </row>
    <row r="68" spans="1:5" ht="27" customHeight="1">
      <c r="A68" s="49" t="s">
        <v>114</v>
      </c>
      <c r="B68" s="50">
        <f ca="1">IFERROR(__xludf.DUMMYFUNCTION("""COMPUTED_VALUE"""),602)</f>
        <v>602</v>
      </c>
      <c r="C68" s="50" t="str">
        <f ca="1">IFERROR(__xludf.DUMMYFUNCTION("""COMPUTED_VALUE"""),"Gerry McNerney")</f>
        <v>Gerry McNerney</v>
      </c>
      <c r="D68" s="50"/>
      <c r="E68" s="58">
        <f ca="1">IFERROR(__xludf.DUMMYFUNCTION("""COMPUTED_VALUE"""),41.5)</f>
        <v>41.5</v>
      </c>
    </row>
    <row r="69" spans="1:5" ht="27" customHeight="1">
      <c r="A69" s="49" t="s">
        <v>114</v>
      </c>
      <c r="B69" s="62">
        <f ca="1">IFERROR(__xludf.DUMMYFUNCTION("""COMPUTED_VALUE"""),704)</f>
        <v>704</v>
      </c>
      <c r="C69" s="62" t="str">
        <f ca="1">IFERROR(__xludf.DUMMYFUNCTION("""COMPUTED_VALUE"""),"Shaggy")</f>
        <v>Shaggy</v>
      </c>
      <c r="D69" s="62" t="str">
        <f ca="1">IFERROR(__xludf.DUMMYFUNCTION("""COMPUTED_VALUE"""),"MBSC")</f>
        <v>MBSC</v>
      </c>
      <c r="E69" s="58">
        <f ca="1">IFERROR(__xludf.DUMMYFUNCTION("""COMPUTED_VALUE"""),41)</f>
        <v>41</v>
      </c>
    </row>
    <row r="70" spans="1:5" ht="27" customHeight="1">
      <c r="A70" s="49" t="s">
        <v>114</v>
      </c>
      <c r="B70" s="50">
        <f ca="1">IFERROR(__xludf.DUMMYFUNCTION("""COMPUTED_VALUE"""),705)</f>
        <v>705</v>
      </c>
      <c r="C70" s="50" t="str">
        <f ca="1">IFERROR(__xludf.DUMMYFUNCTION("""COMPUTED_VALUE"""),"Joe McCabe")</f>
        <v>Joe McCabe</v>
      </c>
      <c r="D70" s="50"/>
      <c r="E70" s="51">
        <f ca="1">IFERROR(__xludf.DUMMYFUNCTION("""COMPUTED_VALUE"""),40.5)</f>
        <v>40.5</v>
      </c>
    </row>
    <row r="71" spans="1:5" ht="27" customHeight="1">
      <c r="A71" s="49" t="s">
        <v>114</v>
      </c>
      <c r="B71" s="50">
        <f ca="1">IFERROR(__xludf.DUMMYFUNCTION("""COMPUTED_VALUE"""),707)</f>
        <v>707</v>
      </c>
      <c r="C71" s="50" t="str">
        <f ca="1">IFERROR(__xludf.DUMMYFUNCTION("""COMPUTED_VALUE"""),"Rose Geil")</f>
        <v>Rose Geil</v>
      </c>
      <c r="D71" s="50"/>
      <c r="E71" s="51">
        <f ca="1">IFERROR(__xludf.DUMMYFUNCTION("""COMPUTED_VALUE"""),40.5)</f>
        <v>40.5</v>
      </c>
    </row>
    <row r="72" spans="1:5" ht="27" customHeight="1">
      <c r="A72" s="49" t="s">
        <v>114</v>
      </c>
      <c r="B72" s="50">
        <f ca="1">IFERROR(__xludf.DUMMYFUNCTION("""COMPUTED_VALUE"""),706)</f>
        <v>706</v>
      </c>
      <c r="C72" s="50" t="str">
        <f ca="1">IFERROR(__xludf.DUMMYFUNCTION("""COMPUTED_VALUE"""),"Neil Hull")</f>
        <v>Neil Hull</v>
      </c>
      <c r="D72" s="50"/>
      <c r="E72" s="51">
        <f ca="1">IFERROR(__xludf.DUMMYFUNCTION("""COMPUTED_VALUE"""),39.5)</f>
        <v>39.5</v>
      </c>
    </row>
    <row r="73" spans="1:5" ht="27" customHeight="1">
      <c r="A73" s="57"/>
      <c r="B73" s="37"/>
      <c r="C73" s="37"/>
      <c r="D73" s="37"/>
      <c r="E73" s="58"/>
    </row>
    <row r="74" spans="1:5" ht="27" customHeight="1">
      <c r="A74" s="91" t="str">
        <f>'8-12'!A2</f>
        <v>Full Beard 8-12</v>
      </c>
      <c r="B74" s="68"/>
      <c r="C74" s="68"/>
      <c r="D74" s="68"/>
      <c r="E74" s="68"/>
    </row>
    <row r="75" spans="1:5" ht="27" customHeight="1">
      <c r="A75" s="41" t="s">
        <v>111</v>
      </c>
      <c r="B75" s="59">
        <f ca="1">IFERROR(__xludf.DUMMYFUNCTION("query('BIZ BEARD'!A5:M54, ""select A,B,C, M order by M desc limit 8"")"),802)</f>
        <v>802</v>
      </c>
      <c r="C75" s="23" t="str">
        <f ca="1">IFERROR(__xludf.DUMMYFUNCTION("""COMPUTED_VALUE"""),"Kelly Jennings")</f>
        <v>Kelly Jennings</v>
      </c>
      <c r="D75" s="23" t="str">
        <f ca="1">IFERROR(__xludf.DUMMYFUNCTION("""COMPUTED_VALUE"""),"Fresno")</f>
        <v>Fresno</v>
      </c>
      <c r="E75" s="46">
        <f ca="1">IFERROR(__xludf.DUMMYFUNCTION("""COMPUTED_VALUE"""),47.5)</f>
        <v>47.5</v>
      </c>
    </row>
    <row r="76" spans="1:5" ht="27" customHeight="1">
      <c r="A76" s="47" t="s">
        <v>112</v>
      </c>
      <c r="B76" s="60">
        <f ca="1">IFERROR(__xludf.DUMMYFUNCTION("""COMPUTED_VALUE"""),808)</f>
        <v>808</v>
      </c>
      <c r="C76" s="24" t="str">
        <f ca="1">IFERROR(__xludf.DUMMYFUNCTION("""COMPUTED_VALUE"""),"Joel Rodriguez")</f>
        <v>Joel Rodriguez</v>
      </c>
      <c r="D76" s="24" t="str">
        <f ca="1">IFERROR(__xludf.DUMMYFUNCTION("""COMPUTED_VALUE"""),"MBSC")</f>
        <v>MBSC</v>
      </c>
      <c r="E76" s="46">
        <f ca="1">IFERROR(__xludf.DUMMYFUNCTION("""COMPUTED_VALUE"""),47)</f>
        <v>47</v>
      </c>
    </row>
    <row r="77" spans="1:5" ht="27" customHeight="1">
      <c r="A77" s="48" t="s">
        <v>113</v>
      </c>
      <c r="B77" s="60">
        <f ca="1">IFERROR(__xludf.DUMMYFUNCTION("""COMPUTED_VALUE"""),809)</f>
        <v>809</v>
      </c>
      <c r="C77" s="24" t="str">
        <f ca="1">IFERROR(__xludf.DUMMYFUNCTION("""COMPUTED_VALUE"""),"Jake Barngraff")</f>
        <v>Jake Barngraff</v>
      </c>
      <c r="D77" s="24" t="str">
        <f ca="1">IFERROR(__xludf.DUMMYFUNCTION("""COMPUTED_VALUE"""),"MBSC")</f>
        <v>MBSC</v>
      </c>
      <c r="E77" s="46">
        <f ca="1">IFERROR(__xludf.DUMMYFUNCTION("""COMPUTED_VALUE"""),43.5)</f>
        <v>43.5</v>
      </c>
    </row>
    <row r="78" spans="1:5" ht="27" customHeight="1">
      <c r="A78" s="49" t="s">
        <v>114</v>
      </c>
      <c r="B78" s="50">
        <f ca="1">IFERROR(__xludf.DUMMYFUNCTION("""COMPUTED_VALUE"""),801)</f>
        <v>801</v>
      </c>
      <c r="C78" s="50" t="str">
        <f ca="1">IFERROR(__xludf.DUMMYFUNCTION("""COMPUTED_VALUE"""),"Tyler Johns")</f>
        <v>Tyler Johns</v>
      </c>
      <c r="D78" s="50" t="str">
        <f ca="1">IFERROR(__xludf.DUMMYFUNCTION("""COMPUTED_VALUE"""),"Unknown Beardsmen")</f>
        <v>Unknown Beardsmen</v>
      </c>
      <c r="E78" s="58">
        <f ca="1">IFERROR(__xludf.DUMMYFUNCTION("""COMPUTED_VALUE"""),42)</f>
        <v>42</v>
      </c>
    </row>
    <row r="79" spans="1:5" ht="27" customHeight="1">
      <c r="A79" s="49" t="s">
        <v>114</v>
      </c>
      <c r="B79" s="50">
        <f ca="1">IFERROR(__xludf.DUMMYFUNCTION("""COMPUTED_VALUE"""),803)</f>
        <v>803</v>
      </c>
      <c r="C79" s="50" t="str">
        <f ca="1">IFERROR(__xludf.DUMMYFUNCTION("""COMPUTED_VALUE"""),"Michael Cobb")</f>
        <v>Michael Cobb</v>
      </c>
      <c r="D79" s="50"/>
      <c r="E79" s="51">
        <f ca="1">IFERROR(__xludf.DUMMYFUNCTION("""COMPUTED_VALUE"""),41.5)</f>
        <v>41.5</v>
      </c>
    </row>
    <row r="80" spans="1:5" ht="27" customHeight="1">
      <c r="A80" s="49" t="s">
        <v>114</v>
      </c>
      <c r="B80" s="50">
        <f ca="1">IFERROR(__xludf.DUMMYFUNCTION("""COMPUTED_VALUE"""),804)</f>
        <v>804</v>
      </c>
      <c r="C80" s="50" t="str">
        <f ca="1">IFERROR(__xludf.DUMMYFUNCTION("""COMPUTED_VALUE"""),"Jose Casanova")</f>
        <v>Jose Casanova</v>
      </c>
      <c r="D80" s="50" t="str">
        <f ca="1">IFERROR(__xludf.DUMMYFUNCTION("""COMPUTED_VALUE"""),"BV")</f>
        <v>BV</v>
      </c>
      <c r="E80" s="51">
        <f ca="1">IFERROR(__xludf.DUMMYFUNCTION("""COMPUTED_VALUE"""),41.5)</f>
        <v>41.5</v>
      </c>
    </row>
    <row r="81" spans="1:5" ht="27" customHeight="1">
      <c r="A81" s="49" t="s">
        <v>114</v>
      </c>
      <c r="B81" s="50">
        <f ca="1">IFERROR(__xludf.DUMMYFUNCTION("""COMPUTED_VALUE"""),806)</f>
        <v>806</v>
      </c>
      <c r="C81" s="50" t="str">
        <f ca="1">IFERROR(__xludf.DUMMYFUNCTION("""COMPUTED_VALUE"""),"Stephen Favarger")</f>
        <v>Stephen Favarger</v>
      </c>
      <c r="D81" s="50"/>
      <c r="E81" s="51">
        <f ca="1">IFERROR(__xludf.DUMMYFUNCTION("""COMPUTED_VALUE"""),41.5)</f>
        <v>41.5</v>
      </c>
    </row>
    <row r="82" spans="1:5" ht="27" customHeight="1">
      <c r="A82" s="49" t="s">
        <v>114</v>
      </c>
      <c r="B82" s="50">
        <f ca="1">IFERROR(__xludf.DUMMYFUNCTION("""COMPUTED_VALUE"""),805)</f>
        <v>805</v>
      </c>
      <c r="C82" s="50" t="str">
        <f ca="1">IFERROR(__xludf.DUMMYFUNCTION("""COMPUTED_VALUE"""),"Aaron Naden")</f>
        <v>Aaron Naden</v>
      </c>
      <c r="D82" s="50" t="str">
        <f ca="1">IFERROR(__xludf.DUMMYFUNCTION("""COMPUTED_VALUE"""),"Bearded Oregon")</f>
        <v>Bearded Oregon</v>
      </c>
      <c r="E82" s="51">
        <f ca="1">IFERROR(__xludf.DUMMYFUNCTION("""COMPUTED_VALUE"""),40)</f>
        <v>40</v>
      </c>
    </row>
    <row r="83" spans="1:5" ht="27" customHeight="1">
      <c r="A83" s="57"/>
      <c r="B83" s="37"/>
      <c r="C83" s="37"/>
      <c r="D83" s="37"/>
      <c r="E83" s="58"/>
    </row>
    <row r="84" spans="1:5" ht="27" customHeight="1">
      <c r="A84" s="91" t="str">
        <f>'over 12!'!A2</f>
        <v>Full Beard over 12</v>
      </c>
      <c r="B84" s="68"/>
      <c r="C84" s="68"/>
      <c r="D84" s="68"/>
      <c r="E84" s="68"/>
    </row>
    <row r="85" spans="1:5" ht="27" customHeight="1">
      <c r="A85" s="41" t="s">
        <v>111</v>
      </c>
      <c r="B85" s="59">
        <f ca="1">IFERROR(__xludf.DUMMYFUNCTION("query('STYLED STACHE'!A5:M54, ""select A,B,C, M order by M desc limit 8"")"),903)</f>
        <v>903</v>
      </c>
      <c r="C85" s="23" t="str">
        <f ca="1">IFERROR(__xludf.DUMMYFUNCTION("""COMPUTED_VALUE"""),"Richard ""The Golden Rain from Spain"" Rios")</f>
        <v>Richard "The Golden Rain from Spain" Rios</v>
      </c>
      <c r="D85" s="23" t="str">
        <f ca="1">IFERROR(__xludf.DUMMYFUNCTION("""COMPUTED_VALUE"""),"MBSC")</f>
        <v>MBSC</v>
      </c>
      <c r="E85" s="46">
        <f ca="1">IFERROR(__xludf.DUMMYFUNCTION("""COMPUTED_VALUE"""),49.5)</f>
        <v>49.5</v>
      </c>
    </row>
    <row r="86" spans="1:5" ht="27" customHeight="1">
      <c r="A86" s="47" t="s">
        <v>112</v>
      </c>
      <c r="B86" s="60">
        <f ca="1">IFERROR(__xludf.DUMMYFUNCTION("""COMPUTED_VALUE"""),902)</f>
        <v>902</v>
      </c>
      <c r="C86" s="24" t="str">
        <f ca="1">IFERROR(__xludf.DUMMYFUNCTION("""COMPUTED_VALUE"""),"Andrew Cole")</f>
        <v>Andrew Cole</v>
      </c>
      <c r="D86" s="24" t="str">
        <f ca="1">IFERROR(__xludf.DUMMYFUNCTION("""COMPUTED_VALUE"""),"Vancouver Facial Hair Club")</f>
        <v>Vancouver Facial Hair Club</v>
      </c>
      <c r="E86" s="46">
        <f ca="1">IFERROR(__xludf.DUMMYFUNCTION("""COMPUTED_VALUE"""),48)</f>
        <v>48</v>
      </c>
    </row>
    <row r="87" spans="1:5" ht="27" customHeight="1">
      <c r="A87" s="48" t="s">
        <v>113</v>
      </c>
      <c r="B87" s="60">
        <f ca="1">IFERROR(__xludf.DUMMYFUNCTION("""COMPUTED_VALUE"""),901)</f>
        <v>901</v>
      </c>
      <c r="C87" s="24" t="str">
        <f ca="1">IFERROR(__xludf.DUMMYFUNCTION("""COMPUTED_VALUE"""),"Josh Lacayo")</f>
        <v>Josh Lacayo</v>
      </c>
      <c r="D87" s="24" t="str">
        <f ca="1">IFERROR(__xludf.DUMMYFUNCTION("""COMPUTED_VALUE"""),"Beards By the Bay")</f>
        <v>Beards By the Bay</v>
      </c>
      <c r="E87" s="46">
        <f ca="1">IFERROR(__xludf.DUMMYFUNCTION("""COMPUTED_VALUE"""),44)</f>
        <v>44</v>
      </c>
    </row>
    <row r="88" spans="1:5" ht="27" customHeight="1">
      <c r="A88" s="49" t="s">
        <v>114</v>
      </c>
      <c r="B88" s="50">
        <f ca="1">IFERROR(__xludf.DUMMYFUNCTION("""COMPUTED_VALUE"""),904)</f>
        <v>904</v>
      </c>
      <c r="C88" s="50" t="str">
        <f ca="1">IFERROR(__xludf.DUMMYFUNCTION("""COMPUTED_VALUE"""),"Jean-Pierre Beaujolais")</f>
        <v>Jean-Pierre Beaujolais</v>
      </c>
      <c r="D88" s="50" t="str">
        <f ca="1">IFERROR(__xludf.DUMMYFUNCTION("""COMPUTED_VALUE"""),"Emerald City Beardos")</f>
        <v>Emerald City Beardos</v>
      </c>
      <c r="E88" s="58">
        <f ca="1">IFERROR(__xludf.DUMMYFUNCTION("""COMPUTED_VALUE"""),42.5)</f>
        <v>42.5</v>
      </c>
    </row>
    <row r="89" spans="1:5" ht="27" customHeight="1">
      <c r="A89" s="49" t="s">
        <v>114</v>
      </c>
      <c r="B89" s="50">
        <f ca="1">IFERROR(__xludf.DUMMYFUNCTION("""COMPUTED_VALUE"""),905)</f>
        <v>905</v>
      </c>
      <c r="C89" s="50" t="str">
        <f ca="1">IFERROR(__xludf.DUMMYFUNCTION("""COMPUTED_VALUE"""),"David Oren")</f>
        <v>David Oren</v>
      </c>
      <c r="D89" s="50" t="str">
        <f ca="1">IFERROR(__xludf.DUMMYFUNCTION("""COMPUTED_VALUE"""),"Hampton Roads")</f>
        <v>Hampton Roads</v>
      </c>
      <c r="E89" s="51">
        <f ca="1">IFERROR(__xludf.DUMMYFUNCTION("""COMPUTED_VALUE"""),41.5)</f>
        <v>41.5</v>
      </c>
    </row>
    <row r="90" spans="1:5" ht="27" customHeight="1">
      <c r="A90" s="49" t="s">
        <v>114</v>
      </c>
      <c r="B90" s="50"/>
      <c r="C90" s="50"/>
      <c r="D90" s="50"/>
      <c r="E90" s="51">
        <f ca="1">IFERROR(__xludf.DUMMYFUNCTION("""COMPUTED_VALUE"""),0)</f>
        <v>0</v>
      </c>
    </row>
    <row r="91" spans="1:5" ht="27" customHeight="1">
      <c r="A91" s="49" t="s">
        <v>114</v>
      </c>
      <c r="B91" s="50"/>
      <c r="C91" s="50"/>
      <c r="D91" s="50"/>
      <c r="E91" s="51">
        <f ca="1">IFERROR(__xludf.DUMMYFUNCTION("""COMPUTED_VALUE"""),0)</f>
        <v>0</v>
      </c>
    </row>
    <row r="92" spans="1:5" ht="27" customHeight="1">
      <c r="A92" s="49" t="s">
        <v>114</v>
      </c>
      <c r="B92" s="50"/>
      <c r="C92" s="50"/>
      <c r="D92" s="50"/>
      <c r="E92" s="51">
        <f ca="1">IFERROR(__xludf.DUMMYFUNCTION("""COMPUTED_VALUE"""),0)</f>
        <v>0</v>
      </c>
    </row>
    <row r="93" spans="1:5" ht="27" customHeight="1">
      <c r="A93" s="57"/>
      <c r="B93" s="37"/>
      <c r="C93" s="37"/>
      <c r="D93" s="37"/>
      <c r="E93" s="58"/>
    </row>
    <row r="94" spans="1:5" ht="27" customHeight="1">
      <c r="A94" s="91" t="str">
        <f>Creative!A2</f>
        <v>Whiskerina Creative</v>
      </c>
      <c r="B94" s="68"/>
      <c r="C94" s="68"/>
      <c r="D94" s="68"/>
      <c r="E94" s="68"/>
    </row>
    <row r="95" spans="1:5" ht="27" customHeight="1">
      <c r="A95" s="41" t="s">
        <v>111</v>
      </c>
      <c r="B95" s="59">
        <f ca="1">IFERROR(__xludf.DUMMYFUNCTION("query('PARTIAL BEARD FREESTYLE'!A5:M54, ""select A,B,C, M order by M desc limit 8"")"),1003)</f>
        <v>1003</v>
      </c>
      <c r="C95" s="23" t="str">
        <f ca="1">IFERROR(__xludf.DUMMYFUNCTION("""COMPUTED_VALUE"""),"Blaine Reeves")</f>
        <v>Blaine Reeves</v>
      </c>
      <c r="D95" s="23" t="str">
        <f ca="1">IFERROR(__xludf.DUMMYFUNCTION("""COMPUTED_VALUE"""),"MBSC")</f>
        <v>MBSC</v>
      </c>
      <c r="E95" s="46">
        <f ca="1">IFERROR(__xludf.DUMMYFUNCTION("""COMPUTED_VALUE"""),48)</f>
        <v>48</v>
      </c>
    </row>
    <row r="96" spans="1:5" ht="27" customHeight="1">
      <c r="A96" s="47" t="s">
        <v>112</v>
      </c>
      <c r="B96" s="60">
        <f ca="1">IFERROR(__xludf.DUMMYFUNCTION("""COMPUTED_VALUE"""),1001)</f>
        <v>1001</v>
      </c>
      <c r="C96" s="24" t="str">
        <f ca="1">IFERROR(__xludf.DUMMYFUNCTION("""COMPUTED_VALUE"""),"Allen Eckert")</f>
        <v>Allen Eckert</v>
      </c>
      <c r="D96" s="24" t="str">
        <f ca="1">IFERROR(__xludf.DUMMYFUNCTION("""COMPUTED_VALUE"""),"Working Class Beards")</f>
        <v>Working Class Beards</v>
      </c>
      <c r="E96" s="46">
        <f ca="1">IFERROR(__xludf.DUMMYFUNCTION("""COMPUTED_VALUE"""),45)</f>
        <v>45</v>
      </c>
    </row>
    <row r="97" spans="1:5" ht="27" customHeight="1">
      <c r="A97" s="48" t="s">
        <v>113</v>
      </c>
      <c r="B97" s="60">
        <f ca="1">IFERROR(__xludf.DUMMYFUNCTION("""COMPUTED_VALUE"""),1002)</f>
        <v>1002</v>
      </c>
      <c r="C97" s="24" t="str">
        <f ca="1">IFERROR(__xludf.DUMMYFUNCTION("""COMPUTED_VALUE"""),"Casey Holbrook")</f>
        <v>Casey Holbrook</v>
      </c>
      <c r="D97" s="24" t="str">
        <f ca="1">IFERROR(__xludf.DUMMYFUNCTION("""COMPUTED_VALUE"""),"Beards By the Bay")</f>
        <v>Beards By the Bay</v>
      </c>
      <c r="E97" s="46">
        <f ca="1">IFERROR(__xludf.DUMMYFUNCTION("""COMPUTED_VALUE"""),44.5)</f>
        <v>44.5</v>
      </c>
    </row>
    <row r="98" spans="1:5" ht="27" customHeight="1">
      <c r="A98" s="49" t="s">
        <v>114</v>
      </c>
      <c r="B98" s="50">
        <f ca="1">IFERROR(__xludf.DUMMYFUNCTION("""COMPUTED_VALUE"""),1004)</f>
        <v>1004</v>
      </c>
      <c r="C98" s="50" t="str">
        <f ca="1">IFERROR(__xludf.DUMMYFUNCTION("""COMPUTED_VALUE"""),"Baby J")</f>
        <v>Baby J</v>
      </c>
      <c r="D98" s="50" t="str">
        <f ca="1">IFERROR(__xludf.DUMMYFUNCTION("""COMPUTED_VALUE"""),"MBSC")</f>
        <v>MBSC</v>
      </c>
      <c r="E98" s="58">
        <f ca="1">IFERROR(__xludf.DUMMYFUNCTION("""COMPUTED_VALUE"""),44)</f>
        <v>44</v>
      </c>
    </row>
    <row r="99" spans="1:5" ht="27" customHeight="1">
      <c r="A99" s="49" t="s">
        <v>114</v>
      </c>
      <c r="B99" s="50">
        <f ca="1">IFERROR(__xludf.DUMMYFUNCTION("""COMPUTED_VALUE"""),1005)</f>
        <v>1005</v>
      </c>
      <c r="C99" s="50" t="str">
        <f ca="1">IFERROR(__xludf.DUMMYFUNCTION("""COMPUTED_VALUE"""),"Gytis Skuncikas")</f>
        <v>Gytis Skuncikas</v>
      </c>
      <c r="D99" s="50" t="str">
        <f ca="1">IFERROR(__xludf.DUMMYFUNCTION("""COMPUTED_VALUE"""),"Lithuania Barzda")</f>
        <v>Lithuania Barzda</v>
      </c>
      <c r="E99" s="51">
        <f ca="1">IFERROR(__xludf.DUMMYFUNCTION("""COMPUTED_VALUE"""),44)</f>
        <v>44</v>
      </c>
    </row>
    <row r="100" spans="1:5" ht="27" customHeight="1">
      <c r="A100" s="49" t="s">
        <v>114</v>
      </c>
      <c r="B100" s="50"/>
      <c r="C100" s="50"/>
      <c r="D100" s="50"/>
      <c r="E100" s="51">
        <f ca="1">IFERROR(__xludf.DUMMYFUNCTION("""COMPUTED_VALUE"""),0)</f>
        <v>0</v>
      </c>
    </row>
    <row r="101" spans="1:5" ht="27" customHeight="1">
      <c r="A101" s="49" t="s">
        <v>114</v>
      </c>
      <c r="B101" s="50"/>
      <c r="C101" s="50"/>
      <c r="D101" s="50"/>
      <c r="E101" s="51">
        <f ca="1">IFERROR(__xludf.DUMMYFUNCTION("""COMPUTED_VALUE"""),0)</f>
        <v>0</v>
      </c>
    </row>
    <row r="102" spans="1:5" ht="27" customHeight="1">
      <c r="A102" s="49" t="s">
        <v>114</v>
      </c>
      <c r="B102" s="50"/>
      <c r="C102" s="50"/>
      <c r="D102" s="50"/>
      <c r="E102" s="51">
        <f ca="1">IFERROR(__xludf.DUMMYFUNCTION("""COMPUTED_VALUE"""),0)</f>
        <v>0</v>
      </c>
    </row>
    <row r="103" spans="1:5" ht="27" customHeight="1">
      <c r="A103" s="57"/>
      <c r="B103" s="37"/>
      <c r="C103" s="37"/>
      <c r="D103" s="37"/>
      <c r="E103" s="58"/>
    </row>
    <row r="104" spans="1:5" ht="27" customHeight="1">
      <c r="A104" s="91" t="str">
        <f>Realistic!A2</f>
        <v>Whiskerina Realistic</v>
      </c>
      <c r="B104" s="68"/>
      <c r="C104" s="68"/>
      <c r="D104" s="68"/>
      <c r="E104" s="68"/>
    </row>
    <row r="105" spans="1:5" ht="27" customHeight="1">
      <c r="A105" s="41" t="s">
        <v>111</v>
      </c>
      <c r="B105" s="59">
        <f ca="1">IFERROR(__xludf.DUMMYFUNCTION("query('NATURAL STACHE'!A5:M54, ""select A,B,C, M order by M desc limit 8"")"),1101)</f>
        <v>1101</v>
      </c>
      <c r="C105" s="23" t="str">
        <f ca="1">IFERROR(__xludf.DUMMYFUNCTION("""COMPUTED_VALUE"""),"Kenneth Carter")</f>
        <v>Kenneth Carter</v>
      </c>
      <c r="D105" s="23" t="str">
        <f ca="1">IFERROR(__xludf.DUMMYFUNCTION("""COMPUTED_VALUE"""),"Beard Mobb")</f>
        <v>Beard Mobb</v>
      </c>
      <c r="E105" s="46">
        <f ca="1">IFERROR(__xludf.DUMMYFUNCTION("""COMPUTED_VALUE"""),48.5)</f>
        <v>48.5</v>
      </c>
    </row>
    <row r="106" spans="1:5" ht="27" customHeight="1">
      <c r="A106" s="47" t="s">
        <v>112</v>
      </c>
      <c r="B106" s="60">
        <f ca="1">IFERROR(__xludf.DUMMYFUNCTION("""COMPUTED_VALUE"""),1103)</f>
        <v>1103</v>
      </c>
      <c r="C106" s="24" t="str">
        <f ca="1">IFERROR(__xludf.DUMMYFUNCTION("""COMPUTED_VALUE"""),"Keith Bondaug Winn")</f>
        <v>Keith Bondaug Winn</v>
      </c>
      <c r="D106" s="24"/>
      <c r="E106" s="46">
        <f ca="1">IFERROR(__xludf.DUMMYFUNCTION("""COMPUTED_VALUE"""),48.5)</f>
        <v>48.5</v>
      </c>
    </row>
    <row r="107" spans="1:5" ht="27" customHeight="1">
      <c r="A107" s="48" t="s">
        <v>113</v>
      </c>
      <c r="B107" s="60">
        <f ca="1">IFERROR(__xludf.DUMMYFUNCTION("""COMPUTED_VALUE"""),1102)</f>
        <v>1102</v>
      </c>
      <c r="C107" s="24" t="str">
        <f ca="1">IFERROR(__xludf.DUMMYFUNCTION("""COMPUTED_VALUE"""),"Flesh Muppet")</f>
        <v>Flesh Muppet</v>
      </c>
      <c r="D107" s="24" t="str">
        <f ca="1">IFERROR(__xludf.DUMMYFUNCTION("""COMPUTED_VALUE"""),"Emerald City Beardos")</f>
        <v>Emerald City Beardos</v>
      </c>
      <c r="E107" s="46">
        <f ca="1">IFERROR(__xludf.DUMMYFUNCTION("""COMPUTED_VALUE"""),45.5)</f>
        <v>45.5</v>
      </c>
    </row>
    <row r="108" spans="1:5" ht="27" customHeight="1">
      <c r="A108" s="49" t="s">
        <v>114</v>
      </c>
      <c r="B108" s="50"/>
      <c r="C108" s="50"/>
      <c r="D108" s="50"/>
      <c r="E108" s="58">
        <f ca="1">IFERROR(__xludf.DUMMYFUNCTION("""COMPUTED_VALUE"""),0)</f>
        <v>0</v>
      </c>
    </row>
    <row r="109" spans="1:5" ht="27" customHeight="1">
      <c r="A109" s="49" t="s">
        <v>114</v>
      </c>
      <c r="B109" s="50"/>
      <c r="C109" s="50"/>
      <c r="D109" s="50"/>
      <c r="E109" s="51">
        <f ca="1">IFERROR(__xludf.DUMMYFUNCTION("""COMPUTED_VALUE"""),0)</f>
        <v>0</v>
      </c>
    </row>
    <row r="110" spans="1:5" ht="27" customHeight="1">
      <c r="A110" s="49" t="s">
        <v>114</v>
      </c>
      <c r="B110" s="50"/>
      <c r="C110" s="50"/>
      <c r="D110" s="50"/>
      <c r="E110" s="51">
        <f ca="1">IFERROR(__xludf.DUMMYFUNCTION("""COMPUTED_VALUE"""),0)</f>
        <v>0</v>
      </c>
    </row>
    <row r="111" spans="1:5" ht="27" customHeight="1">
      <c r="A111" s="49" t="s">
        <v>114</v>
      </c>
      <c r="B111" s="50"/>
      <c r="C111" s="50"/>
      <c r="D111" s="50"/>
      <c r="E111" s="51">
        <f ca="1">IFERROR(__xludf.DUMMYFUNCTION("""COMPUTED_VALUE"""),0)</f>
        <v>0</v>
      </c>
    </row>
    <row r="112" spans="1:5" ht="27" customHeight="1">
      <c r="A112" s="49" t="s">
        <v>114</v>
      </c>
      <c r="B112" s="50"/>
      <c r="C112" s="50"/>
      <c r="D112" s="50"/>
      <c r="E112" s="51">
        <f ca="1">IFERROR(__xludf.DUMMYFUNCTION("""COMPUTED_VALUE"""),0)</f>
        <v>0</v>
      </c>
    </row>
    <row r="114" spans="1:5" ht="27" customHeight="1">
      <c r="A114" s="91" t="str">
        <f>Whaler!A2</f>
        <v>Whaler</v>
      </c>
      <c r="B114" s="68"/>
      <c r="C114" s="68"/>
      <c r="D114" s="68"/>
      <c r="E114" s="68"/>
    </row>
    <row r="115" spans="1:5" ht="27" customHeight="1">
      <c r="A115" s="41" t="s">
        <v>111</v>
      </c>
      <c r="B115" s="59">
        <f ca="1">IFERROR(__xludf.DUMMYFUNCTION("query('REALISTIC WHISKERINA'!A5:M54, ""select A,B,C, M order by M desc limit 8"")"),1201)</f>
        <v>1201</v>
      </c>
      <c r="C115" s="23" t="str">
        <f ca="1">IFERROR(__xludf.DUMMYFUNCTION("""COMPUTED_VALUE"""),"Sarah Dallas")</f>
        <v>Sarah Dallas</v>
      </c>
      <c r="D115" s="23" t="str">
        <f ca="1">IFERROR(__xludf.DUMMYFUNCTION("""COMPUTED_VALUE"""),"Battle Born Beards &amp; Cohorts")</f>
        <v>Battle Born Beards &amp; Cohorts</v>
      </c>
      <c r="E115" s="46">
        <f ca="1">IFERROR(__xludf.DUMMYFUNCTION("""COMPUTED_VALUE"""),47)</f>
        <v>47</v>
      </c>
    </row>
    <row r="116" spans="1:5" ht="27" customHeight="1">
      <c r="A116" s="47" t="s">
        <v>112</v>
      </c>
      <c r="B116" s="60">
        <f ca="1">IFERROR(__xludf.DUMMYFUNCTION("""COMPUTED_VALUE"""),1203)</f>
        <v>1203</v>
      </c>
      <c r="C116" s="24" t="str">
        <f ca="1">IFERROR(__xludf.DUMMYFUNCTION("""COMPUTED_VALUE"""),"Ravin Moore")</f>
        <v>Ravin Moore</v>
      </c>
      <c r="D116" s="24" t="str">
        <f ca="1">IFERROR(__xludf.DUMMYFUNCTION("""COMPUTED_VALUE"""),"Portland Beardsmen")</f>
        <v>Portland Beardsmen</v>
      </c>
      <c r="E116" s="46">
        <f ca="1">IFERROR(__xludf.DUMMYFUNCTION("""COMPUTED_VALUE"""),47)</f>
        <v>47</v>
      </c>
    </row>
    <row r="117" spans="1:5" ht="27" customHeight="1">
      <c r="A117" s="48" t="s">
        <v>113</v>
      </c>
      <c r="B117" s="60">
        <f ca="1">IFERROR(__xludf.DUMMYFUNCTION("""COMPUTED_VALUE"""),1202)</f>
        <v>1202</v>
      </c>
      <c r="C117" s="24" t="str">
        <f ca="1">IFERROR(__xludf.DUMMYFUNCTION("""COMPUTED_VALUE"""),"Stevie Torok")</f>
        <v>Stevie Torok</v>
      </c>
      <c r="D117" s="24" t="str">
        <f ca="1">IFERROR(__xludf.DUMMYFUNCTION("""COMPUTED_VALUE"""),"MBSC")</f>
        <v>MBSC</v>
      </c>
      <c r="E117" s="46">
        <f ca="1">IFERROR(__xludf.DUMMYFUNCTION("""COMPUTED_VALUE"""),44)</f>
        <v>44</v>
      </c>
    </row>
    <row r="118" spans="1:5" ht="27" customHeight="1">
      <c r="A118" s="49" t="s">
        <v>114</v>
      </c>
      <c r="B118" s="50">
        <f ca="1">IFERROR(__xludf.DUMMYFUNCTION("""COMPUTED_VALUE"""),1205)</f>
        <v>1205</v>
      </c>
      <c r="C118" s="50" t="str">
        <f ca="1">IFERROR(__xludf.DUMMYFUNCTION("""COMPUTED_VALUE"""),"Crystal Davis")</f>
        <v>Crystal Davis</v>
      </c>
      <c r="D118" s="50" t="str">
        <f ca="1">IFERROR(__xludf.DUMMYFUNCTION("""COMPUTED_VALUE"""),"Modesto MBC")</f>
        <v>Modesto MBC</v>
      </c>
      <c r="E118" s="58">
        <f ca="1">IFERROR(__xludf.DUMMYFUNCTION("""COMPUTED_VALUE"""),43.5)</f>
        <v>43.5</v>
      </c>
    </row>
    <row r="119" spans="1:5" ht="27" customHeight="1">
      <c r="A119" s="49" t="s">
        <v>114</v>
      </c>
      <c r="B119" s="50">
        <f ca="1">IFERROR(__xludf.DUMMYFUNCTION("""COMPUTED_VALUE"""),1204)</f>
        <v>1204</v>
      </c>
      <c r="C119" s="50" t="str">
        <f ca="1">IFERROR(__xludf.DUMMYFUNCTION("""COMPUTED_VALUE"""),"Amanda Forsman")</f>
        <v>Amanda Forsman</v>
      </c>
      <c r="D119" s="50" t="str">
        <f ca="1">IFERROR(__xludf.DUMMYFUNCTION("""COMPUTED_VALUE"""),"MBSC")</f>
        <v>MBSC</v>
      </c>
      <c r="E119" s="51">
        <f ca="1">IFERROR(__xludf.DUMMYFUNCTION("""COMPUTED_VALUE"""),43)</f>
        <v>43</v>
      </c>
    </row>
    <row r="120" spans="1:5" ht="27" customHeight="1">
      <c r="A120" s="49" t="s">
        <v>114</v>
      </c>
      <c r="B120" s="50"/>
      <c r="C120" s="50"/>
      <c r="D120" s="50"/>
      <c r="E120" s="51">
        <f ca="1">IFERROR(__xludf.DUMMYFUNCTION("""COMPUTED_VALUE"""),0)</f>
        <v>0</v>
      </c>
    </row>
    <row r="121" spans="1:5" ht="27" customHeight="1">
      <c r="A121" s="49" t="s">
        <v>114</v>
      </c>
      <c r="B121" s="50"/>
      <c r="C121" s="50"/>
      <c r="D121" s="50"/>
      <c r="E121" s="51">
        <f ca="1">IFERROR(__xludf.DUMMYFUNCTION("""COMPUTED_VALUE"""),0)</f>
        <v>0</v>
      </c>
    </row>
    <row r="122" spans="1:5" ht="27" customHeight="1">
      <c r="A122" s="49" t="s">
        <v>114</v>
      </c>
      <c r="B122" s="50"/>
      <c r="C122" s="50"/>
      <c r="D122" s="50"/>
      <c r="E122" s="51">
        <f ca="1">IFERROR(__xludf.DUMMYFUNCTION("""COMPUTED_VALUE"""),0)</f>
        <v>0</v>
      </c>
    </row>
    <row r="123" spans="1:5" ht="27" customHeight="1">
      <c r="A123" s="57"/>
      <c r="B123" s="37"/>
      <c r="C123" s="37"/>
      <c r="D123" s="37"/>
      <c r="E123" s="58"/>
    </row>
    <row r="124" spans="1:5" ht="27" customHeight="1">
      <c r="A124" s="91" t="str">
        <f>Chops!A2</f>
        <v>chops</v>
      </c>
      <c r="B124" s="68"/>
      <c r="C124" s="68"/>
      <c r="D124" s="68"/>
      <c r="E124" s="68"/>
    </row>
    <row r="125" spans="1:5" ht="27" customHeight="1">
      <c r="A125" s="41" t="s">
        <v>111</v>
      </c>
      <c r="B125" s="59">
        <f ca="1">IFERROR(__xludf.DUMMYFUNCTION("query('PARTIAL BEARD'!A5:M54, ""select A,B,C, M order by M desc limit 8"")"),1306)</f>
        <v>1306</v>
      </c>
      <c r="C125" s="23" t="str">
        <f ca="1">IFERROR(__xludf.DUMMYFUNCTION("""COMPUTED_VALUE"""),"Emilio Alatorre")</f>
        <v>Emilio Alatorre</v>
      </c>
      <c r="D125" s="23" t="str">
        <f ca="1">IFERROR(__xludf.DUMMYFUNCTION("""COMPUTED_VALUE"""),"Modesto BMC")</f>
        <v>Modesto BMC</v>
      </c>
      <c r="E125" s="46">
        <f ca="1">IFERROR(__xludf.DUMMYFUNCTION("""COMPUTED_VALUE"""),47)</f>
        <v>47</v>
      </c>
    </row>
    <row r="126" spans="1:5" ht="27" customHeight="1">
      <c r="A126" s="47" t="s">
        <v>112</v>
      </c>
      <c r="B126" s="60">
        <f ca="1">IFERROR(__xludf.DUMMYFUNCTION("""COMPUTED_VALUE"""),1305)</f>
        <v>1305</v>
      </c>
      <c r="C126" s="24" t="str">
        <f ca="1">IFERROR(__xludf.DUMMYFUNCTION("""COMPUTED_VALUE"""),"Kevin Poulos")</f>
        <v>Kevin Poulos</v>
      </c>
      <c r="D126" s="24" t="str">
        <f ca="1">IFERROR(__xludf.DUMMYFUNCTION("""COMPUTED_VALUE"""),"MBSC")</f>
        <v>MBSC</v>
      </c>
      <c r="E126" s="46">
        <f ca="1">IFERROR(__xludf.DUMMYFUNCTION("""COMPUTED_VALUE"""),45.5)</f>
        <v>45.5</v>
      </c>
    </row>
    <row r="127" spans="1:5" ht="27" customHeight="1">
      <c r="A127" s="48" t="s">
        <v>113</v>
      </c>
      <c r="B127" s="60">
        <f ca="1">IFERROR(__xludf.DUMMYFUNCTION("""COMPUTED_VALUE"""),1301)</f>
        <v>1301</v>
      </c>
      <c r="C127" s="24" t="str">
        <f ca="1">IFERROR(__xludf.DUMMYFUNCTION("""COMPUTED_VALUE"""),"Allen Eckert")</f>
        <v>Allen Eckert</v>
      </c>
      <c r="D127" s="24" t="str">
        <f ca="1">IFERROR(__xludf.DUMMYFUNCTION("""COMPUTED_VALUE"""),"Working Class Beards")</f>
        <v>Working Class Beards</v>
      </c>
      <c r="E127" s="46">
        <f ca="1">IFERROR(__xludf.DUMMYFUNCTION("""COMPUTED_VALUE"""),44)</f>
        <v>44</v>
      </c>
    </row>
    <row r="128" spans="1:5" ht="27" customHeight="1">
      <c r="A128" s="49" t="s">
        <v>114</v>
      </c>
      <c r="B128" s="50">
        <f ca="1">IFERROR(__xludf.DUMMYFUNCTION("""COMPUTED_VALUE"""),1304)</f>
        <v>1304</v>
      </c>
      <c r="C128" s="50" t="str">
        <f ca="1">IFERROR(__xludf.DUMMYFUNCTION("""COMPUTED_VALUE"""),"Anthony Fontes")</f>
        <v>Anthony Fontes</v>
      </c>
      <c r="D128" s="50" t="str">
        <f ca="1">IFERROR(__xludf.DUMMYFUNCTION("""COMPUTED_VALUE"""),"Beards By the Bay")</f>
        <v>Beards By the Bay</v>
      </c>
      <c r="E128" s="58">
        <f ca="1">IFERROR(__xludf.DUMMYFUNCTION("""COMPUTED_VALUE"""),44)</f>
        <v>44</v>
      </c>
    </row>
    <row r="129" spans="1:5" ht="27" customHeight="1">
      <c r="A129" s="49" t="s">
        <v>114</v>
      </c>
      <c r="B129" s="50">
        <f ca="1">IFERROR(__xludf.DUMMYFUNCTION("""COMPUTED_VALUE"""),1302)</f>
        <v>1302</v>
      </c>
      <c r="C129" s="50" t="str">
        <f ca="1">IFERROR(__xludf.DUMMYFUNCTION("""COMPUTED_VALUE"""),"Bearded Bubba")</f>
        <v>Bearded Bubba</v>
      </c>
      <c r="D129" s="50" t="str">
        <f ca="1">IFERROR(__xludf.DUMMYFUNCTION("""COMPUTED_VALUE"""),"NorCalBV")</f>
        <v>NorCalBV</v>
      </c>
      <c r="E129" s="51">
        <f ca="1">IFERROR(__xludf.DUMMYFUNCTION("""COMPUTED_VALUE"""),43.5)</f>
        <v>43.5</v>
      </c>
    </row>
    <row r="130" spans="1:5" ht="27" customHeight="1">
      <c r="A130" s="49" t="s">
        <v>114</v>
      </c>
      <c r="B130" s="50">
        <f ca="1">IFERROR(__xludf.DUMMYFUNCTION("""COMPUTED_VALUE"""),1303)</f>
        <v>1303</v>
      </c>
      <c r="C130" s="50" t="str">
        <f ca="1">IFERROR(__xludf.DUMMYFUNCTION("""COMPUTED_VALUE"""),"Jim Bunning")</f>
        <v>Jim Bunning</v>
      </c>
      <c r="D130" s="50" t="str">
        <f ca="1">IFERROR(__xludf.DUMMYFUNCTION("""COMPUTED_VALUE"""),"Modesto BMC")</f>
        <v>Modesto BMC</v>
      </c>
      <c r="E130" s="51">
        <f ca="1">IFERROR(__xludf.DUMMYFUNCTION("""COMPUTED_VALUE"""),42)</f>
        <v>42</v>
      </c>
    </row>
    <row r="131" spans="1:5" ht="27" customHeight="1">
      <c r="A131" s="49" t="s">
        <v>114</v>
      </c>
      <c r="B131" s="50">
        <f ca="1">IFERROR(__xludf.DUMMYFUNCTION("""COMPUTED_VALUE"""),1307)</f>
        <v>1307</v>
      </c>
      <c r="C131" s="50" t="str">
        <f ca="1">IFERROR(__xludf.DUMMYFUNCTION("""COMPUTED_VALUE"""),"Ian Frazer")</f>
        <v>Ian Frazer</v>
      </c>
      <c r="D131" s="50"/>
      <c r="E131" s="51">
        <f ca="1">IFERROR(__xludf.DUMMYFUNCTION("""COMPUTED_VALUE"""),42)</f>
        <v>42</v>
      </c>
    </row>
    <row r="132" spans="1:5" ht="27" customHeight="1">
      <c r="A132" s="49" t="s">
        <v>114</v>
      </c>
      <c r="B132" s="50">
        <f ca="1">IFERROR(__xludf.DUMMYFUNCTION("""COMPUTED_VALUE"""),1308)</f>
        <v>1308</v>
      </c>
      <c r="C132" s="50" t="str">
        <f ca="1">IFERROR(__xludf.DUMMYFUNCTION("""COMPUTED_VALUE"""),"Zane Rose")</f>
        <v>Zane Rose</v>
      </c>
      <c r="D132" s="50"/>
      <c r="E132" s="51">
        <f ca="1">IFERROR(__xludf.DUMMYFUNCTION("""COMPUTED_VALUE"""),40)</f>
        <v>40</v>
      </c>
    </row>
    <row r="133" spans="1:5" ht="27" customHeight="1">
      <c r="A133" s="57"/>
      <c r="B133" s="37"/>
      <c r="C133" s="37"/>
      <c r="D133" s="37"/>
      <c r="E133" s="58"/>
    </row>
    <row r="134" spans="1:5" ht="27" customHeight="1">
      <c r="A134" s="91" t="str">
        <f>'Goatee under 10'!A2</f>
        <v>Goatee under 10</v>
      </c>
      <c r="B134" s="68"/>
      <c r="C134" s="68"/>
      <c r="D134" s="68"/>
      <c r="E134" s="68"/>
    </row>
    <row r="135" spans="1:5" ht="27" customHeight="1">
      <c r="A135" s="41" t="s">
        <v>111</v>
      </c>
      <c r="B135" s="59">
        <f ca="1">IFERROR(__xludf.DUMMYFUNCTION("query(GOATEE!A5:M54, ""select A,B,C, M order by M desc limit 8"")"),1402)</f>
        <v>1402</v>
      </c>
      <c r="C135" s="23" t="str">
        <f ca="1">IFERROR(__xludf.DUMMYFUNCTION("""COMPUTED_VALUE"""),"Patrick Dawson")</f>
        <v>Patrick Dawson</v>
      </c>
      <c r="D135" s="23" t="str">
        <f ca="1">IFERROR(__xludf.DUMMYFUNCTION("""COMPUTED_VALUE"""),"Emerald City Beardos")</f>
        <v>Emerald City Beardos</v>
      </c>
      <c r="E135" s="46">
        <f ca="1">IFERROR(__xludf.DUMMYFUNCTION("""COMPUTED_VALUE"""),49.5)</f>
        <v>49.5</v>
      </c>
    </row>
    <row r="136" spans="1:5" ht="27" customHeight="1">
      <c r="A136" s="47" t="s">
        <v>112</v>
      </c>
      <c r="B136" s="60">
        <f ca="1">IFERROR(__xludf.DUMMYFUNCTION("""COMPUTED_VALUE"""),1401)</f>
        <v>1401</v>
      </c>
      <c r="C136" s="24" t="str">
        <f ca="1">IFERROR(__xludf.DUMMYFUNCTION("""COMPUTED_VALUE"""),"John Abraham")</f>
        <v>John Abraham</v>
      </c>
      <c r="D136" s="24" t="str">
        <f ca="1">IFERROR(__xludf.DUMMYFUNCTION("""COMPUTED_VALUE"""),"Beards By the Bay")</f>
        <v>Beards By the Bay</v>
      </c>
      <c r="E136" s="46">
        <f ca="1">IFERROR(__xludf.DUMMYFUNCTION("""COMPUTED_VALUE"""),48)</f>
        <v>48</v>
      </c>
    </row>
    <row r="137" spans="1:5" ht="27" customHeight="1">
      <c r="A137" s="48" t="s">
        <v>113</v>
      </c>
      <c r="B137" s="60"/>
      <c r="C137" s="24"/>
      <c r="D137" s="24"/>
      <c r="E137" s="46">
        <f ca="1">IFERROR(__xludf.DUMMYFUNCTION("""COMPUTED_VALUE"""),0)</f>
        <v>0</v>
      </c>
    </row>
    <row r="138" spans="1:5" ht="27" customHeight="1">
      <c r="A138" s="49" t="s">
        <v>114</v>
      </c>
      <c r="B138" s="50"/>
      <c r="C138" s="50"/>
      <c r="D138" s="50"/>
      <c r="E138" s="58">
        <f ca="1">IFERROR(__xludf.DUMMYFUNCTION("""COMPUTED_VALUE"""),0)</f>
        <v>0</v>
      </c>
    </row>
    <row r="139" spans="1:5" ht="27" customHeight="1">
      <c r="A139" s="49" t="s">
        <v>114</v>
      </c>
      <c r="B139" s="50"/>
      <c r="C139" s="50"/>
      <c r="D139" s="50"/>
      <c r="E139" s="51">
        <f ca="1">IFERROR(__xludf.DUMMYFUNCTION("""COMPUTED_VALUE"""),0)</f>
        <v>0</v>
      </c>
    </row>
    <row r="140" spans="1:5" ht="27" customHeight="1">
      <c r="A140" s="49" t="s">
        <v>114</v>
      </c>
      <c r="B140" s="50"/>
      <c r="C140" s="50"/>
      <c r="D140" s="50"/>
      <c r="E140" s="51">
        <f ca="1">IFERROR(__xludf.DUMMYFUNCTION("""COMPUTED_VALUE"""),0)</f>
        <v>0</v>
      </c>
    </row>
    <row r="141" spans="1:5" ht="27" customHeight="1">
      <c r="A141" s="49" t="s">
        <v>114</v>
      </c>
      <c r="B141" s="50"/>
      <c r="C141" s="50"/>
      <c r="D141" s="50"/>
      <c r="E141" s="51">
        <f ca="1">IFERROR(__xludf.DUMMYFUNCTION("""COMPUTED_VALUE"""),0)</f>
        <v>0</v>
      </c>
    </row>
    <row r="142" spans="1:5" ht="27" customHeight="1">
      <c r="A142" s="49" t="s">
        <v>114</v>
      </c>
      <c r="B142" s="50"/>
      <c r="C142" s="50"/>
      <c r="D142" s="50"/>
      <c r="E142" s="51">
        <f ca="1">IFERROR(__xludf.DUMMYFUNCTION("""COMPUTED_VALUE"""),0)</f>
        <v>0</v>
      </c>
    </row>
    <row r="143" spans="1:5" ht="27" customHeight="1">
      <c r="A143" s="57"/>
      <c r="B143" s="37"/>
      <c r="C143" s="37"/>
      <c r="D143" s="37"/>
      <c r="E143" s="58"/>
    </row>
    <row r="144" spans="1:5" ht="27" customHeight="1">
      <c r="A144" s="91" t="str">
        <f>'Goatee over 10'!A2</f>
        <v>Goatee over 10</v>
      </c>
      <c r="B144" s="68"/>
      <c r="C144" s="68"/>
      <c r="D144" s="68"/>
      <c r="E144" s="68"/>
    </row>
    <row r="145" spans="1:5" ht="27" customHeight="1">
      <c r="A145" s="41" t="s">
        <v>111</v>
      </c>
      <c r="B145" s="59">
        <f ca="1">IFERROR(__xludf.DUMMYFUNCTION("query('Cat 15'!A5:M54, ""select A,B,C, M order by M desc limit 8"")"),311)</f>
        <v>311</v>
      </c>
      <c r="C145" s="23"/>
      <c r="D145" s="23"/>
      <c r="E145" s="46">
        <f ca="1">IFERROR(__xludf.DUMMYFUNCTION("""COMPUTED_VALUE"""),49)</f>
        <v>49</v>
      </c>
    </row>
    <row r="146" spans="1:5" ht="27" customHeight="1">
      <c r="A146" s="47" t="s">
        <v>112</v>
      </c>
      <c r="B146" s="60">
        <f ca="1">IFERROR(__xludf.DUMMYFUNCTION("""COMPUTED_VALUE"""),309)</f>
        <v>309</v>
      </c>
      <c r="C146" s="24"/>
      <c r="D146" s="24"/>
      <c r="E146" s="46">
        <f ca="1">IFERROR(__xludf.DUMMYFUNCTION("""COMPUTED_VALUE"""),47)</f>
        <v>47</v>
      </c>
    </row>
    <row r="147" spans="1:5" ht="27" customHeight="1">
      <c r="A147" s="48" t="s">
        <v>113</v>
      </c>
      <c r="B147" s="60">
        <f ca="1">IFERROR(__xludf.DUMMYFUNCTION("""COMPUTED_VALUE"""),314)</f>
        <v>314</v>
      </c>
      <c r="C147" s="24"/>
      <c r="D147" s="24"/>
      <c r="E147" s="46">
        <f ca="1">IFERROR(__xludf.DUMMYFUNCTION("""COMPUTED_VALUE"""),46.5)</f>
        <v>46.5</v>
      </c>
    </row>
    <row r="148" spans="1:5" ht="27" customHeight="1">
      <c r="A148" s="49" t="s">
        <v>114</v>
      </c>
      <c r="B148" s="50"/>
      <c r="C148" s="50"/>
      <c r="D148" s="50"/>
      <c r="E148" s="58">
        <f ca="1">IFERROR(__xludf.DUMMYFUNCTION("""COMPUTED_VALUE"""),0)</f>
        <v>0</v>
      </c>
    </row>
    <row r="149" spans="1:5" ht="27" customHeight="1">
      <c r="A149" s="49" t="s">
        <v>114</v>
      </c>
      <c r="B149" s="50"/>
      <c r="C149" s="50"/>
      <c r="D149" s="50"/>
      <c r="E149" s="51">
        <f ca="1">IFERROR(__xludf.DUMMYFUNCTION("""COMPUTED_VALUE"""),0)</f>
        <v>0</v>
      </c>
    </row>
    <row r="150" spans="1:5" ht="27" customHeight="1">
      <c r="A150" s="49" t="s">
        <v>114</v>
      </c>
      <c r="B150" s="50"/>
      <c r="C150" s="50"/>
      <c r="D150" s="50"/>
      <c r="E150" s="51">
        <f ca="1">IFERROR(__xludf.DUMMYFUNCTION("""COMPUTED_VALUE"""),0)</f>
        <v>0</v>
      </c>
    </row>
    <row r="151" spans="1:5" ht="27" customHeight="1">
      <c r="A151" s="49" t="s">
        <v>114</v>
      </c>
      <c r="B151" s="50"/>
      <c r="C151" s="50"/>
      <c r="D151" s="50"/>
      <c r="E151" s="51">
        <f ca="1">IFERROR(__xludf.DUMMYFUNCTION("""COMPUTED_VALUE"""),0)</f>
        <v>0</v>
      </c>
    </row>
    <row r="152" spans="1:5" ht="27" customHeight="1">
      <c r="A152" s="49" t="s">
        <v>114</v>
      </c>
      <c r="B152" s="50"/>
      <c r="C152" s="50"/>
      <c r="D152" s="50"/>
      <c r="E152" s="51">
        <f ca="1">IFERROR(__xludf.DUMMYFUNCTION("""COMPUTED_VALUE"""),0)</f>
        <v>0</v>
      </c>
    </row>
    <row r="153" spans="1:5" ht="27" customHeight="1">
      <c r="A153" s="57"/>
      <c r="B153" s="37"/>
      <c r="C153" s="37"/>
      <c r="D153" s="37"/>
      <c r="E153" s="58"/>
    </row>
    <row r="154" spans="1:5" ht="27" customHeight="1">
      <c r="A154" s="91" t="str">
        <f>'h &amp; m'!A2</f>
        <v>Hatfield and  mccoy</v>
      </c>
      <c r="B154" s="68"/>
      <c r="C154" s="68"/>
      <c r="D154" s="68"/>
      <c r="E154" s="68"/>
    </row>
    <row r="155" spans="1:5" ht="27" customHeight="1">
      <c r="A155" s="41" t="s">
        <v>111</v>
      </c>
      <c r="B155" s="59" t="str">
        <f ca="1">IFERROR(__xludf.DUMMYFUNCTION("query('Cat 16'!A5:M54, ""select A,B,C, M order by M desc limit 8"")"),"")</f>
        <v/>
      </c>
      <c r="C155" s="23"/>
      <c r="D155" s="23"/>
      <c r="E155" s="46">
        <f ca="1">IFERROR(__xludf.DUMMYFUNCTION("""COMPUTED_VALUE"""),0)</f>
        <v>0</v>
      </c>
    </row>
    <row r="156" spans="1:5" ht="27" customHeight="1">
      <c r="A156" s="47" t="s">
        <v>112</v>
      </c>
      <c r="B156" s="60"/>
      <c r="C156" s="24"/>
      <c r="D156" s="24"/>
      <c r="E156" s="46">
        <f ca="1">IFERROR(__xludf.DUMMYFUNCTION("""COMPUTED_VALUE"""),0)</f>
        <v>0</v>
      </c>
    </row>
    <row r="157" spans="1:5" ht="27" customHeight="1">
      <c r="A157" s="48" t="s">
        <v>113</v>
      </c>
      <c r="B157" s="60"/>
      <c r="C157" s="24"/>
      <c r="D157" s="24"/>
      <c r="E157" s="46">
        <f ca="1">IFERROR(__xludf.DUMMYFUNCTION("""COMPUTED_VALUE"""),0)</f>
        <v>0</v>
      </c>
    </row>
    <row r="158" spans="1:5" ht="27" customHeight="1">
      <c r="A158" s="49" t="s">
        <v>114</v>
      </c>
      <c r="B158" s="50"/>
      <c r="C158" s="50"/>
      <c r="D158" s="50"/>
      <c r="E158" s="58">
        <f ca="1">IFERROR(__xludf.DUMMYFUNCTION("""COMPUTED_VALUE"""),0)</f>
        <v>0</v>
      </c>
    </row>
    <row r="159" spans="1:5" ht="27" customHeight="1">
      <c r="A159" s="49" t="s">
        <v>114</v>
      </c>
      <c r="B159" s="50"/>
      <c r="C159" s="50"/>
      <c r="D159" s="50"/>
      <c r="E159" s="51">
        <f ca="1">IFERROR(__xludf.DUMMYFUNCTION("""COMPUTED_VALUE"""),0)</f>
        <v>0</v>
      </c>
    </row>
    <row r="160" spans="1:5" ht="27" customHeight="1">
      <c r="A160" s="49" t="s">
        <v>114</v>
      </c>
      <c r="B160" s="50"/>
      <c r="C160" s="50"/>
      <c r="D160" s="50"/>
      <c r="E160" s="51">
        <f ca="1">IFERROR(__xludf.DUMMYFUNCTION("""COMPUTED_VALUE"""),0)</f>
        <v>0</v>
      </c>
    </row>
    <row r="161" spans="1:5" ht="27" customHeight="1">
      <c r="A161" s="49" t="s">
        <v>114</v>
      </c>
      <c r="B161" s="50"/>
      <c r="C161" s="50"/>
      <c r="D161" s="50"/>
      <c r="E161" s="51">
        <f ca="1">IFERROR(__xludf.DUMMYFUNCTION("""COMPUTED_VALUE"""),0)</f>
        <v>0</v>
      </c>
    </row>
    <row r="162" spans="1:5" ht="27" customHeight="1">
      <c r="A162" s="49" t="s">
        <v>114</v>
      </c>
      <c r="B162" s="50"/>
      <c r="C162" s="50"/>
      <c r="D162" s="50"/>
      <c r="E162" s="51">
        <f ca="1">IFERROR(__xludf.DUMMYFUNCTION("""COMPUTED_VALUE"""),0)</f>
        <v>0</v>
      </c>
    </row>
    <row r="163" spans="1:5" ht="27" customHeight="1">
      <c r="A163" s="57"/>
      <c r="B163" s="37"/>
      <c r="C163" s="37"/>
      <c r="D163" s="37"/>
      <c r="E163" s="58"/>
    </row>
    <row r="164" spans="1:5" ht="27" customHeight="1">
      <c r="A164" s="91" t="str">
        <f>'Cat 17'!A2</f>
        <v>Category 17 Name</v>
      </c>
      <c r="B164" s="68"/>
      <c r="C164" s="68"/>
      <c r="D164" s="68"/>
      <c r="E164" s="68"/>
    </row>
    <row r="165" spans="1:5" ht="27" customHeight="1">
      <c r="A165" s="41" t="s">
        <v>111</v>
      </c>
      <c r="B165" s="59" t="str">
        <f ca="1">IFERROR(__xludf.DUMMYFUNCTION("query('Cat 17'!A5:M54, ""select A,B,C, M order by M desc limit 8"")"),"")</f>
        <v/>
      </c>
      <c r="C165" s="23"/>
      <c r="D165" s="23"/>
      <c r="E165" s="46">
        <f ca="1">IFERROR(__xludf.DUMMYFUNCTION("""COMPUTED_VALUE"""),0)</f>
        <v>0</v>
      </c>
    </row>
    <row r="166" spans="1:5" ht="27" customHeight="1">
      <c r="A166" s="47" t="s">
        <v>112</v>
      </c>
      <c r="B166" s="60"/>
      <c r="C166" s="24"/>
      <c r="D166" s="24"/>
      <c r="E166" s="46">
        <f ca="1">IFERROR(__xludf.DUMMYFUNCTION("""COMPUTED_VALUE"""),0)</f>
        <v>0</v>
      </c>
    </row>
    <row r="167" spans="1:5" ht="27" customHeight="1">
      <c r="A167" s="48" t="s">
        <v>113</v>
      </c>
      <c r="B167" s="60"/>
      <c r="C167" s="24"/>
      <c r="D167" s="24"/>
      <c r="E167" s="46">
        <f ca="1">IFERROR(__xludf.DUMMYFUNCTION("""COMPUTED_VALUE"""),0)</f>
        <v>0</v>
      </c>
    </row>
    <row r="168" spans="1:5" ht="27" customHeight="1">
      <c r="A168" s="49" t="s">
        <v>114</v>
      </c>
      <c r="B168" s="50"/>
      <c r="C168" s="50"/>
      <c r="D168" s="50"/>
      <c r="E168" s="58">
        <f ca="1">IFERROR(__xludf.DUMMYFUNCTION("""COMPUTED_VALUE"""),0)</f>
        <v>0</v>
      </c>
    </row>
    <row r="169" spans="1:5" ht="27" customHeight="1">
      <c r="A169" s="49" t="s">
        <v>114</v>
      </c>
      <c r="B169" s="50"/>
      <c r="C169" s="50"/>
      <c r="D169" s="50"/>
      <c r="E169" s="51">
        <f ca="1">IFERROR(__xludf.DUMMYFUNCTION("""COMPUTED_VALUE"""),0)</f>
        <v>0</v>
      </c>
    </row>
    <row r="170" spans="1:5" ht="27" customHeight="1">
      <c r="A170" s="49" t="s">
        <v>114</v>
      </c>
      <c r="B170" s="50"/>
      <c r="C170" s="50"/>
      <c r="D170" s="50"/>
      <c r="E170" s="51">
        <f ca="1">IFERROR(__xludf.DUMMYFUNCTION("""COMPUTED_VALUE"""),0)</f>
        <v>0</v>
      </c>
    </row>
    <row r="171" spans="1:5" ht="27" customHeight="1">
      <c r="A171" s="49" t="s">
        <v>114</v>
      </c>
      <c r="B171" s="50"/>
      <c r="C171" s="50"/>
      <c r="D171" s="50"/>
      <c r="E171" s="51">
        <f ca="1">IFERROR(__xludf.DUMMYFUNCTION("""COMPUTED_VALUE"""),0)</f>
        <v>0</v>
      </c>
    </row>
    <row r="172" spans="1:5" ht="27" customHeight="1">
      <c r="A172" s="49" t="s">
        <v>114</v>
      </c>
      <c r="B172" s="50"/>
      <c r="C172" s="50"/>
      <c r="D172" s="50"/>
      <c r="E172" s="51">
        <f ca="1">IFERROR(__xludf.DUMMYFUNCTION("""COMPUTED_VALUE"""),0)</f>
        <v>0</v>
      </c>
    </row>
    <row r="173" spans="1:5" ht="27" customHeight="1">
      <c r="A173" s="57"/>
      <c r="B173" s="37"/>
      <c r="C173" s="37"/>
      <c r="D173" s="37"/>
      <c r="E173" s="58"/>
    </row>
    <row r="174" spans="1:5" ht="27" customHeight="1">
      <c r="A174" s="91" t="str">
        <f>'Cat 18'!A2</f>
        <v>Category 18 Name</v>
      </c>
      <c r="B174" s="68"/>
      <c r="C174" s="68"/>
      <c r="D174" s="68"/>
      <c r="E174" s="68"/>
    </row>
    <row r="175" spans="1:5" ht="27" customHeight="1">
      <c r="A175" s="41" t="s">
        <v>111</v>
      </c>
      <c r="B175" s="59" t="str">
        <f ca="1">IFERROR(__xludf.DUMMYFUNCTION("query('Cat 18'!A5:M54, ""select A,B,C, M order by M desc limit 8"")"),"")</f>
        <v/>
      </c>
      <c r="C175" s="23"/>
      <c r="D175" s="23"/>
      <c r="E175" s="46">
        <f ca="1">IFERROR(__xludf.DUMMYFUNCTION("""COMPUTED_VALUE"""),0)</f>
        <v>0</v>
      </c>
    </row>
    <row r="176" spans="1:5" ht="27" customHeight="1">
      <c r="A176" s="47" t="s">
        <v>112</v>
      </c>
      <c r="B176" s="60"/>
      <c r="C176" s="24"/>
      <c r="D176" s="24"/>
      <c r="E176" s="46">
        <f ca="1">IFERROR(__xludf.DUMMYFUNCTION("""COMPUTED_VALUE"""),0)</f>
        <v>0</v>
      </c>
    </row>
    <row r="177" spans="1:5" ht="27" customHeight="1">
      <c r="A177" s="48" t="s">
        <v>113</v>
      </c>
      <c r="B177" s="60"/>
      <c r="C177" s="24"/>
      <c r="D177" s="24"/>
      <c r="E177" s="46">
        <f ca="1">IFERROR(__xludf.DUMMYFUNCTION("""COMPUTED_VALUE"""),0)</f>
        <v>0</v>
      </c>
    </row>
    <row r="178" spans="1:5" ht="27" customHeight="1">
      <c r="A178" s="49" t="s">
        <v>114</v>
      </c>
      <c r="B178" s="50"/>
      <c r="C178" s="50"/>
      <c r="D178" s="50"/>
      <c r="E178" s="58">
        <f ca="1">IFERROR(__xludf.DUMMYFUNCTION("""COMPUTED_VALUE"""),0)</f>
        <v>0</v>
      </c>
    </row>
    <row r="179" spans="1:5" ht="27" customHeight="1">
      <c r="A179" s="49" t="s">
        <v>114</v>
      </c>
      <c r="B179" s="50"/>
      <c r="C179" s="50"/>
      <c r="D179" s="50"/>
      <c r="E179" s="51">
        <f ca="1">IFERROR(__xludf.DUMMYFUNCTION("""COMPUTED_VALUE"""),0)</f>
        <v>0</v>
      </c>
    </row>
    <row r="180" spans="1:5" ht="27" customHeight="1">
      <c r="A180" s="49" t="s">
        <v>114</v>
      </c>
      <c r="B180" s="50"/>
      <c r="C180" s="50"/>
      <c r="D180" s="50"/>
      <c r="E180" s="51">
        <f ca="1">IFERROR(__xludf.DUMMYFUNCTION("""COMPUTED_VALUE"""),0)</f>
        <v>0</v>
      </c>
    </row>
    <row r="181" spans="1:5" ht="27" customHeight="1">
      <c r="A181" s="49" t="s">
        <v>114</v>
      </c>
      <c r="B181" s="50"/>
      <c r="C181" s="50"/>
      <c r="D181" s="50"/>
      <c r="E181" s="51">
        <f ca="1">IFERROR(__xludf.DUMMYFUNCTION("""COMPUTED_VALUE"""),0)</f>
        <v>0</v>
      </c>
    </row>
    <row r="182" spans="1:5" ht="27" customHeight="1">
      <c r="A182" s="49" t="s">
        <v>114</v>
      </c>
      <c r="B182" s="50"/>
      <c r="C182" s="50"/>
      <c r="D182" s="50"/>
      <c r="E182" s="51">
        <f ca="1">IFERROR(__xludf.DUMMYFUNCTION("""COMPUTED_VALUE"""),0)</f>
        <v>0</v>
      </c>
    </row>
    <row r="183" spans="1:5" ht="27" customHeight="1">
      <c r="A183" s="57"/>
      <c r="B183" s="37"/>
      <c r="C183" s="37"/>
      <c r="D183" s="37"/>
      <c r="E183" s="58"/>
    </row>
    <row r="184" spans="1:5" ht="27" customHeight="1">
      <c r="A184" s="91" t="str">
        <f>'Cat 19'!A2</f>
        <v>Category 19 Name</v>
      </c>
      <c r="B184" s="68"/>
      <c r="C184" s="68"/>
      <c r="D184" s="68"/>
      <c r="E184" s="68"/>
    </row>
    <row r="185" spans="1:5" ht="27" customHeight="1">
      <c r="A185" s="41" t="s">
        <v>111</v>
      </c>
      <c r="B185" s="59">
        <f ca="1">IFERROR(__xludf.DUMMYFUNCTION("query('PARTIAL BEARD FREESTYLE'!A5:M54, ""select A,B,C, M order by M desc limit 8"")"),1003)</f>
        <v>1003</v>
      </c>
      <c r="C185" s="23" t="str">
        <f ca="1">IFERROR(__xludf.DUMMYFUNCTION("""COMPUTED_VALUE"""),"Blaine Reeves")</f>
        <v>Blaine Reeves</v>
      </c>
      <c r="D185" s="23" t="str">
        <f ca="1">IFERROR(__xludf.DUMMYFUNCTION("""COMPUTED_VALUE"""),"MBSC")</f>
        <v>MBSC</v>
      </c>
      <c r="E185" s="46">
        <f ca="1">IFERROR(__xludf.DUMMYFUNCTION("""COMPUTED_VALUE"""),48)</f>
        <v>48</v>
      </c>
    </row>
    <row r="186" spans="1:5" ht="27" customHeight="1">
      <c r="A186" s="47" t="s">
        <v>112</v>
      </c>
      <c r="B186" s="60">
        <f ca="1">IFERROR(__xludf.DUMMYFUNCTION("""COMPUTED_VALUE"""),1001)</f>
        <v>1001</v>
      </c>
      <c r="C186" s="24" t="str">
        <f ca="1">IFERROR(__xludf.DUMMYFUNCTION("""COMPUTED_VALUE"""),"Allen Eckert")</f>
        <v>Allen Eckert</v>
      </c>
      <c r="D186" s="24" t="str">
        <f ca="1">IFERROR(__xludf.DUMMYFUNCTION("""COMPUTED_VALUE"""),"Working Class Beards")</f>
        <v>Working Class Beards</v>
      </c>
      <c r="E186" s="46">
        <f ca="1">IFERROR(__xludf.DUMMYFUNCTION("""COMPUTED_VALUE"""),45)</f>
        <v>45</v>
      </c>
    </row>
    <row r="187" spans="1:5" ht="27" customHeight="1">
      <c r="A187" s="48" t="s">
        <v>113</v>
      </c>
      <c r="B187" s="60">
        <f ca="1">IFERROR(__xludf.DUMMYFUNCTION("""COMPUTED_VALUE"""),1002)</f>
        <v>1002</v>
      </c>
      <c r="C187" s="24" t="str">
        <f ca="1">IFERROR(__xludf.DUMMYFUNCTION("""COMPUTED_VALUE"""),"Casey Holbrook")</f>
        <v>Casey Holbrook</v>
      </c>
      <c r="D187" s="24" t="str">
        <f ca="1">IFERROR(__xludf.DUMMYFUNCTION("""COMPUTED_VALUE"""),"Beards By the Bay")</f>
        <v>Beards By the Bay</v>
      </c>
      <c r="E187" s="46">
        <f ca="1">IFERROR(__xludf.DUMMYFUNCTION("""COMPUTED_VALUE"""),44.5)</f>
        <v>44.5</v>
      </c>
    </row>
    <row r="188" spans="1:5" ht="27" customHeight="1">
      <c r="A188" s="49" t="s">
        <v>114</v>
      </c>
      <c r="B188" s="50">
        <f ca="1">IFERROR(__xludf.DUMMYFUNCTION("""COMPUTED_VALUE"""),1004)</f>
        <v>1004</v>
      </c>
      <c r="C188" s="50" t="str">
        <f ca="1">IFERROR(__xludf.DUMMYFUNCTION("""COMPUTED_VALUE"""),"Baby J")</f>
        <v>Baby J</v>
      </c>
      <c r="D188" s="50" t="str">
        <f ca="1">IFERROR(__xludf.DUMMYFUNCTION("""COMPUTED_VALUE"""),"MBSC")</f>
        <v>MBSC</v>
      </c>
      <c r="E188" s="58">
        <f ca="1">IFERROR(__xludf.DUMMYFUNCTION("""COMPUTED_VALUE"""),44)</f>
        <v>44</v>
      </c>
    </row>
    <row r="189" spans="1:5" ht="27" customHeight="1">
      <c r="A189" s="49" t="s">
        <v>114</v>
      </c>
      <c r="B189" s="50">
        <f ca="1">IFERROR(__xludf.DUMMYFUNCTION("""COMPUTED_VALUE"""),1005)</f>
        <v>1005</v>
      </c>
      <c r="C189" s="50" t="str">
        <f ca="1">IFERROR(__xludf.DUMMYFUNCTION("""COMPUTED_VALUE"""),"Gytis Skuncikas")</f>
        <v>Gytis Skuncikas</v>
      </c>
      <c r="D189" s="50" t="str">
        <f ca="1">IFERROR(__xludf.DUMMYFUNCTION("""COMPUTED_VALUE"""),"Lithuania Barzda")</f>
        <v>Lithuania Barzda</v>
      </c>
      <c r="E189" s="51">
        <f ca="1">IFERROR(__xludf.DUMMYFUNCTION("""COMPUTED_VALUE"""),44)</f>
        <v>44</v>
      </c>
    </row>
    <row r="190" spans="1:5" ht="27" customHeight="1">
      <c r="A190" s="49" t="s">
        <v>114</v>
      </c>
      <c r="B190" s="50"/>
      <c r="C190" s="50"/>
      <c r="D190" s="50"/>
      <c r="E190" s="51">
        <f ca="1">IFERROR(__xludf.DUMMYFUNCTION("""COMPUTED_VALUE"""),0)</f>
        <v>0</v>
      </c>
    </row>
    <row r="191" spans="1:5" ht="27" customHeight="1">
      <c r="A191" s="49" t="s">
        <v>114</v>
      </c>
      <c r="B191" s="50"/>
      <c r="C191" s="50"/>
      <c r="D191" s="50"/>
      <c r="E191" s="51">
        <f ca="1">IFERROR(__xludf.DUMMYFUNCTION("""COMPUTED_VALUE"""),0)</f>
        <v>0</v>
      </c>
    </row>
    <row r="192" spans="1:5" ht="27" customHeight="1">
      <c r="A192" s="49" t="s">
        <v>114</v>
      </c>
      <c r="B192" s="50"/>
      <c r="C192" s="50"/>
      <c r="D192" s="50"/>
      <c r="E192" s="51">
        <f ca="1">IFERROR(__xludf.DUMMYFUNCTION("""COMPUTED_VALUE"""),0)</f>
        <v>0</v>
      </c>
    </row>
    <row r="194" spans="1:5" ht="27" customHeight="1">
      <c r="A194" s="91" t="str">
        <f>'Cat 20'!A2</f>
        <v>Category 20 Name</v>
      </c>
      <c r="B194" s="68"/>
      <c r="C194" s="68"/>
      <c r="D194" s="68"/>
      <c r="E194" s="68"/>
    </row>
    <row r="195" spans="1:5" ht="27" customHeight="1">
      <c r="A195" s="41" t="s">
        <v>111</v>
      </c>
      <c r="B195" s="59" t="str">
        <f ca="1">IFERROR(__xludf.DUMMYFUNCTION("query('Cat 20'!A5:M54, ""select A,B,C, M order by M desc limit 8"")"),"")</f>
        <v/>
      </c>
      <c r="C195" s="23"/>
      <c r="D195" s="23"/>
      <c r="E195" s="46">
        <f ca="1">IFERROR(__xludf.DUMMYFUNCTION("""COMPUTED_VALUE"""),0)</f>
        <v>0</v>
      </c>
    </row>
    <row r="196" spans="1:5" ht="27" customHeight="1">
      <c r="A196" s="47" t="s">
        <v>112</v>
      </c>
      <c r="B196" s="60"/>
      <c r="C196" s="24"/>
      <c r="D196" s="24"/>
      <c r="E196" s="46">
        <f ca="1">IFERROR(__xludf.DUMMYFUNCTION("""COMPUTED_VALUE"""),0)</f>
        <v>0</v>
      </c>
    </row>
    <row r="197" spans="1:5" ht="27" customHeight="1">
      <c r="A197" s="48" t="s">
        <v>113</v>
      </c>
      <c r="B197" s="60"/>
      <c r="C197" s="24"/>
      <c r="D197" s="24"/>
      <c r="E197" s="46">
        <f ca="1">IFERROR(__xludf.DUMMYFUNCTION("""COMPUTED_VALUE"""),0)</f>
        <v>0</v>
      </c>
    </row>
    <row r="198" spans="1:5" ht="27" customHeight="1">
      <c r="A198" s="49" t="s">
        <v>114</v>
      </c>
      <c r="B198" s="50"/>
      <c r="C198" s="50"/>
      <c r="D198" s="50"/>
      <c r="E198" s="58">
        <f ca="1">IFERROR(__xludf.DUMMYFUNCTION("""COMPUTED_VALUE"""),0)</f>
        <v>0</v>
      </c>
    </row>
    <row r="199" spans="1:5" ht="27" customHeight="1">
      <c r="A199" s="49" t="s">
        <v>114</v>
      </c>
      <c r="B199" s="50"/>
      <c r="C199" s="50"/>
      <c r="D199" s="50"/>
      <c r="E199" s="51">
        <f ca="1">IFERROR(__xludf.DUMMYFUNCTION("""COMPUTED_VALUE"""),0)</f>
        <v>0</v>
      </c>
    </row>
    <row r="200" spans="1:5" ht="27" customHeight="1">
      <c r="A200" s="49" t="s">
        <v>114</v>
      </c>
      <c r="B200" s="50"/>
      <c r="C200" s="50"/>
      <c r="D200" s="50"/>
      <c r="E200" s="51">
        <f ca="1">IFERROR(__xludf.DUMMYFUNCTION("""COMPUTED_VALUE"""),0)</f>
        <v>0</v>
      </c>
    </row>
    <row r="201" spans="1:5" ht="27" customHeight="1">
      <c r="A201" s="49" t="s">
        <v>114</v>
      </c>
      <c r="B201" s="50"/>
      <c r="C201" s="50"/>
      <c r="D201" s="50"/>
      <c r="E201" s="51">
        <f ca="1">IFERROR(__xludf.DUMMYFUNCTION("""COMPUTED_VALUE"""),0)</f>
        <v>0</v>
      </c>
    </row>
    <row r="202" spans="1:5" ht="27" customHeight="1">
      <c r="A202" s="49" t="s">
        <v>114</v>
      </c>
      <c r="B202" s="50"/>
      <c r="C202" s="50"/>
      <c r="D202" s="50"/>
      <c r="E202" s="51">
        <f ca="1">IFERROR(__xludf.DUMMYFUNCTION("""COMPUTED_VALUE"""),0)</f>
        <v>0</v>
      </c>
    </row>
  </sheetData>
  <mergeCells count="22">
    <mergeCell ref="A1:E1"/>
    <mergeCell ref="A2:E2"/>
    <mergeCell ref="A4:E4"/>
    <mergeCell ref="A14:E14"/>
    <mergeCell ref="A24:E24"/>
    <mergeCell ref="A34:E34"/>
    <mergeCell ref="A44:E44"/>
    <mergeCell ref="A124:E124"/>
    <mergeCell ref="A134:E134"/>
    <mergeCell ref="A144:E144"/>
    <mergeCell ref="A54:E54"/>
    <mergeCell ref="A64:E64"/>
    <mergeCell ref="A74:E74"/>
    <mergeCell ref="A84:E84"/>
    <mergeCell ref="A94:E94"/>
    <mergeCell ref="A104:E104"/>
    <mergeCell ref="A114:E114"/>
    <mergeCell ref="A154:E154"/>
    <mergeCell ref="A164:E164"/>
    <mergeCell ref="A174:E174"/>
    <mergeCell ref="A184:E184"/>
    <mergeCell ref="A194:E194"/>
  </mergeCells>
  <conditionalFormatting sqref="A5:A12">
    <cfRule type="expression" dxfId="25" priority="4">
      <formula>COUNTIF($F$5:$F$12,F5)&gt;0</formula>
    </cfRule>
  </conditionalFormatting>
  <conditionalFormatting sqref="A15:A22">
    <cfRule type="expression" dxfId="24" priority="5">
      <formula>COUNTIF($F$15:$F$22,F15)&gt;0</formula>
    </cfRule>
  </conditionalFormatting>
  <conditionalFormatting sqref="A25:A32">
    <cfRule type="expression" dxfId="23" priority="6">
      <formula>COUNTIF($F$25:$F$32,F25)&gt;0</formula>
    </cfRule>
  </conditionalFormatting>
  <conditionalFormatting sqref="A35:A42">
    <cfRule type="expression" dxfId="22" priority="7">
      <formula>COUNTIF($F$35:$F$42,F35)&gt;0</formula>
    </cfRule>
  </conditionalFormatting>
  <conditionalFormatting sqref="A45:A52">
    <cfRule type="expression" dxfId="21" priority="8">
      <formula>COUNTIF($F$45:$F$52,F45)&gt;0</formula>
    </cfRule>
  </conditionalFormatting>
  <conditionalFormatting sqref="A55:A62">
    <cfRule type="expression" dxfId="20" priority="9">
      <formula>COUNTIF($F$55:$F$62,F55)&gt;0</formula>
    </cfRule>
  </conditionalFormatting>
  <conditionalFormatting sqref="A65:A72">
    <cfRule type="expression" dxfId="19" priority="14">
      <formula>COUNTIF($F$65:$F$72,F65)&gt;0</formula>
    </cfRule>
  </conditionalFormatting>
  <conditionalFormatting sqref="A75:A82">
    <cfRule type="expression" dxfId="18" priority="10">
      <formula>COUNTIF($F$75:$F$82,F75)&gt;0</formula>
    </cfRule>
  </conditionalFormatting>
  <conditionalFormatting sqref="A85:A92">
    <cfRule type="expression" dxfId="17" priority="11">
      <formula>COUNTIF($F$85:$F$92,F85)&gt;0</formula>
    </cfRule>
  </conditionalFormatting>
  <conditionalFormatting sqref="A95:A102 A105:A112 A115:A122 A125:A132 A135:A142 A145:A152 A155:A162 A165:A172 A175:A182 A185:A192 A195:A202">
    <cfRule type="expression" dxfId="16" priority="12">
      <formula>COUNTIF($F$95:$F$102,F95)&gt;0</formula>
    </cfRule>
  </conditionalFormatting>
  <conditionalFormatting sqref="A104:A603">
    <cfRule type="expression" dxfId="15" priority="13">
      <formula>COUNTIF(#REF!,F104)&gt;0</formula>
    </cfRule>
  </conditionalFormatting>
  <conditionalFormatting sqref="E2:E103 E105:E113 E115:E123 E125:E133 E135:E143 E145:E153 E155:E163 E165:E173 E175:E183 E185:E193 E195:E603">
    <cfRule type="cellIs" dxfId="14" priority="1" operator="lessThan">
      <formula>1</formula>
    </cfRule>
  </conditionalFormatting>
  <conditionalFormatting sqref="E5:E12">
    <cfRule type="expression" dxfId="13" priority="2">
      <formula>COUNTIF($E$5:$E$12,E5)&gt;1</formula>
    </cfRule>
  </conditionalFormatting>
  <conditionalFormatting sqref="E15:E22">
    <cfRule type="expression" dxfId="12" priority="3">
      <formula>COUNTIF($E$15:$E$22,E15)&gt;1</formula>
    </cfRule>
  </conditionalFormatting>
  <conditionalFormatting sqref="E25:E32">
    <cfRule type="expression" dxfId="11" priority="18">
      <formula>COUNTIF($E$25:$E$32,E25)&gt;1</formula>
    </cfRule>
  </conditionalFormatting>
  <conditionalFormatting sqref="E35:E42">
    <cfRule type="expression" dxfId="10" priority="19">
      <formula>COUNTIF($E$35:$E$42,E35)&gt;1</formula>
    </cfRule>
  </conditionalFormatting>
  <conditionalFormatting sqref="E45:E52">
    <cfRule type="expression" dxfId="9" priority="20">
      <formula>COUNTIF($E$45:$E$52,E45)&gt;1</formula>
    </cfRule>
  </conditionalFormatting>
  <conditionalFormatting sqref="E55:E62">
    <cfRule type="expression" dxfId="8" priority="21">
      <formula>COUNTIF($E$55:$E$62,E55)&gt;1</formula>
    </cfRule>
  </conditionalFormatting>
  <conditionalFormatting sqref="E65:E72">
    <cfRule type="expression" dxfId="7" priority="22">
      <formula>COUNTIF($E$65:$E$72,E65)&gt;1</formula>
    </cfRule>
  </conditionalFormatting>
  <conditionalFormatting sqref="E75:E82">
    <cfRule type="expression" dxfId="6" priority="23">
      <formula>COUNTIF($E$75:$E$82,E75)&gt;1</formula>
    </cfRule>
  </conditionalFormatting>
  <conditionalFormatting sqref="E85:E92">
    <cfRule type="expression" dxfId="5" priority="24">
      <formula>COUNTIF($E$85:$E$92,E85)&gt;1</formula>
    </cfRule>
  </conditionalFormatting>
  <conditionalFormatting sqref="E95:E102 E105:E112 E115:E122 E125:E132 E135:E142 E145:E152 E155:E162 E165:E172 E175:E182 E185:E192 E195:E202">
    <cfRule type="expression" dxfId="4" priority="25">
      <formula>COUNTIF($E$95:$E$102,E95)&gt;1</formula>
    </cfRule>
  </conditionalFormatting>
  <conditionalFormatting sqref="E105:E113 E115:E123 E125:E133 E135:E143 E145:E153 E155:E163 E165:E173 E175:E183 E185:E193 E195:E603">
    <cfRule type="expression" dxfId="3" priority="26">
      <formula>COUNTIF(#REF!,E615)&gt;1</formula>
    </cfRule>
  </conditionalFormatting>
  <conditionalFormatting sqref="F1:F603">
    <cfRule type="containsText" dxfId="2" priority="15" operator="containsText" text="1">
      <formula>NOT(ISERROR(SEARCH(("1"),(F1))))</formula>
    </cfRule>
    <cfRule type="containsText" dxfId="1" priority="16" operator="containsText" text="2">
      <formula>NOT(ISERROR(SEARCH(("2"),(F1))))</formula>
    </cfRule>
  </conditionalFormatting>
  <conditionalFormatting sqref="F4:F603">
    <cfRule type="containsText" dxfId="0" priority="17" operator="containsText" text="3">
      <formula>NOT(ISERROR(SEARCH(("3"),(F4))))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00"/>
    <outlinePr summaryBelow="0" summaryRight="0"/>
  </sheetPr>
  <dimension ref="A1:M54"/>
  <sheetViews>
    <sheetView workbookViewId="0">
      <selection sqref="A1:B1"/>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3" ht="23.25" customHeight="1">
      <c r="A1" s="75" t="s">
        <v>50</v>
      </c>
      <c r="B1" s="68"/>
      <c r="C1" s="76" t="s">
        <v>51</v>
      </c>
      <c r="D1" s="68"/>
      <c r="E1" s="68"/>
      <c r="F1" s="15"/>
      <c r="G1" s="77" t="s">
        <v>52</v>
      </c>
      <c r="H1" s="68"/>
      <c r="I1" s="68"/>
      <c r="J1" s="68"/>
      <c r="K1" s="68"/>
      <c r="L1" s="68"/>
      <c r="M1" s="68"/>
    </row>
    <row r="2" spans="1:13" ht="23.25" customHeight="1">
      <c r="A2" s="78" t="s">
        <v>53</v>
      </c>
      <c r="B2" s="68"/>
      <c r="C2" s="68"/>
      <c r="D2" s="68"/>
      <c r="E2" s="68"/>
      <c r="F2" s="15"/>
      <c r="G2" s="68"/>
      <c r="H2" s="68"/>
      <c r="I2" s="68"/>
      <c r="J2" s="68"/>
      <c r="K2" s="68"/>
      <c r="L2" s="68"/>
      <c r="M2" s="68"/>
    </row>
    <row r="3" spans="1:13" ht="23.25" customHeight="1">
      <c r="A3" s="79" t="s">
        <v>54</v>
      </c>
      <c r="B3" s="80"/>
      <c r="C3" s="80"/>
      <c r="D3" s="80"/>
      <c r="E3" s="80"/>
      <c r="F3" s="17"/>
      <c r="G3" s="68"/>
      <c r="H3" s="68"/>
      <c r="I3" s="68"/>
      <c r="J3" s="68"/>
      <c r="K3" s="68"/>
      <c r="L3" s="68"/>
      <c r="M3" s="68"/>
    </row>
    <row r="4" spans="1:13" ht="23.25" customHeight="1">
      <c r="A4" s="18" t="s">
        <v>55</v>
      </c>
      <c r="B4" s="18" t="s">
        <v>56</v>
      </c>
      <c r="C4" s="18" t="s">
        <v>57</v>
      </c>
      <c r="D4" s="18" t="s">
        <v>58</v>
      </c>
      <c r="E4" s="19" t="s">
        <v>59</v>
      </c>
      <c r="F4" s="20"/>
      <c r="G4" s="21" t="str">
        <f t="shared" ref="G4:G54" si="0">A4</f>
        <v>#</v>
      </c>
      <c r="H4" s="21" t="s">
        <v>60</v>
      </c>
      <c r="I4" s="21" t="s">
        <v>61</v>
      </c>
      <c r="J4" s="21" t="s">
        <v>62</v>
      </c>
      <c r="K4" s="21" t="s">
        <v>63</v>
      </c>
      <c r="L4" s="21" t="s">
        <v>64</v>
      </c>
      <c r="M4" s="22" t="s">
        <v>65</v>
      </c>
    </row>
    <row r="5" spans="1:13" ht="23.25" customHeight="1">
      <c r="A5" s="23">
        <v>101</v>
      </c>
      <c r="B5" s="24" t="s">
        <v>66</v>
      </c>
      <c r="C5" s="24" t="s">
        <v>67</v>
      </c>
      <c r="D5" s="24" t="s">
        <v>68</v>
      </c>
      <c r="E5" s="25" t="s">
        <v>69</v>
      </c>
      <c r="F5" s="26"/>
      <c r="G5" s="27">
        <f t="shared" si="0"/>
        <v>101</v>
      </c>
      <c r="H5" s="23">
        <v>10</v>
      </c>
      <c r="I5" s="23">
        <v>9</v>
      </c>
      <c r="J5" s="23">
        <v>9</v>
      </c>
      <c r="K5" s="23">
        <v>7</v>
      </c>
      <c r="L5" s="23">
        <v>10</v>
      </c>
      <c r="M5" s="28">
        <f t="shared" ref="M5:M54" si="1">SUM(H5:L5)</f>
        <v>45</v>
      </c>
    </row>
    <row r="6" spans="1:13" ht="23.25" customHeight="1">
      <c r="A6" s="23">
        <v>102</v>
      </c>
      <c r="B6" s="23" t="s">
        <v>70</v>
      </c>
      <c r="C6" s="23" t="s">
        <v>71</v>
      </c>
      <c r="D6" s="23" t="s">
        <v>72</v>
      </c>
      <c r="E6" s="29" t="s">
        <v>73</v>
      </c>
      <c r="F6" s="30"/>
      <c r="G6" s="27">
        <f t="shared" si="0"/>
        <v>102</v>
      </c>
      <c r="H6" s="23">
        <v>9.5</v>
      </c>
      <c r="I6" s="23">
        <v>9</v>
      </c>
      <c r="J6" s="23">
        <v>8</v>
      </c>
      <c r="K6" s="23">
        <v>8.5</v>
      </c>
      <c r="L6" s="23">
        <v>9.5</v>
      </c>
      <c r="M6" s="28">
        <f t="shared" si="1"/>
        <v>44.5</v>
      </c>
    </row>
    <row r="7" spans="1:13" ht="23.25" customHeight="1">
      <c r="A7" s="23">
        <v>103</v>
      </c>
      <c r="B7" s="23" t="s">
        <v>74</v>
      </c>
      <c r="C7" s="23" t="s">
        <v>75</v>
      </c>
      <c r="D7" s="23" t="s">
        <v>76</v>
      </c>
      <c r="E7" s="29" t="s">
        <v>77</v>
      </c>
      <c r="F7" s="30"/>
      <c r="G7" s="27">
        <f t="shared" si="0"/>
        <v>103</v>
      </c>
      <c r="H7" s="24">
        <v>9.5</v>
      </c>
      <c r="I7" s="24">
        <v>9.5</v>
      </c>
      <c r="J7" s="24">
        <v>9</v>
      </c>
      <c r="K7" s="24">
        <v>10</v>
      </c>
      <c r="L7" s="24">
        <v>9.5</v>
      </c>
      <c r="M7" s="28">
        <f t="shared" si="1"/>
        <v>47.5</v>
      </c>
    </row>
    <row r="8" spans="1:13" ht="23.25" customHeight="1">
      <c r="A8" s="23">
        <v>104</v>
      </c>
      <c r="B8" s="23" t="s">
        <v>78</v>
      </c>
      <c r="C8" s="23" t="s">
        <v>79</v>
      </c>
      <c r="D8" s="23" t="s">
        <v>80</v>
      </c>
      <c r="E8" s="29" t="s">
        <v>81</v>
      </c>
      <c r="F8" s="30"/>
      <c r="G8" s="27">
        <f t="shared" si="0"/>
        <v>104</v>
      </c>
      <c r="H8" s="24">
        <v>8</v>
      </c>
      <c r="I8" s="24">
        <v>8</v>
      </c>
      <c r="J8" s="24">
        <v>9.5</v>
      </c>
      <c r="K8" s="24">
        <v>7</v>
      </c>
      <c r="L8" s="24">
        <v>8</v>
      </c>
      <c r="M8" s="28">
        <f t="shared" si="1"/>
        <v>40.5</v>
      </c>
    </row>
    <row r="9" spans="1:13" ht="23.25" customHeight="1">
      <c r="A9" s="23">
        <v>105</v>
      </c>
      <c r="B9" s="23" t="s">
        <v>82</v>
      </c>
      <c r="C9" s="23" t="s">
        <v>83</v>
      </c>
      <c r="D9" s="23" t="s">
        <v>84</v>
      </c>
      <c r="E9" s="29" t="s">
        <v>81</v>
      </c>
      <c r="F9" s="30"/>
      <c r="G9" s="27">
        <f t="shared" si="0"/>
        <v>105</v>
      </c>
      <c r="H9" s="24">
        <v>8</v>
      </c>
      <c r="I9" s="24">
        <v>8</v>
      </c>
      <c r="J9" s="24">
        <v>9</v>
      </c>
      <c r="K9" s="24">
        <v>9.5</v>
      </c>
      <c r="L9" s="24">
        <v>9.5</v>
      </c>
      <c r="M9" s="28">
        <f t="shared" si="1"/>
        <v>44</v>
      </c>
    </row>
    <row r="10" spans="1:13" ht="23.25" customHeight="1">
      <c r="A10" s="23">
        <v>106</v>
      </c>
      <c r="B10" s="23" t="s">
        <v>85</v>
      </c>
      <c r="C10" s="23" t="s">
        <v>86</v>
      </c>
      <c r="D10" s="23" t="s">
        <v>87</v>
      </c>
      <c r="E10" s="29" t="s">
        <v>81</v>
      </c>
      <c r="F10" s="30"/>
      <c r="G10" s="27">
        <f t="shared" si="0"/>
        <v>106</v>
      </c>
      <c r="H10" s="24">
        <v>9.5</v>
      </c>
      <c r="I10" s="24">
        <v>9.5</v>
      </c>
      <c r="J10" s="24">
        <v>8.5</v>
      </c>
      <c r="K10" s="24">
        <v>9.5</v>
      </c>
      <c r="L10" s="24">
        <v>9</v>
      </c>
      <c r="M10" s="28">
        <f t="shared" si="1"/>
        <v>46</v>
      </c>
    </row>
    <row r="11" spans="1:13" ht="23.25" customHeight="1">
      <c r="A11" s="23">
        <v>107</v>
      </c>
      <c r="B11" s="23" t="s">
        <v>88</v>
      </c>
      <c r="C11" s="23" t="s">
        <v>89</v>
      </c>
      <c r="D11" s="23" t="s">
        <v>90</v>
      </c>
      <c r="E11" s="29" t="s">
        <v>91</v>
      </c>
      <c r="F11" s="30"/>
      <c r="G11" s="27">
        <f t="shared" si="0"/>
        <v>107</v>
      </c>
      <c r="H11" s="24">
        <v>9</v>
      </c>
      <c r="I11" s="24">
        <v>10</v>
      </c>
      <c r="J11" s="24">
        <v>9.5</v>
      </c>
      <c r="K11" s="24">
        <v>9</v>
      </c>
      <c r="L11" s="24">
        <v>8.5</v>
      </c>
      <c r="M11" s="28">
        <f t="shared" si="1"/>
        <v>46</v>
      </c>
    </row>
    <row r="12" spans="1:13" ht="23.25" customHeight="1">
      <c r="A12" s="23">
        <v>108</v>
      </c>
      <c r="B12" s="23" t="s">
        <v>92</v>
      </c>
      <c r="C12" s="23" t="s">
        <v>93</v>
      </c>
      <c r="D12" s="23" t="s">
        <v>94</v>
      </c>
      <c r="E12" s="29" t="s">
        <v>81</v>
      </c>
      <c r="F12" s="30"/>
      <c r="G12" s="27">
        <f t="shared" si="0"/>
        <v>108</v>
      </c>
      <c r="H12" s="24">
        <v>7</v>
      </c>
      <c r="I12" s="24">
        <v>6</v>
      </c>
      <c r="J12" s="24">
        <v>7</v>
      </c>
      <c r="K12" s="24">
        <v>8</v>
      </c>
      <c r="L12" s="24">
        <v>7</v>
      </c>
      <c r="M12" s="28">
        <f t="shared" si="1"/>
        <v>35</v>
      </c>
    </row>
    <row r="13" spans="1:13" ht="23.25" customHeight="1">
      <c r="A13" s="23">
        <v>109</v>
      </c>
      <c r="B13" s="23" t="s">
        <v>95</v>
      </c>
      <c r="C13" s="23" t="s">
        <v>96</v>
      </c>
      <c r="D13" s="23" t="s">
        <v>97</v>
      </c>
      <c r="E13" s="29" t="s">
        <v>81</v>
      </c>
      <c r="F13" s="30"/>
      <c r="G13" s="27">
        <f t="shared" si="0"/>
        <v>109</v>
      </c>
      <c r="H13" s="24">
        <v>9</v>
      </c>
      <c r="I13" s="24">
        <v>8.5</v>
      </c>
      <c r="J13" s="24">
        <v>8</v>
      </c>
      <c r="K13" s="24">
        <v>7.5</v>
      </c>
      <c r="L13" s="24">
        <v>9</v>
      </c>
      <c r="M13" s="28">
        <f t="shared" si="1"/>
        <v>42</v>
      </c>
    </row>
    <row r="14" spans="1:13" ht="23.25" customHeight="1">
      <c r="A14" s="23">
        <v>110</v>
      </c>
      <c r="B14" s="23" t="s">
        <v>98</v>
      </c>
      <c r="C14" s="23" t="s">
        <v>99</v>
      </c>
      <c r="D14" s="23" t="s">
        <v>100</v>
      </c>
      <c r="E14" s="29" t="s">
        <v>101</v>
      </c>
      <c r="F14" s="30"/>
      <c r="G14" s="27">
        <f t="shared" si="0"/>
        <v>110</v>
      </c>
      <c r="H14" s="24">
        <v>10</v>
      </c>
      <c r="I14" s="24">
        <v>9</v>
      </c>
      <c r="J14" s="24">
        <v>9.5</v>
      </c>
      <c r="K14" s="24">
        <v>9</v>
      </c>
      <c r="L14" s="24">
        <v>9.5</v>
      </c>
      <c r="M14" s="28">
        <f t="shared" si="1"/>
        <v>47</v>
      </c>
    </row>
    <row r="15" spans="1:13" ht="23.25" customHeight="1">
      <c r="A15" s="23"/>
      <c r="B15" s="24"/>
      <c r="C15" s="24"/>
      <c r="D15" s="24"/>
      <c r="E15" s="25"/>
      <c r="F15" s="30"/>
      <c r="G15" s="27">
        <f t="shared" si="0"/>
        <v>0</v>
      </c>
      <c r="H15" s="24"/>
      <c r="I15" s="24"/>
      <c r="J15" s="24"/>
      <c r="K15" s="24"/>
      <c r="L15" s="24"/>
      <c r="M15" s="31">
        <f t="shared" si="1"/>
        <v>0</v>
      </c>
    </row>
    <row r="16" spans="1:13" ht="23.25" customHeight="1">
      <c r="A16" s="23"/>
      <c r="B16" s="24"/>
      <c r="C16" s="24"/>
      <c r="D16" s="32" t="s">
        <v>102</v>
      </c>
      <c r="E16" s="25"/>
      <c r="F16" s="30"/>
      <c r="G16" s="27">
        <f t="shared" si="0"/>
        <v>0</v>
      </c>
      <c r="H16" s="24"/>
      <c r="I16" s="24"/>
      <c r="J16" s="24"/>
      <c r="K16" s="24"/>
      <c r="L16" s="24"/>
      <c r="M16" s="31">
        <f t="shared" si="1"/>
        <v>0</v>
      </c>
    </row>
    <row r="17" spans="4:13" ht="23.25" customHeight="1">
      <c r="D17" s="33" t="s">
        <v>103</v>
      </c>
      <c r="E17" s="34"/>
      <c r="F17" s="30"/>
      <c r="G17" s="27">
        <f t="shared" si="0"/>
        <v>0</v>
      </c>
      <c r="H17" s="24"/>
      <c r="I17" s="24"/>
      <c r="J17" s="24"/>
      <c r="K17" s="24"/>
      <c r="L17" s="24"/>
      <c r="M17" s="31">
        <f t="shared" si="1"/>
        <v>0</v>
      </c>
    </row>
    <row r="18" spans="4:13" ht="23.25" customHeight="1">
      <c r="D18" s="35" t="s">
        <v>104</v>
      </c>
      <c r="E18" s="34"/>
      <c r="F18" s="30"/>
      <c r="G18" s="27">
        <f t="shared" si="0"/>
        <v>0</v>
      </c>
      <c r="H18" s="24"/>
      <c r="I18" s="24"/>
      <c r="J18" s="24"/>
      <c r="K18" s="24"/>
      <c r="L18" s="24"/>
      <c r="M18" s="31">
        <f t="shared" si="1"/>
        <v>0</v>
      </c>
    </row>
    <row r="19" spans="4:13" ht="23.25" customHeight="1">
      <c r="D19" s="34"/>
      <c r="E19" s="34"/>
      <c r="F19" s="30"/>
      <c r="G19" s="27">
        <f t="shared" si="0"/>
        <v>0</v>
      </c>
      <c r="H19" s="24"/>
      <c r="I19" s="24"/>
      <c r="J19" s="24"/>
      <c r="K19" s="24"/>
      <c r="L19" s="24"/>
      <c r="M19" s="31">
        <f t="shared" si="1"/>
        <v>0</v>
      </c>
    </row>
    <row r="20" spans="4:13" ht="23.25" customHeight="1">
      <c r="D20" s="34"/>
      <c r="E20" s="34"/>
      <c r="F20" s="30"/>
      <c r="G20" s="27">
        <f t="shared" si="0"/>
        <v>0</v>
      </c>
      <c r="H20" s="24"/>
      <c r="I20" s="24"/>
      <c r="J20" s="24"/>
      <c r="K20" s="24"/>
      <c r="L20" s="24"/>
      <c r="M20" s="31">
        <f t="shared" si="1"/>
        <v>0</v>
      </c>
    </row>
    <row r="21" spans="4:13" ht="23.25" customHeight="1">
      <c r="D21" s="34"/>
      <c r="E21" s="34"/>
      <c r="F21" s="30"/>
      <c r="G21" s="27">
        <f t="shared" si="0"/>
        <v>0</v>
      </c>
      <c r="H21" s="24"/>
      <c r="I21" s="24"/>
      <c r="J21" s="24"/>
      <c r="K21" s="24"/>
      <c r="L21" s="24"/>
      <c r="M21" s="31">
        <f t="shared" si="1"/>
        <v>0</v>
      </c>
    </row>
    <row r="22" spans="4:13" ht="23.25" customHeight="1">
      <c r="D22" s="36"/>
      <c r="E22" s="36"/>
      <c r="F22" s="30"/>
      <c r="G22" s="21">
        <f t="shared" si="0"/>
        <v>0</v>
      </c>
      <c r="H22" s="24"/>
      <c r="I22" s="24"/>
      <c r="J22" s="24"/>
      <c r="K22" s="24"/>
      <c r="L22" s="24"/>
      <c r="M22" s="31">
        <f t="shared" si="1"/>
        <v>0</v>
      </c>
    </row>
    <row r="23" spans="4:13" ht="23.25" customHeight="1">
      <c r="D23" s="36"/>
      <c r="E23" s="36"/>
      <c r="F23" s="30"/>
      <c r="G23" s="21">
        <f t="shared" si="0"/>
        <v>0</v>
      </c>
      <c r="H23" s="24"/>
      <c r="I23" s="24"/>
      <c r="J23" s="24"/>
      <c r="K23" s="24"/>
      <c r="L23" s="24"/>
      <c r="M23" s="31">
        <f t="shared" si="1"/>
        <v>0</v>
      </c>
    </row>
    <row r="24" spans="4:13" ht="23.25" customHeight="1">
      <c r="D24" s="36"/>
      <c r="E24" s="36"/>
      <c r="F24" s="30"/>
      <c r="G24" s="21">
        <f t="shared" si="0"/>
        <v>0</v>
      </c>
      <c r="H24" s="24"/>
      <c r="I24" s="24"/>
      <c r="J24" s="24"/>
      <c r="K24" s="24"/>
      <c r="L24" s="24"/>
      <c r="M24" s="31">
        <f t="shared" si="1"/>
        <v>0</v>
      </c>
    </row>
    <row r="25" spans="4:13" ht="23.25" customHeight="1">
      <c r="D25" s="36"/>
      <c r="E25" s="36"/>
      <c r="F25" s="30"/>
      <c r="G25" s="21">
        <f t="shared" si="0"/>
        <v>0</v>
      </c>
      <c r="H25" s="24"/>
      <c r="I25" s="24"/>
      <c r="J25" s="24"/>
      <c r="K25" s="24"/>
      <c r="L25" s="24"/>
      <c r="M25" s="31">
        <f t="shared" si="1"/>
        <v>0</v>
      </c>
    </row>
    <row r="26" spans="4:13" ht="23.25" customHeight="1">
      <c r="D26" s="24"/>
      <c r="E26" s="25"/>
      <c r="F26" s="30"/>
      <c r="G26" s="21">
        <f t="shared" si="0"/>
        <v>0</v>
      </c>
      <c r="H26" s="24"/>
      <c r="I26" s="24"/>
      <c r="J26" s="24"/>
      <c r="K26" s="24"/>
      <c r="L26" s="24"/>
      <c r="M26" s="31">
        <f t="shared" si="1"/>
        <v>0</v>
      </c>
    </row>
    <row r="27" spans="4:13" ht="23.25" customHeight="1">
      <c r="D27" s="24"/>
      <c r="E27" s="25"/>
      <c r="F27" s="30"/>
      <c r="G27" s="21">
        <f t="shared" si="0"/>
        <v>0</v>
      </c>
      <c r="H27" s="24"/>
      <c r="I27" s="24"/>
      <c r="J27" s="24"/>
      <c r="K27" s="24"/>
      <c r="L27" s="24"/>
      <c r="M27" s="31">
        <f t="shared" si="1"/>
        <v>0</v>
      </c>
    </row>
    <row r="28" spans="4:13" ht="23.25" customHeight="1">
      <c r="D28" s="24"/>
      <c r="E28" s="25"/>
      <c r="F28" s="30"/>
      <c r="G28" s="21">
        <f t="shared" si="0"/>
        <v>0</v>
      </c>
      <c r="H28" s="24"/>
      <c r="I28" s="24"/>
      <c r="J28" s="24"/>
      <c r="K28" s="24"/>
      <c r="L28" s="24"/>
      <c r="M28" s="31">
        <f t="shared" si="1"/>
        <v>0</v>
      </c>
    </row>
    <row r="29" spans="4:13" ht="23.25" customHeight="1">
      <c r="D29" s="24"/>
      <c r="E29" s="25"/>
      <c r="F29" s="30"/>
      <c r="G29" s="21">
        <f t="shared" si="0"/>
        <v>0</v>
      </c>
      <c r="H29" s="24"/>
      <c r="I29" s="24"/>
      <c r="J29" s="24"/>
      <c r="K29" s="24"/>
      <c r="L29" s="24"/>
      <c r="M29" s="31">
        <f t="shared" si="1"/>
        <v>0</v>
      </c>
    </row>
    <row r="30" spans="4:13" ht="23.25" customHeight="1">
      <c r="D30" s="24"/>
      <c r="E30" s="25"/>
      <c r="F30" s="30"/>
      <c r="G30" s="21">
        <f t="shared" si="0"/>
        <v>0</v>
      </c>
      <c r="H30" s="24"/>
      <c r="I30" s="24"/>
      <c r="J30" s="24"/>
      <c r="K30" s="24"/>
      <c r="L30" s="24"/>
      <c r="M30" s="31">
        <f t="shared" si="1"/>
        <v>0</v>
      </c>
    </row>
    <row r="31" spans="4:13" ht="23.25" customHeight="1">
      <c r="D31" s="24"/>
      <c r="E31" s="25"/>
      <c r="F31" s="30"/>
      <c r="G31" s="21">
        <f t="shared" si="0"/>
        <v>0</v>
      </c>
      <c r="H31" s="24"/>
      <c r="I31" s="24"/>
      <c r="J31" s="24"/>
      <c r="K31" s="24"/>
      <c r="L31" s="24"/>
      <c r="M31" s="31">
        <f t="shared" si="1"/>
        <v>0</v>
      </c>
    </row>
    <row r="32" spans="4:13" ht="23.25" customHeight="1">
      <c r="D32" s="24"/>
      <c r="E32" s="25"/>
      <c r="F32" s="30"/>
      <c r="G32" s="21">
        <f t="shared" si="0"/>
        <v>0</v>
      </c>
      <c r="H32" s="24"/>
      <c r="I32" s="24"/>
      <c r="J32" s="24"/>
      <c r="K32" s="24"/>
      <c r="L32" s="24"/>
      <c r="M32" s="31">
        <f t="shared" si="1"/>
        <v>0</v>
      </c>
    </row>
    <row r="33" spans="7:13" ht="23.25" customHeight="1">
      <c r="G33" s="21">
        <f t="shared" si="0"/>
        <v>0</v>
      </c>
      <c r="H33" s="24"/>
      <c r="I33" s="24"/>
      <c r="J33" s="24"/>
      <c r="K33" s="24"/>
      <c r="L33" s="24"/>
      <c r="M33" s="31">
        <f t="shared" si="1"/>
        <v>0</v>
      </c>
    </row>
    <row r="34" spans="7:13" ht="23.25" customHeight="1">
      <c r="G34" s="21">
        <f t="shared" si="0"/>
        <v>0</v>
      </c>
      <c r="H34" s="24"/>
      <c r="I34" s="24"/>
      <c r="J34" s="24"/>
      <c r="K34" s="24"/>
      <c r="L34" s="24"/>
      <c r="M34" s="31">
        <f t="shared" si="1"/>
        <v>0</v>
      </c>
    </row>
    <row r="35" spans="7:13" ht="23.25" customHeight="1">
      <c r="G35" s="21">
        <f t="shared" si="0"/>
        <v>0</v>
      </c>
      <c r="H35" s="24"/>
      <c r="I35" s="24"/>
      <c r="J35" s="24"/>
      <c r="K35" s="24"/>
      <c r="L35" s="24"/>
      <c r="M35" s="31">
        <f t="shared" si="1"/>
        <v>0</v>
      </c>
    </row>
    <row r="36" spans="7:13" ht="23.25" customHeight="1">
      <c r="G36" s="21">
        <f t="shared" si="0"/>
        <v>0</v>
      </c>
      <c r="H36" s="24"/>
      <c r="I36" s="24"/>
      <c r="J36" s="24"/>
      <c r="K36" s="24"/>
      <c r="L36" s="24"/>
      <c r="M36" s="31">
        <f t="shared" si="1"/>
        <v>0</v>
      </c>
    </row>
    <row r="37" spans="7:13" ht="23.25" customHeight="1">
      <c r="G37" s="21">
        <f t="shared" si="0"/>
        <v>0</v>
      </c>
      <c r="H37" s="24"/>
      <c r="I37" s="24"/>
      <c r="J37" s="24"/>
      <c r="K37" s="24"/>
      <c r="L37" s="24"/>
      <c r="M37" s="31">
        <f t="shared" si="1"/>
        <v>0</v>
      </c>
    </row>
    <row r="38" spans="7:13" ht="23.25" customHeight="1">
      <c r="G38" s="21">
        <f t="shared" si="0"/>
        <v>0</v>
      </c>
      <c r="H38" s="24"/>
      <c r="I38" s="24"/>
      <c r="J38" s="24"/>
      <c r="K38" s="24"/>
      <c r="L38" s="24"/>
      <c r="M38" s="31">
        <f t="shared" si="1"/>
        <v>0</v>
      </c>
    </row>
    <row r="39" spans="7:13" ht="23.25" customHeight="1">
      <c r="G39" s="21">
        <f t="shared" si="0"/>
        <v>0</v>
      </c>
      <c r="H39" s="24"/>
      <c r="I39" s="24"/>
      <c r="J39" s="24"/>
      <c r="K39" s="24"/>
      <c r="L39" s="24"/>
      <c r="M39" s="31">
        <f t="shared" si="1"/>
        <v>0</v>
      </c>
    </row>
    <row r="40" spans="7:13" ht="23.25" customHeight="1">
      <c r="G40" s="21">
        <f t="shared" si="0"/>
        <v>0</v>
      </c>
      <c r="H40" s="24"/>
      <c r="I40" s="24"/>
      <c r="J40" s="24"/>
      <c r="K40" s="24"/>
      <c r="L40" s="24"/>
      <c r="M40" s="31">
        <f t="shared" si="1"/>
        <v>0</v>
      </c>
    </row>
    <row r="41" spans="7:13" ht="23.25" customHeight="1">
      <c r="G41" s="21">
        <f t="shared" si="0"/>
        <v>0</v>
      </c>
      <c r="H41" s="24"/>
      <c r="I41" s="24"/>
      <c r="J41" s="24"/>
      <c r="K41" s="24"/>
      <c r="L41" s="24"/>
      <c r="M41" s="31">
        <f t="shared" si="1"/>
        <v>0</v>
      </c>
    </row>
    <row r="42" spans="7:13" ht="23.25" customHeight="1">
      <c r="G42" s="21">
        <f t="shared" si="0"/>
        <v>0</v>
      </c>
      <c r="H42" s="24"/>
      <c r="I42" s="24"/>
      <c r="J42" s="24"/>
      <c r="K42" s="24"/>
      <c r="L42" s="24"/>
      <c r="M42" s="31">
        <f t="shared" si="1"/>
        <v>0</v>
      </c>
    </row>
    <row r="43" spans="7:13" ht="23.25" customHeight="1">
      <c r="G43" s="21">
        <f t="shared" si="0"/>
        <v>0</v>
      </c>
      <c r="H43" s="24"/>
      <c r="I43" s="24"/>
      <c r="J43" s="24"/>
      <c r="K43" s="24"/>
      <c r="L43" s="24"/>
      <c r="M43" s="31">
        <f t="shared" si="1"/>
        <v>0</v>
      </c>
    </row>
    <row r="44" spans="7:13" ht="23.25" customHeight="1">
      <c r="G44" s="21">
        <f t="shared" si="0"/>
        <v>0</v>
      </c>
      <c r="H44" s="24"/>
      <c r="I44" s="24"/>
      <c r="J44" s="24"/>
      <c r="K44" s="24"/>
      <c r="L44" s="24"/>
      <c r="M44" s="31">
        <f t="shared" si="1"/>
        <v>0</v>
      </c>
    </row>
    <row r="45" spans="7:13" ht="23.25" customHeight="1">
      <c r="G45" s="21">
        <f t="shared" si="0"/>
        <v>0</v>
      </c>
      <c r="H45" s="24"/>
      <c r="I45" s="24"/>
      <c r="J45" s="24"/>
      <c r="K45" s="24"/>
      <c r="L45" s="24"/>
      <c r="M45" s="31">
        <f t="shared" si="1"/>
        <v>0</v>
      </c>
    </row>
    <row r="46" spans="7:13" ht="23.25" customHeight="1">
      <c r="G46" s="21">
        <f t="shared" si="0"/>
        <v>0</v>
      </c>
      <c r="H46" s="24"/>
      <c r="I46" s="24"/>
      <c r="J46" s="24"/>
      <c r="K46" s="24"/>
      <c r="L46" s="24"/>
      <c r="M46" s="31">
        <f t="shared" si="1"/>
        <v>0</v>
      </c>
    </row>
    <row r="47" spans="7:13" ht="23.25" customHeight="1">
      <c r="G47" s="21">
        <f t="shared" si="0"/>
        <v>0</v>
      </c>
      <c r="H47" s="24"/>
      <c r="I47" s="24"/>
      <c r="J47" s="24"/>
      <c r="K47" s="24"/>
      <c r="L47" s="24"/>
      <c r="M47" s="31">
        <f t="shared" si="1"/>
        <v>0</v>
      </c>
    </row>
    <row r="48" spans="7:13" ht="23.25" customHeight="1">
      <c r="G48" s="21">
        <f t="shared" si="0"/>
        <v>0</v>
      </c>
      <c r="H48" s="24"/>
      <c r="I48" s="24"/>
      <c r="J48" s="24"/>
      <c r="K48" s="24"/>
      <c r="L48" s="24"/>
      <c r="M48" s="31">
        <f t="shared" si="1"/>
        <v>0</v>
      </c>
    </row>
    <row r="49" spans="7:13" ht="23.25" customHeight="1">
      <c r="G49" s="21">
        <f t="shared" si="0"/>
        <v>0</v>
      </c>
      <c r="H49" s="24"/>
      <c r="I49" s="24"/>
      <c r="J49" s="24"/>
      <c r="K49" s="24"/>
      <c r="L49" s="24"/>
      <c r="M49" s="31">
        <f t="shared" si="1"/>
        <v>0</v>
      </c>
    </row>
    <row r="50" spans="7:13" ht="23.25" customHeight="1">
      <c r="G50" s="21">
        <f t="shared" si="0"/>
        <v>0</v>
      </c>
      <c r="H50" s="24"/>
      <c r="I50" s="24"/>
      <c r="J50" s="24"/>
      <c r="K50" s="24"/>
      <c r="L50" s="24"/>
      <c r="M50" s="31">
        <f t="shared" si="1"/>
        <v>0</v>
      </c>
    </row>
    <row r="51" spans="7:13" ht="23.25" customHeight="1">
      <c r="G51" s="21">
        <f t="shared" si="0"/>
        <v>0</v>
      </c>
      <c r="H51" s="24"/>
      <c r="I51" s="24"/>
      <c r="J51" s="24"/>
      <c r="K51" s="24"/>
      <c r="L51" s="24"/>
      <c r="M51" s="31">
        <f t="shared" si="1"/>
        <v>0</v>
      </c>
    </row>
    <row r="52" spans="7:13" ht="23.25" customHeight="1">
      <c r="G52" s="21">
        <f t="shared" si="0"/>
        <v>0</v>
      </c>
      <c r="H52" s="24"/>
      <c r="I52" s="24"/>
      <c r="J52" s="24"/>
      <c r="K52" s="24"/>
      <c r="L52" s="24"/>
      <c r="M52" s="31">
        <f t="shared" si="1"/>
        <v>0</v>
      </c>
    </row>
    <row r="53" spans="7:13" ht="23.25" customHeight="1">
      <c r="G53" s="21">
        <f t="shared" si="0"/>
        <v>0</v>
      </c>
      <c r="H53" s="24"/>
      <c r="I53" s="24"/>
      <c r="J53" s="24"/>
      <c r="K53" s="24"/>
      <c r="L53" s="24"/>
      <c r="M53" s="31">
        <f t="shared" si="1"/>
        <v>0</v>
      </c>
    </row>
    <row r="54" spans="7:13" ht="23.25" customHeight="1">
      <c r="G54" s="21">
        <f t="shared" si="0"/>
        <v>0</v>
      </c>
      <c r="H54" s="24"/>
      <c r="I54" s="24"/>
      <c r="J54" s="24"/>
      <c r="K54" s="24"/>
      <c r="L54" s="24"/>
      <c r="M54" s="31">
        <f t="shared" si="1"/>
        <v>0</v>
      </c>
    </row>
  </sheetData>
  <mergeCells count="5">
    <mergeCell ref="A1:B1"/>
    <mergeCell ref="C1:E1"/>
    <mergeCell ref="G1:M3"/>
    <mergeCell ref="A2:E2"/>
    <mergeCell ref="A3:E3"/>
  </mergeCells>
  <conditionalFormatting sqref="D16:D18">
    <cfRule type="cellIs" dxfId="180" priority="1" operator="equal">
      <formula>0</formula>
    </cfRule>
    <cfRule type="expression" dxfId="179" priority="2">
      <formula>COUNTIF(#REF!,D16)&gt;1</formula>
    </cfRule>
    <cfRule type="cellIs" dxfId="178" priority="3" operator="greaterThanOrEqual">
      <formula>49</formula>
    </cfRule>
    <cfRule type="cellIs" dxfId="177" priority="4" operator="greaterThan">
      <formula>25</formula>
    </cfRule>
  </conditionalFormatting>
  <conditionalFormatting sqref="M5:M54">
    <cfRule type="cellIs" dxfId="176" priority="5" operator="equal">
      <formula>0</formula>
    </cfRule>
    <cfRule type="expression" dxfId="175" priority="6">
      <formula>COUNTIF($M:$M,M5)&gt;1</formula>
    </cfRule>
    <cfRule type="cellIs" dxfId="174" priority="7" operator="greaterThanOrEqual">
      <formula>49</formula>
    </cfRule>
    <cfRule type="cellIs" dxfId="173" priority="8" operator="greaterThan">
      <formula>25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00"/>
    <outlinePr summaryBelow="0" summaryRight="0"/>
  </sheetPr>
  <dimension ref="A1:F12"/>
  <sheetViews>
    <sheetView workbookViewId="0"/>
  </sheetViews>
  <sheetFormatPr defaultColWidth="12.5703125" defaultRowHeight="12.75" customHeight="1"/>
  <cols>
    <col min="1" max="1" width="10.140625" customWidth="1"/>
    <col min="2" max="2" width="9.42578125" customWidth="1"/>
    <col min="3" max="3" width="23.5703125" customWidth="1"/>
    <col min="4" max="4" width="48.85546875" customWidth="1"/>
    <col min="5" max="5" width="10.42578125" customWidth="1"/>
    <col min="6" max="6" width="11.85546875" customWidth="1"/>
  </cols>
  <sheetData>
    <row r="1" spans="1:6" ht="27" customHeight="1">
      <c r="A1" s="16"/>
      <c r="B1" s="78" t="s">
        <v>105</v>
      </c>
      <c r="C1" s="68"/>
      <c r="D1" s="68"/>
      <c r="E1" s="38"/>
      <c r="F1" s="39" t="s">
        <v>106</v>
      </c>
    </row>
    <row r="2" spans="1:6" ht="27" customHeight="1">
      <c r="A2" s="81" t="s">
        <v>107</v>
      </c>
      <c r="B2" s="68"/>
      <c r="C2" s="68"/>
      <c r="D2" s="68"/>
      <c r="E2" s="82"/>
      <c r="F2" s="40" t="s">
        <v>108</v>
      </c>
    </row>
    <row r="3" spans="1:6" ht="27" customHeight="1">
      <c r="A3" s="41"/>
      <c r="B3" s="41" t="s">
        <v>55</v>
      </c>
      <c r="C3" s="41" t="s">
        <v>56</v>
      </c>
      <c r="D3" s="41" t="s">
        <v>57</v>
      </c>
      <c r="E3" s="42" t="s">
        <v>109</v>
      </c>
      <c r="F3" s="43" t="s">
        <v>110</v>
      </c>
    </row>
    <row r="4" spans="1:6" ht="27" customHeight="1">
      <c r="A4" s="83" t="str">
        <f>EXAMPLE!A2</f>
        <v xml:space="preserve">EXAMPLE: PRESIDENTIAL FACIAL HAIR  </v>
      </c>
      <c r="B4" s="68"/>
      <c r="C4" s="68"/>
      <c r="D4" s="68"/>
      <c r="E4" s="82"/>
      <c r="F4" s="44"/>
    </row>
    <row r="5" spans="1:6" ht="27" customHeight="1">
      <c r="A5" s="41" t="s">
        <v>111</v>
      </c>
      <c r="B5" s="45">
        <f ca="1">IFERROR(__xludf.DUMMYFUNCTION("query(EXAMPLE!A5:M55, ""select A,B,C,M order by M desc limit 8"")"),103)</f>
        <v>103</v>
      </c>
      <c r="C5" s="23" t="str">
        <f ca="1">IFERROR(__xludf.DUMMYFUNCTION("""COMPUTED_VALUE"""),"Abraham Lincoln")</f>
        <v>Abraham Lincoln</v>
      </c>
      <c r="D5" s="23" t="str">
        <f ca="1">IFERROR(__xludf.DUMMYFUNCTION("""COMPUTED_VALUE"""),"Office Seekers Partial Beard Society")</f>
        <v>Office Seekers Partial Beard Society</v>
      </c>
      <c r="E5" s="46">
        <f ca="1">IFERROR(__xludf.DUMMYFUNCTION("""COMPUTED_VALUE"""),47.5)</f>
        <v>47.5</v>
      </c>
      <c r="F5" s="44"/>
    </row>
    <row r="6" spans="1:6" ht="27" customHeight="1">
      <c r="A6" s="47" t="s">
        <v>112</v>
      </c>
      <c r="B6" s="45">
        <f ca="1">IFERROR(__xludf.DUMMYFUNCTION("""COMPUTED_VALUE"""),110)</f>
        <v>110</v>
      </c>
      <c r="C6" s="23" t="str">
        <f ca="1">IFERROR(__xludf.DUMMYFUNCTION("""COMPUTED_VALUE"""),"Theodore Roosevelt")</f>
        <v>Theodore Roosevelt</v>
      </c>
      <c r="D6" s="23" t="str">
        <f ca="1">IFERROR(__xludf.DUMMYFUNCTION("""COMPUTED_VALUE"""),"Bull Moosetache Club")</f>
        <v>Bull Moosetache Club</v>
      </c>
      <c r="E6" s="46">
        <f ca="1">IFERROR(__xludf.DUMMYFUNCTION("""COMPUTED_VALUE"""),47)</f>
        <v>47</v>
      </c>
      <c r="F6" s="44"/>
    </row>
    <row r="7" spans="1:6" ht="27" customHeight="1">
      <c r="A7" s="48" t="s">
        <v>113</v>
      </c>
      <c r="B7" s="45">
        <f ca="1">IFERROR(__xludf.DUMMYFUNCTION("""COMPUTED_VALUE"""),106)</f>
        <v>106</v>
      </c>
      <c r="C7" s="23" t="str">
        <f ca="1">IFERROR(__xludf.DUMMYFUNCTION("""COMPUTED_VALUE"""),"James A. Garfield")</f>
        <v>James A. Garfield</v>
      </c>
      <c r="D7" s="23" t="str">
        <f ca="1">IFERROR(__xludf.DUMMYFUNCTION("""COMPUTED_VALUE"""),"Gunshot FHC")</f>
        <v>Gunshot FHC</v>
      </c>
      <c r="E7" s="46">
        <f ca="1">IFERROR(__xludf.DUMMYFUNCTION("""COMPUTED_VALUE"""),46)</f>
        <v>46</v>
      </c>
      <c r="F7" s="44">
        <v>4</v>
      </c>
    </row>
    <row r="8" spans="1:6" ht="27" customHeight="1">
      <c r="A8" s="49" t="s">
        <v>114</v>
      </c>
      <c r="B8" s="50">
        <f ca="1">IFERROR(__xludf.DUMMYFUNCTION("""COMPUTED_VALUE"""),107)</f>
        <v>107</v>
      </c>
      <c r="C8" s="50" t="str">
        <f ca="1">IFERROR(__xludf.DUMMYFUNCTION("""COMPUTED_VALUE"""),"Chester A. Arthur")</f>
        <v>Chester A. Arthur</v>
      </c>
      <c r="D8" s="50" t="str">
        <f ca="1">IFERROR(__xludf.DUMMYFUNCTION("""COMPUTED_VALUE"""),"Civil Service Beard &amp; Moustache Society")</f>
        <v>Civil Service Beard &amp; Moustache Society</v>
      </c>
      <c r="E8" s="51">
        <f ca="1">IFERROR(__xludf.DUMMYFUNCTION("""COMPUTED_VALUE"""),46)</f>
        <v>46</v>
      </c>
      <c r="F8" s="44">
        <v>3</v>
      </c>
    </row>
    <row r="9" spans="1:6" ht="27" customHeight="1">
      <c r="A9" s="49" t="s">
        <v>114</v>
      </c>
      <c r="B9" s="50">
        <f ca="1">IFERROR(__xludf.DUMMYFUNCTION("""COMPUTED_VALUE"""),101)</f>
        <v>101</v>
      </c>
      <c r="C9" s="50" t="str">
        <f ca="1">IFERROR(__xludf.DUMMYFUNCTION("""COMPUTED_VALUE"""),"John Quincy Adams")</f>
        <v>John Quincy Adams</v>
      </c>
      <c r="D9" s="50" t="str">
        <f ca="1">IFERROR(__xludf.DUMMYFUNCTION("""COMPUTED_VALUE"""),"Ambassadors Chops Club")</f>
        <v>Ambassadors Chops Club</v>
      </c>
      <c r="E9" s="51">
        <f ca="1">IFERROR(__xludf.DUMMYFUNCTION("""COMPUTED_VALUE"""),45)</f>
        <v>45</v>
      </c>
      <c r="F9" s="44"/>
    </row>
    <row r="10" spans="1:6" ht="27" customHeight="1">
      <c r="A10" s="49" t="s">
        <v>114</v>
      </c>
      <c r="B10" s="50">
        <f ca="1">IFERROR(__xludf.DUMMYFUNCTION("""COMPUTED_VALUE"""),102)</f>
        <v>102</v>
      </c>
      <c r="C10" s="50" t="str">
        <f ca="1">IFERROR(__xludf.DUMMYFUNCTION("""COMPUTED_VALUE"""),"Zachary Taylor")</f>
        <v>Zachary Taylor</v>
      </c>
      <c r="D10" s="50" t="str">
        <f ca="1">IFERROR(__xludf.DUMMYFUNCTION("""COMPUTED_VALUE"""),"Old Rough and Ready FHC")</f>
        <v>Old Rough and Ready FHC</v>
      </c>
      <c r="E10" s="51">
        <f ca="1">IFERROR(__xludf.DUMMYFUNCTION("""COMPUTED_VALUE"""),44.5)</f>
        <v>44.5</v>
      </c>
      <c r="F10" s="44"/>
    </row>
    <row r="11" spans="1:6" ht="27" customHeight="1">
      <c r="A11" s="49" t="s">
        <v>114</v>
      </c>
      <c r="B11" s="50">
        <f ca="1">IFERROR(__xludf.DUMMYFUNCTION("""COMPUTED_VALUE"""),105)</f>
        <v>105</v>
      </c>
      <c r="C11" s="50" t="str">
        <f ca="1">IFERROR(__xludf.DUMMYFUNCTION("""COMPUTED_VALUE"""),"Rutherford B. Hayes")</f>
        <v>Rutherford B. Hayes</v>
      </c>
      <c r="D11" s="50" t="str">
        <f ca="1">IFERROR(__xludf.DUMMYFUNCTION("""COMPUTED_VALUE"""),"Ohio Beard &amp; Moustache Club")</f>
        <v>Ohio Beard &amp; Moustache Club</v>
      </c>
      <c r="E11" s="51">
        <f ca="1">IFERROR(__xludf.DUMMYFUNCTION("""COMPUTED_VALUE"""),44)</f>
        <v>44</v>
      </c>
      <c r="F11" s="44"/>
    </row>
    <row r="12" spans="1:6" ht="27" customHeight="1">
      <c r="A12" s="49" t="s">
        <v>114</v>
      </c>
      <c r="B12" s="50">
        <f ca="1">IFERROR(__xludf.DUMMYFUNCTION("""COMPUTED_VALUE"""),109)</f>
        <v>109</v>
      </c>
      <c r="C12" s="50" t="str">
        <f ca="1">IFERROR(__xludf.DUMMYFUNCTION("""COMPUTED_VALUE"""),"William H. Taft")</f>
        <v>William H. Taft</v>
      </c>
      <c r="D12" s="50" t="str">
        <f ca="1">IFERROR(__xludf.DUMMYFUNCTION("""COMPUTED_VALUE"""),"SCOTUS Mustache Alliance")</f>
        <v>SCOTUS Mustache Alliance</v>
      </c>
      <c r="E12" s="51">
        <f ca="1">IFERROR(__xludf.DUMMYFUNCTION("""COMPUTED_VALUE"""),42)</f>
        <v>42</v>
      </c>
      <c r="F12" s="44"/>
    </row>
  </sheetData>
  <mergeCells count="3">
    <mergeCell ref="B1:D1"/>
    <mergeCell ref="A2:E2"/>
    <mergeCell ref="A4:E4"/>
  </mergeCells>
  <conditionalFormatting sqref="A5:A12">
    <cfRule type="expression" dxfId="172" priority="7">
      <formula>COUNTIF($F$5:$F$12,F5)&gt;0</formula>
    </cfRule>
  </conditionalFormatting>
  <conditionalFormatting sqref="E1 E3 E5:E12">
    <cfRule type="cellIs" dxfId="171" priority="1" operator="lessThan">
      <formula>1</formula>
    </cfRule>
  </conditionalFormatting>
  <conditionalFormatting sqref="E5:E9">
    <cfRule type="expression" dxfId="170" priority="6">
      <formula>COUNTIF($E$5:$E$9,E5)&gt;1</formula>
    </cfRule>
  </conditionalFormatting>
  <conditionalFormatting sqref="E5:E12">
    <cfRule type="expression" dxfId="169" priority="2">
      <formula>COUNTIF($E$5:$E$12,E5)&gt;1</formula>
    </cfRule>
  </conditionalFormatting>
  <conditionalFormatting sqref="F1:F152">
    <cfRule type="containsText" dxfId="168" priority="3" operator="containsText" text="1">
      <formula>NOT(ISERROR(SEARCH(("1"),(F1))))</formula>
    </cfRule>
    <cfRule type="containsText" dxfId="167" priority="4" operator="containsText" text="2">
      <formula>NOT(ISERROR(SEARCH(("2"),(F1))))</formula>
    </cfRule>
  </conditionalFormatting>
  <conditionalFormatting sqref="F4:F152">
    <cfRule type="containsText" dxfId="166" priority="5" operator="containsText" text="3">
      <formula>NOT(ISERROR(SEARCH(("3"),(F4))))</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155CC"/>
    <outlinePr summaryBelow="0" summaryRight="0"/>
  </sheetPr>
  <dimension ref="A1:N54"/>
  <sheetViews>
    <sheetView tabSelected="1" zoomScaleNormal="100" workbookViewId="0">
      <selection activeCell="H5" sqref="H5:J12"/>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76" t="str">
        <f>'Your Categories'!B3</f>
        <v>Teens</v>
      </c>
      <c r="D1" s="68"/>
      <c r="E1" s="68"/>
      <c r="F1" s="15"/>
      <c r="G1" s="77" t="s">
        <v>52</v>
      </c>
      <c r="H1" s="68"/>
      <c r="I1" s="68"/>
      <c r="J1" s="68"/>
      <c r="K1" s="68"/>
      <c r="L1" s="68"/>
      <c r="M1" s="68"/>
    </row>
    <row r="2" spans="1:14" ht="23.25" customHeight="1">
      <c r="A2" s="78" t="str">
        <f>'Your Categories'!B2</f>
        <v>Kids</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101</v>
      </c>
      <c r="B5" s="24"/>
      <c r="C5" s="24"/>
      <c r="D5" s="23"/>
      <c r="E5" s="29"/>
      <c r="F5" s="26"/>
      <c r="G5" s="27">
        <f t="shared" si="0"/>
        <v>101</v>
      </c>
      <c r="H5" s="24"/>
      <c r="I5" s="24"/>
      <c r="J5" s="24"/>
      <c r="K5" s="24"/>
      <c r="L5" s="24"/>
      <c r="M5" s="54">
        <f t="shared" ref="M5:M54" si="1">SUM(H5:L5)</f>
        <v>0</v>
      </c>
      <c r="N5">
        <f>RANK(M5,$M$5:$M$17)</f>
        <v>1</v>
      </c>
    </row>
    <row r="6" spans="1:14" ht="23.25" customHeight="1">
      <c r="A6" s="23">
        <v>102</v>
      </c>
      <c r="B6" s="24"/>
      <c r="C6" s="24"/>
      <c r="D6" s="24"/>
      <c r="E6" s="25"/>
      <c r="F6" s="30"/>
      <c r="G6" s="27">
        <f t="shared" si="0"/>
        <v>102</v>
      </c>
      <c r="H6" s="23"/>
      <c r="I6" s="23"/>
      <c r="J6" s="23"/>
      <c r="K6" s="23"/>
      <c r="L6" s="23"/>
      <c r="M6" s="54">
        <f t="shared" si="1"/>
        <v>0</v>
      </c>
      <c r="N6">
        <f t="shared" ref="N6:N17" si="2">RANK(M6,$M$5:$M$17)</f>
        <v>1</v>
      </c>
    </row>
    <row r="7" spans="1:14" ht="23.25" customHeight="1">
      <c r="A7" s="23">
        <v>103</v>
      </c>
      <c r="B7" s="24"/>
      <c r="C7" s="24"/>
      <c r="D7" s="24"/>
      <c r="E7" s="25"/>
      <c r="F7" s="30"/>
      <c r="G7" s="27">
        <f t="shared" si="0"/>
        <v>103</v>
      </c>
      <c r="H7" s="24"/>
      <c r="I7" s="24"/>
      <c r="J7" s="24"/>
      <c r="K7" s="24"/>
      <c r="L7" s="24"/>
      <c r="M7" s="54">
        <f t="shared" si="1"/>
        <v>0</v>
      </c>
      <c r="N7">
        <f t="shared" si="2"/>
        <v>1</v>
      </c>
    </row>
    <row r="8" spans="1:14" ht="23.25" customHeight="1">
      <c r="A8" s="23">
        <v>104</v>
      </c>
      <c r="B8" s="24"/>
      <c r="C8" s="24"/>
      <c r="D8" s="24"/>
      <c r="E8" s="25"/>
      <c r="F8" s="30"/>
      <c r="G8" s="27">
        <f t="shared" si="0"/>
        <v>104</v>
      </c>
      <c r="H8" s="24"/>
      <c r="I8" s="24"/>
      <c r="J8" s="24"/>
      <c r="K8" s="24"/>
      <c r="L8" s="24"/>
      <c r="M8" s="54">
        <f t="shared" si="1"/>
        <v>0</v>
      </c>
      <c r="N8">
        <f t="shared" si="2"/>
        <v>1</v>
      </c>
    </row>
    <row r="9" spans="1:14" ht="23.25" customHeight="1">
      <c r="A9" s="23">
        <v>105</v>
      </c>
      <c r="B9" s="24"/>
      <c r="C9" s="24"/>
      <c r="D9" s="24"/>
      <c r="E9" s="25"/>
      <c r="F9" s="30"/>
      <c r="G9" s="27">
        <f t="shared" si="0"/>
        <v>105</v>
      </c>
      <c r="H9" s="24"/>
      <c r="I9" s="24"/>
      <c r="J9" s="24"/>
      <c r="K9" s="24"/>
      <c r="L9" s="24"/>
      <c r="M9" s="54">
        <f t="shared" si="1"/>
        <v>0</v>
      </c>
      <c r="N9">
        <f t="shared" si="2"/>
        <v>1</v>
      </c>
    </row>
    <row r="10" spans="1:14" ht="23.25" customHeight="1">
      <c r="A10" s="23">
        <v>106</v>
      </c>
      <c r="B10" s="24"/>
      <c r="C10" s="24"/>
      <c r="D10" s="24"/>
      <c r="E10" s="25"/>
      <c r="F10" s="30"/>
      <c r="G10" s="27">
        <f t="shared" si="0"/>
        <v>106</v>
      </c>
      <c r="H10" s="24"/>
      <c r="I10" s="24"/>
      <c r="J10" s="24"/>
      <c r="K10" s="24"/>
      <c r="L10" s="24"/>
      <c r="M10" s="54">
        <f t="shared" si="1"/>
        <v>0</v>
      </c>
      <c r="N10">
        <f t="shared" si="2"/>
        <v>1</v>
      </c>
    </row>
    <row r="11" spans="1:14" ht="23.25" customHeight="1">
      <c r="A11" s="23">
        <v>107</v>
      </c>
      <c r="B11" s="24"/>
      <c r="C11" s="37"/>
      <c r="D11" s="24"/>
      <c r="E11" s="25"/>
      <c r="F11" s="30"/>
      <c r="G11" s="27">
        <f t="shared" si="0"/>
        <v>107</v>
      </c>
      <c r="H11" s="23"/>
      <c r="I11" s="23"/>
      <c r="J11" s="23"/>
      <c r="K11" s="23"/>
      <c r="L11" s="23"/>
      <c r="M11" s="54">
        <f t="shared" si="1"/>
        <v>0</v>
      </c>
      <c r="N11">
        <f t="shared" si="2"/>
        <v>1</v>
      </c>
    </row>
    <row r="12" spans="1:14" ht="23.25" customHeight="1">
      <c r="A12" s="23">
        <v>108</v>
      </c>
      <c r="B12" s="24"/>
      <c r="C12" s="24"/>
      <c r="D12" s="24"/>
      <c r="E12" s="25"/>
      <c r="F12" s="30"/>
      <c r="G12" s="27">
        <f t="shared" si="0"/>
        <v>108</v>
      </c>
      <c r="H12" s="24"/>
      <c r="I12" s="24"/>
      <c r="J12" s="24"/>
      <c r="K12" s="24"/>
      <c r="L12" s="24"/>
      <c r="M12" s="54">
        <f t="shared" si="1"/>
        <v>0</v>
      </c>
      <c r="N12">
        <f t="shared" si="2"/>
        <v>1</v>
      </c>
    </row>
    <row r="13" spans="1:14" ht="23.25" customHeight="1">
      <c r="A13" s="23">
        <v>109</v>
      </c>
      <c r="B13" s="24"/>
      <c r="C13" s="24"/>
      <c r="D13" s="24"/>
      <c r="E13" s="25"/>
      <c r="F13" s="30"/>
      <c r="G13" s="27">
        <f t="shared" si="0"/>
        <v>109</v>
      </c>
      <c r="H13" s="24"/>
      <c r="I13" s="24"/>
      <c r="J13" s="24"/>
      <c r="K13" s="24"/>
      <c r="L13" s="24"/>
      <c r="M13" s="54">
        <f t="shared" si="1"/>
        <v>0</v>
      </c>
      <c r="N13">
        <f t="shared" si="2"/>
        <v>1</v>
      </c>
    </row>
    <row r="14" spans="1:14" ht="23.25" customHeight="1">
      <c r="A14" s="23">
        <v>110</v>
      </c>
      <c r="B14" s="24"/>
      <c r="C14" s="24"/>
      <c r="D14" s="24"/>
      <c r="E14" s="25"/>
      <c r="F14" s="30"/>
      <c r="G14" s="27">
        <f t="shared" si="0"/>
        <v>110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165" priority="4" operator="equal">
      <formula>0</formula>
    </cfRule>
    <cfRule type="expression" dxfId="164" priority="5">
      <formula>COUNTIF($M:$M,M5)&gt;1</formula>
    </cfRule>
    <cfRule type="cellIs" dxfId="163" priority="6" operator="greaterThanOrEqual">
      <formula>49</formula>
    </cfRule>
    <cfRule type="cellIs" dxfId="162" priority="7" operator="greaterThan">
      <formula>25</formula>
    </cfRule>
  </conditionalFormatting>
  <conditionalFormatting sqref="N1:N1048576">
    <cfRule type="cellIs" dxfId="161" priority="1" operator="equal">
      <formula>3</formula>
    </cfRule>
    <cfRule type="cellIs" dxfId="160" priority="2" operator="equal">
      <formula>2</formula>
    </cfRule>
    <cfRule type="cellIs" dxfId="159" priority="3" operator="equal">
      <formul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155CC"/>
    <outlinePr summaryBelow="0" summaryRight="0"/>
  </sheetPr>
  <dimension ref="A1:N54"/>
  <sheetViews>
    <sheetView workbookViewId="0">
      <selection activeCell="H5" sqref="H5:J6"/>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76" t="str">
        <f>'Your Categories'!B4</f>
        <v>Whiskerina Natural</v>
      </c>
      <c r="D1" s="68"/>
      <c r="E1" s="68"/>
      <c r="F1" s="15"/>
      <c r="G1" s="77" t="s">
        <v>52</v>
      </c>
      <c r="H1" s="68"/>
      <c r="I1" s="68"/>
      <c r="J1" s="68"/>
      <c r="K1" s="68"/>
      <c r="L1" s="68"/>
      <c r="M1" s="68"/>
    </row>
    <row r="2" spans="1:14" ht="23.25" customHeight="1">
      <c r="A2" s="84" t="s">
        <v>134</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201</v>
      </c>
      <c r="B5" s="24"/>
      <c r="C5" s="24"/>
      <c r="D5" s="23"/>
      <c r="E5" s="29"/>
      <c r="F5" s="26"/>
      <c r="G5" s="27">
        <f t="shared" si="0"/>
        <v>201</v>
      </c>
      <c r="H5" s="24"/>
      <c r="I5" s="24"/>
      <c r="J5" s="24"/>
      <c r="K5" s="24"/>
      <c r="L5" s="24"/>
      <c r="M5" s="54">
        <f t="shared" ref="M5:M54" si="1">SUM(H5:L5)</f>
        <v>0</v>
      </c>
      <c r="N5">
        <f>RANK(M5,$M$5:$M$17)</f>
        <v>1</v>
      </c>
    </row>
    <row r="6" spans="1:14" ht="23.25" customHeight="1">
      <c r="A6" s="23">
        <v>202</v>
      </c>
      <c r="B6" s="24"/>
      <c r="C6" s="24"/>
      <c r="D6" s="24"/>
      <c r="E6" s="25"/>
      <c r="F6" s="30"/>
      <c r="G6" s="27">
        <f t="shared" si="0"/>
        <v>202</v>
      </c>
      <c r="H6" s="23"/>
      <c r="I6" s="23"/>
      <c r="J6" s="23"/>
      <c r="K6" s="23"/>
      <c r="L6" s="23"/>
      <c r="M6" s="54">
        <f t="shared" si="1"/>
        <v>0</v>
      </c>
      <c r="N6">
        <f t="shared" ref="N6:N17" si="2">RANK(M6,$M$5:$M$17)</f>
        <v>1</v>
      </c>
    </row>
    <row r="7" spans="1:14" ht="23.25" customHeight="1">
      <c r="A7" s="23">
        <v>203</v>
      </c>
      <c r="B7" s="24"/>
      <c r="C7" s="24"/>
      <c r="D7" s="24"/>
      <c r="E7" s="25"/>
      <c r="F7" s="30"/>
      <c r="G7" s="27">
        <f t="shared" si="0"/>
        <v>203</v>
      </c>
      <c r="H7" s="24"/>
      <c r="I7" s="24"/>
      <c r="J7" s="24"/>
      <c r="K7" s="24"/>
      <c r="L7" s="24"/>
      <c r="M7" s="54">
        <f t="shared" si="1"/>
        <v>0</v>
      </c>
      <c r="N7">
        <f t="shared" si="2"/>
        <v>1</v>
      </c>
    </row>
    <row r="8" spans="1:14" ht="23.25" customHeight="1">
      <c r="A8" s="23">
        <v>204</v>
      </c>
      <c r="B8" s="24"/>
      <c r="C8" s="24"/>
      <c r="D8" s="24"/>
      <c r="E8" s="25"/>
      <c r="F8" s="30"/>
      <c r="G8" s="27">
        <f t="shared" si="0"/>
        <v>204</v>
      </c>
      <c r="H8" s="24"/>
      <c r="I8" s="24"/>
      <c r="J8" s="24"/>
      <c r="K8" s="24"/>
      <c r="L8" s="24"/>
      <c r="M8" s="54">
        <f t="shared" si="1"/>
        <v>0</v>
      </c>
      <c r="N8">
        <f t="shared" si="2"/>
        <v>1</v>
      </c>
    </row>
    <row r="9" spans="1:14" ht="23.25" customHeight="1">
      <c r="A9" s="23">
        <v>205</v>
      </c>
      <c r="B9" s="24"/>
      <c r="C9" s="24"/>
      <c r="D9" s="24"/>
      <c r="E9" s="25"/>
      <c r="F9" s="30"/>
      <c r="G9" s="27">
        <f t="shared" si="0"/>
        <v>205</v>
      </c>
      <c r="H9" s="24"/>
      <c r="I9" s="24"/>
      <c r="J9" s="24"/>
      <c r="K9" s="24"/>
      <c r="L9" s="24"/>
      <c r="M9" s="54">
        <f t="shared" si="1"/>
        <v>0</v>
      </c>
      <c r="N9">
        <f t="shared" si="2"/>
        <v>1</v>
      </c>
    </row>
    <row r="10" spans="1:14" ht="23.25" customHeight="1">
      <c r="A10" s="23">
        <v>206</v>
      </c>
      <c r="B10" s="24"/>
      <c r="C10" s="24"/>
      <c r="D10" s="24"/>
      <c r="E10" s="25"/>
      <c r="F10" s="30"/>
      <c r="G10" s="27">
        <f t="shared" si="0"/>
        <v>206</v>
      </c>
      <c r="H10" s="24"/>
      <c r="I10" s="24"/>
      <c r="J10" s="24"/>
      <c r="K10" s="24"/>
      <c r="L10" s="24"/>
      <c r="M10" s="54">
        <f t="shared" si="1"/>
        <v>0</v>
      </c>
      <c r="N10">
        <f t="shared" si="2"/>
        <v>1</v>
      </c>
    </row>
    <row r="11" spans="1:14" ht="23.25" customHeight="1">
      <c r="A11" s="23">
        <v>207</v>
      </c>
      <c r="B11" s="24"/>
      <c r="C11" s="37"/>
      <c r="D11" s="24"/>
      <c r="E11" s="25"/>
      <c r="F11" s="30"/>
      <c r="G11" s="27">
        <f t="shared" si="0"/>
        <v>207</v>
      </c>
      <c r="H11" s="23"/>
      <c r="I11" s="23"/>
      <c r="J11" s="23"/>
      <c r="K11" s="23"/>
      <c r="L11" s="23"/>
      <c r="M11" s="54">
        <f t="shared" si="1"/>
        <v>0</v>
      </c>
      <c r="N11">
        <f t="shared" si="2"/>
        <v>1</v>
      </c>
    </row>
    <row r="12" spans="1:14" ht="23.25" customHeight="1">
      <c r="A12" s="23">
        <v>208</v>
      </c>
      <c r="B12" s="24"/>
      <c r="C12" s="24"/>
      <c r="D12" s="24"/>
      <c r="E12" s="25"/>
      <c r="F12" s="30"/>
      <c r="G12" s="27">
        <f t="shared" si="0"/>
        <v>208</v>
      </c>
      <c r="H12" s="24"/>
      <c r="I12" s="24"/>
      <c r="J12" s="24"/>
      <c r="K12" s="24"/>
      <c r="L12" s="24"/>
      <c r="M12" s="54">
        <f t="shared" si="1"/>
        <v>0</v>
      </c>
      <c r="N12">
        <f t="shared" si="2"/>
        <v>1</v>
      </c>
    </row>
    <row r="13" spans="1:14" ht="23.25" customHeight="1">
      <c r="A13" s="23">
        <v>209</v>
      </c>
      <c r="B13" s="24"/>
      <c r="C13" s="24"/>
      <c r="D13" s="24"/>
      <c r="E13" s="25"/>
      <c r="F13" s="30"/>
      <c r="G13" s="27">
        <f t="shared" si="0"/>
        <v>209</v>
      </c>
      <c r="H13" s="24"/>
      <c r="I13" s="24"/>
      <c r="J13" s="24"/>
      <c r="K13" s="24"/>
      <c r="L13" s="24"/>
      <c r="M13" s="54">
        <f t="shared" si="1"/>
        <v>0</v>
      </c>
      <c r="N13">
        <f t="shared" si="2"/>
        <v>1</v>
      </c>
    </row>
    <row r="14" spans="1:14" ht="23.25" customHeight="1">
      <c r="A14" s="23">
        <v>210</v>
      </c>
      <c r="B14" s="24"/>
      <c r="C14" s="24"/>
      <c r="D14" s="24"/>
      <c r="E14" s="25"/>
      <c r="F14" s="30"/>
      <c r="G14" s="27">
        <f t="shared" si="0"/>
        <v>210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158" priority="4" operator="equal">
      <formula>0</formula>
    </cfRule>
    <cfRule type="expression" dxfId="157" priority="5">
      <formula>COUNTIF($M:$M,M5)&gt;1</formula>
    </cfRule>
    <cfRule type="cellIs" dxfId="156" priority="6" operator="greaterThanOrEqual">
      <formula>49</formula>
    </cfRule>
    <cfRule type="cellIs" dxfId="155" priority="7" operator="greaterThan">
      <formula>25</formula>
    </cfRule>
  </conditionalFormatting>
  <conditionalFormatting sqref="N1:N1048576">
    <cfRule type="cellIs" dxfId="154" priority="1" operator="equal">
      <formula>3</formula>
    </cfRule>
    <cfRule type="cellIs" dxfId="153" priority="2" operator="equal">
      <formula>2</formula>
    </cfRule>
    <cfRule type="cellIs" dxfId="152" priority="3" operator="equal">
      <formula>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155CC"/>
    <outlinePr summaryBelow="0" summaryRight="0"/>
  </sheetPr>
  <dimension ref="A1:N53"/>
  <sheetViews>
    <sheetView workbookViewId="0">
      <selection activeCell="H5" sqref="H5:J6"/>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5" t="str">
        <f>'Your Categories'!B5</f>
        <v>Freestyle</v>
      </c>
      <c r="D1" s="68"/>
      <c r="E1" s="68"/>
      <c r="F1" s="15"/>
      <c r="G1" s="77" t="s">
        <v>52</v>
      </c>
      <c r="H1" s="68"/>
      <c r="I1" s="68"/>
      <c r="J1" s="68"/>
      <c r="K1" s="68"/>
      <c r="L1" s="68"/>
      <c r="M1" s="68"/>
    </row>
    <row r="2" spans="1:14" ht="23.25" customHeight="1">
      <c r="A2" s="84" t="s">
        <v>136</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3" si="0">A4</f>
        <v>#</v>
      </c>
      <c r="H4" s="21" t="s">
        <v>60</v>
      </c>
      <c r="I4" s="21" t="s">
        <v>61</v>
      </c>
      <c r="J4" s="21" t="s">
        <v>62</v>
      </c>
      <c r="K4" s="21" t="s">
        <v>63</v>
      </c>
      <c r="L4" s="21" t="s">
        <v>64</v>
      </c>
      <c r="M4" s="22" t="s">
        <v>65</v>
      </c>
    </row>
    <row r="5" spans="1:14" ht="23.25" customHeight="1">
      <c r="A5" s="23">
        <v>301</v>
      </c>
      <c r="B5" s="24"/>
      <c r="C5" s="24"/>
      <c r="D5" s="23"/>
      <c r="E5" s="29"/>
      <c r="F5" s="26"/>
      <c r="G5" s="27">
        <f t="shared" si="0"/>
        <v>301</v>
      </c>
      <c r="H5" s="24"/>
      <c r="I5" s="24"/>
      <c r="J5" s="24"/>
      <c r="K5" s="24"/>
      <c r="L5" s="24"/>
      <c r="M5" s="54">
        <f t="shared" ref="M5:M53" si="1">SUM(H5:L5)</f>
        <v>0</v>
      </c>
      <c r="N5">
        <f>RANK(M5,$M$5:$M$17)</f>
        <v>1</v>
      </c>
    </row>
    <row r="6" spans="1:14" ht="23.25" customHeight="1">
      <c r="A6" s="23">
        <v>302</v>
      </c>
      <c r="B6" s="24"/>
      <c r="C6" s="24"/>
      <c r="D6" s="24"/>
      <c r="E6" s="25"/>
      <c r="F6" s="30"/>
      <c r="G6" s="27">
        <f t="shared" si="0"/>
        <v>302</v>
      </c>
      <c r="H6" s="23"/>
      <c r="I6" s="23"/>
      <c r="J6" s="23"/>
      <c r="K6" s="23"/>
      <c r="L6" s="23"/>
      <c r="M6" s="54">
        <f t="shared" si="1"/>
        <v>0</v>
      </c>
      <c r="N6">
        <f t="shared" ref="N6:N17" si="2">RANK(M6,$M$5:$M$17)</f>
        <v>1</v>
      </c>
    </row>
    <row r="7" spans="1:14" ht="23.25" customHeight="1">
      <c r="A7" s="23">
        <v>303</v>
      </c>
      <c r="B7" s="24"/>
      <c r="C7" s="24"/>
      <c r="D7" s="24"/>
      <c r="E7" s="25"/>
      <c r="F7" s="30"/>
      <c r="G7" s="27">
        <f t="shared" si="0"/>
        <v>303</v>
      </c>
      <c r="H7" s="24"/>
      <c r="I7" s="24"/>
      <c r="J7" s="24"/>
      <c r="K7" s="24"/>
      <c r="L7" s="24"/>
      <c r="M7" s="54">
        <f t="shared" si="1"/>
        <v>0</v>
      </c>
      <c r="N7">
        <f t="shared" si="2"/>
        <v>1</v>
      </c>
    </row>
    <row r="8" spans="1:14" ht="23.25" customHeight="1">
      <c r="A8" s="23">
        <v>304</v>
      </c>
      <c r="B8" s="24"/>
      <c r="C8" s="24"/>
      <c r="D8" s="24"/>
      <c r="E8" s="25"/>
      <c r="F8" s="30"/>
      <c r="G8" s="27">
        <f t="shared" si="0"/>
        <v>304</v>
      </c>
      <c r="H8" s="24"/>
      <c r="I8" s="24"/>
      <c r="J8" s="24"/>
      <c r="K8" s="24"/>
      <c r="L8" s="24"/>
      <c r="M8" s="54">
        <f t="shared" si="1"/>
        <v>0</v>
      </c>
      <c r="N8">
        <f t="shared" si="2"/>
        <v>1</v>
      </c>
    </row>
    <row r="9" spans="1:14" ht="23.25" customHeight="1">
      <c r="A9" s="23">
        <v>305</v>
      </c>
      <c r="B9" s="24"/>
      <c r="C9" s="24"/>
      <c r="D9" s="24"/>
      <c r="E9" s="25"/>
      <c r="F9" s="30"/>
      <c r="G9" s="27">
        <f t="shared" si="0"/>
        <v>305</v>
      </c>
      <c r="H9" s="24"/>
      <c r="I9" s="24"/>
      <c r="J9" s="24"/>
      <c r="K9" s="24"/>
      <c r="L9" s="24"/>
      <c r="M9" s="54">
        <f t="shared" si="1"/>
        <v>0</v>
      </c>
      <c r="N9">
        <f t="shared" si="2"/>
        <v>1</v>
      </c>
    </row>
    <row r="10" spans="1:14" ht="23.25" customHeight="1">
      <c r="A10" s="23">
        <v>306</v>
      </c>
      <c r="B10" s="24"/>
      <c r="C10" s="37"/>
      <c r="D10" s="24"/>
      <c r="E10" s="25"/>
      <c r="F10" s="30"/>
      <c r="G10" s="27">
        <f t="shared" si="0"/>
        <v>306</v>
      </c>
      <c r="H10" s="23"/>
      <c r="I10" s="23"/>
      <c r="J10" s="23"/>
      <c r="K10" s="23"/>
      <c r="L10" s="23"/>
      <c r="M10" s="54">
        <f t="shared" si="1"/>
        <v>0</v>
      </c>
      <c r="N10">
        <f t="shared" si="2"/>
        <v>1</v>
      </c>
    </row>
    <row r="11" spans="1:14" ht="23.25" customHeight="1">
      <c r="A11" s="23">
        <v>307</v>
      </c>
      <c r="B11" s="24"/>
      <c r="C11" s="24"/>
      <c r="D11" s="24"/>
      <c r="E11" s="25"/>
      <c r="F11" s="30"/>
      <c r="G11" s="27">
        <f t="shared" si="0"/>
        <v>307</v>
      </c>
      <c r="H11" s="24"/>
      <c r="I11" s="24"/>
      <c r="J11" s="24"/>
      <c r="K11" s="24"/>
      <c r="L11" s="24"/>
      <c r="M11" s="54">
        <f t="shared" si="1"/>
        <v>0</v>
      </c>
      <c r="N11">
        <f t="shared" si="2"/>
        <v>1</v>
      </c>
    </row>
    <row r="12" spans="1:14" ht="23.25" customHeight="1">
      <c r="A12" s="23">
        <v>308</v>
      </c>
      <c r="B12" s="24"/>
      <c r="C12" s="24"/>
      <c r="D12" s="24"/>
      <c r="E12" s="25"/>
      <c r="F12" s="30"/>
      <c r="G12" s="27">
        <f t="shared" si="0"/>
        <v>308</v>
      </c>
      <c r="H12" s="24"/>
      <c r="I12" s="24"/>
      <c r="J12" s="24"/>
      <c r="K12" s="24"/>
      <c r="L12" s="24"/>
      <c r="M12" s="54">
        <f t="shared" si="1"/>
        <v>0</v>
      </c>
      <c r="N12">
        <f t="shared" si="2"/>
        <v>1</v>
      </c>
    </row>
    <row r="13" spans="1:14" ht="23.25" customHeight="1">
      <c r="A13" s="23">
        <v>309</v>
      </c>
      <c r="B13" s="24"/>
      <c r="C13" s="24"/>
      <c r="D13" s="24"/>
      <c r="E13" s="25"/>
      <c r="F13" s="30"/>
      <c r="G13" s="27">
        <f t="shared" si="0"/>
        <v>309</v>
      </c>
      <c r="H13" s="24"/>
      <c r="I13" s="24"/>
      <c r="J13" s="24"/>
      <c r="K13" s="24"/>
      <c r="L13" s="24"/>
      <c r="M13" s="54">
        <f t="shared" si="1"/>
        <v>0</v>
      </c>
      <c r="N13">
        <f t="shared" si="2"/>
        <v>1</v>
      </c>
    </row>
    <row r="14" spans="1:14" ht="23.25" customHeight="1">
      <c r="A14" s="23">
        <v>310</v>
      </c>
      <c r="B14" s="24"/>
      <c r="C14" s="24"/>
      <c r="D14" s="24"/>
      <c r="E14" s="25"/>
      <c r="F14" s="30"/>
      <c r="G14" s="27">
        <f t="shared" si="0"/>
        <v>310</v>
      </c>
      <c r="H14" s="24"/>
      <c r="I14" s="24"/>
      <c r="J14" s="24"/>
      <c r="K14" s="24"/>
      <c r="L14" s="24"/>
      <c r="M14" s="54">
        <f t="shared" si="1"/>
        <v>0</v>
      </c>
      <c r="N14">
        <f t="shared" si="2"/>
        <v>1</v>
      </c>
    </row>
    <row r="15" spans="1:14" ht="23.25" customHeight="1">
      <c r="A15" s="23"/>
      <c r="B15" s="55"/>
      <c r="C15" s="56"/>
      <c r="D15" s="24"/>
      <c r="E15" s="25"/>
      <c r="F15" s="30"/>
      <c r="G15" s="27">
        <f t="shared" si="0"/>
        <v>0</v>
      </c>
      <c r="H15" s="24"/>
      <c r="I15" s="24"/>
      <c r="J15" s="24"/>
      <c r="K15" s="24"/>
      <c r="L15" s="24"/>
      <c r="M15" s="54">
        <f t="shared" si="1"/>
        <v>0</v>
      </c>
      <c r="N15">
        <f t="shared" si="2"/>
        <v>1</v>
      </c>
    </row>
    <row r="16" spans="1:14" ht="23.25" customHeight="1">
      <c r="A16" s="24"/>
      <c r="B16" s="34"/>
      <c r="C16" s="34"/>
      <c r="D16" s="34"/>
      <c r="E16" s="34"/>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1">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sheetData>
  <mergeCells count="5">
    <mergeCell ref="A1:B1"/>
    <mergeCell ref="C1:E1"/>
    <mergeCell ref="G1:M3"/>
    <mergeCell ref="A2:E2"/>
    <mergeCell ref="A3:E3"/>
  </mergeCells>
  <conditionalFormatting sqref="M5:M53">
    <cfRule type="cellIs" dxfId="151" priority="4" operator="equal">
      <formula>0</formula>
    </cfRule>
    <cfRule type="expression" dxfId="150" priority="5">
      <formula>COUNTIF($M:$M,M5)&gt;1</formula>
    </cfRule>
    <cfRule type="cellIs" dxfId="149" priority="6" operator="greaterThanOrEqual">
      <formula>49</formula>
    </cfRule>
    <cfRule type="cellIs" dxfId="148" priority="7" operator="greaterThan">
      <formula>25</formula>
    </cfRule>
  </conditionalFormatting>
  <conditionalFormatting sqref="N1:N1048576">
    <cfRule type="cellIs" dxfId="147" priority="1" operator="equal">
      <formula>3</formula>
    </cfRule>
    <cfRule type="cellIs" dxfId="146" priority="2" operator="equal">
      <formula>2</formula>
    </cfRule>
    <cfRule type="cellIs" dxfId="145" priority="3" operator="equal">
      <formula>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155CC"/>
    <outlinePr summaryBelow="0" summaryRight="0"/>
  </sheetPr>
  <dimension ref="A1:N54"/>
  <sheetViews>
    <sheetView workbookViewId="0">
      <selection activeCell="H5" sqref="H5:J8"/>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5" t="str">
        <f>'Your Categories'!B6</f>
        <v>Chops</v>
      </c>
      <c r="D1" s="68"/>
      <c r="E1" s="68"/>
      <c r="F1" s="15"/>
      <c r="G1" s="77" t="s">
        <v>52</v>
      </c>
      <c r="H1" s="68"/>
      <c r="I1" s="68"/>
      <c r="J1" s="68"/>
      <c r="K1" s="68"/>
      <c r="L1" s="68"/>
      <c r="M1" s="68"/>
    </row>
    <row r="2" spans="1:14" ht="23.25" customHeight="1">
      <c r="A2" s="86" t="s">
        <v>135</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4" si="0">A4</f>
        <v>#</v>
      </c>
      <c r="H4" s="21" t="s">
        <v>60</v>
      </c>
      <c r="I4" s="21" t="s">
        <v>61</v>
      </c>
      <c r="J4" s="21" t="s">
        <v>62</v>
      </c>
      <c r="K4" s="21" t="s">
        <v>63</v>
      </c>
      <c r="L4" s="21" t="s">
        <v>64</v>
      </c>
      <c r="M4" s="22" t="s">
        <v>65</v>
      </c>
    </row>
    <row r="5" spans="1:14" ht="23.25" customHeight="1">
      <c r="A5" s="23">
        <v>401</v>
      </c>
      <c r="B5" s="24"/>
      <c r="C5" s="24"/>
      <c r="D5" s="23"/>
      <c r="E5" s="29"/>
      <c r="F5" s="26"/>
      <c r="G5" s="27">
        <f t="shared" si="0"/>
        <v>401</v>
      </c>
      <c r="H5" s="24"/>
      <c r="I5" s="24"/>
      <c r="J5" s="24"/>
      <c r="K5" s="24"/>
      <c r="L5" s="24"/>
      <c r="M5" s="54">
        <f t="shared" ref="M5:M54" si="1">SUM(H5:L5)</f>
        <v>0</v>
      </c>
      <c r="N5">
        <f>RANK(M5,$M$5:$M$17)</f>
        <v>1</v>
      </c>
    </row>
    <row r="6" spans="1:14" ht="23.25" customHeight="1">
      <c r="A6" s="23">
        <v>402</v>
      </c>
      <c r="B6" s="24"/>
      <c r="C6" s="24"/>
      <c r="D6" s="24"/>
      <c r="E6" s="25"/>
      <c r="F6" s="30"/>
      <c r="G6" s="27">
        <f t="shared" si="0"/>
        <v>402</v>
      </c>
      <c r="H6" s="23"/>
      <c r="I6" s="23"/>
      <c r="J6" s="23"/>
      <c r="K6" s="23"/>
      <c r="L6" s="23"/>
      <c r="M6" s="54">
        <f t="shared" si="1"/>
        <v>0</v>
      </c>
      <c r="N6">
        <f t="shared" ref="N6:N17" si="2">RANK(M6,$M$5:$M$17)</f>
        <v>1</v>
      </c>
    </row>
    <row r="7" spans="1:14" ht="23.25" customHeight="1">
      <c r="A7" s="23">
        <v>403</v>
      </c>
      <c r="B7" s="24"/>
      <c r="C7" s="24"/>
      <c r="D7" s="24"/>
      <c r="E7" s="25"/>
      <c r="F7" s="30"/>
      <c r="G7" s="27">
        <f t="shared" si="0"/>
        <v>403</v>
      </c>
      <c r="H7" s="24"/>
      <c r="I7" s="24"/>
      <c r="J7" s="24"/>
      <c r="K7" s="24"/>
      <c r="L7" s="24"/>
      <c r="M7" s="54">
        <f t="shared" si="1"/>
        <v>0</v>
      </c>
      <c r="N7">
        <f t="shared" si="2"/>
        <v>1</v>
      </c>
    </row>
    <row r="8" spans="1:14" ht="23.25" customHeight="1">
      <c r="A8" s="23">
        <v>404</v>
      </c>
      <c r="B8" s="24"/>
      <c r="C8" s="24"/>
      <c r="D8" s="24"/>
      <c r="E8" s="25"/>
      <c r="F8" s="30"/>
      <c r="G8" s="27">
        <f t="shared" si="0"/>
        <v>404</v>
      </c>
      <c r="H8" s="24"/>
      <c r="I8" s="24"/>
      <c r="J8" s="24"/>
      <c r="K8" s="24"/>
      <c r="L8" s="24"/>
      <c r="M8" s="54">
        <f t="shared" si="1"/>
        <v>0</v>
      </c>
      <c r="N8">
        <f t="shared" si="2"/>
        <v>1</v>
      </c>
    </row>
    <row r="9" spans="1:14" ht="23.25" customHeight="1">
      <c r="A9" s="23">
        <v>405</v>
      </c>
      <c r="B9" s="24"/>
      <c r="C9" s="24"/>
      <c r="D9" s="24"/>
      <c r="E9" s="25"/>
      <c r="F9" s="30"/>
      <c r="G9" s="27">
        <f t="shared" si="0"/>
        <v>405</v>
      </c>
      <c r="H9" s="24"/>
      <c r="I9" s="24"/>
      <c r="J9" s="24"/>
      <c r="K9" s="24"/>
      <c r="L9" s="24"/>
      <c r="M9" s="54">
        <f t="shared" si="1"/>
        <v>0</v>
      </c>
      <c r="N9">
        <f t="shared" si="2"/>
        <v>1</v>
      </c>
    </row>
    <row r="10" spans="1:14" ht="23.25" customHeight="1">
      <c r="A10" s="23">
        <v>406</v>
      </c>
      <c r="B10" s="24"/>
      <c r="C10" s="24"/>
      <c r="D10" s="24"/>
      <c r="E10" s="25"/>
      <c r="F10" s="30"/>
      <c r="G10" s="27">
        <f t="shared" si="0"/>
        <v>406</v>
      </c>
      <c r="H10" s="24"/>
      <c r="I10" s="24"/>
      <c r="J10" s="24"/>
      <c r="K10" s="24"/>
      <c r="L10" s="24"/>
      <c r="M10" s="54">
        <f t="shared" si="1"/>
        <v>0</v>
      </c>
      <c r="N10">
        <f t="shared" si="2"/>
        <v>1</v>
      </c>
    </row>
    <row r="11" spans="1:14" ht="23.25" customHeight="1">
      <c r="A11" s="23">
        <v>407</v>
      </c>
      <c r="B11" s="24"/>
      <c r="C11" s="37"/>
      <c r="D11" s="24"/>
      <c r="E11" s="25"/>
      <c r="F11" s="30"/>
      <c r="G11" s="27">
        <f t="shared" si="0"/>
        <v>407</v>
      </c>
      <c r="H11" s="23"/>
      <c r="I11" s="23"/>
      <c r="J11" s="23"/>
      <c r="K11" s="23"/>
      <c r="L11" s="23"/>
      <c r="M11" s="54">
        <f t="shared" si="1"/>
        <v>0</v>
      </c>
      <c r="N11">
        <f t="shared" si="2"/>
        <v>1</v>
      </c>
    </row>
    <row r="12" spans="1:14" ht="23.25" customHeight="1">
      <c r="A12" s="23">
        <v>408</v>
      </c>
      <c r="B12" s="24"/>
      <c r="C12" s="24"/>
      <c r="D12" s="24"/>
      <c r="E12" s="25"/>
      <c r="F12" s="30"/>
      <c r="G12" s="27">
        <f t="shared" si="0"/>
        <v>408</v>
      </c>
      <c r="H12" s="24"/>
      <c r="I12" s="24"/>
      <c r="J12" s="24"/>
      <c r="K12" s="24"/>
      <c r="L12" s="24"/>
      <c r="M12" s="54">
        <f t="shared" si="1"/>
        <v>0</v>
      </c>
      <c r="N12">
        <f t="shared" si="2"/>
        <v>1</v>
      </c>
    </row>
    <row r="13" spans="1:14" ht="23.25" customHeight="1">
      <c r="A13" s="23">
        <v>409</v>
      </c>
      <c r="B13" s="24"/>
      <c r="C13" s="24"/>
      <c r="D13" s="24"/>
      <c r="E13" s="25"/>
      <c r="F13" s="30"/>
      <c r="G13" s="27">
        <f t="shared" si="0"/>
        <v>409</v>
      </c>
      <c r="H13" s="24"/>
      <c r="I13" s="24"/>
      <c r="J13" s="24"/>
      <c r="K13" s="24"/>
      <c r="L13" s="24"/>
      <c r="M13" s="54">
        <f t="shared" si="1"/>
        <v>0</v>
      </c>
      <c r="N13">
        <f t="shared" si="2"/>
        <v>1</v>
      </c>
    </row>
    <row r="14" spans="1:14" ht="23.25" customHeight="1">
      <c r="A14" s="23">
        <v>410</v>
      </c>
      <c r="B14" s="24"/>
      <c r="C14" s="24"/>
      <c r="D14" s="24"/>
      <c r="E14" s="25"/>
      <c r="F14" s="30"/>
      <c r="G14" s="27">
        <f t="shared" si="0"/>
        <v>410</v>
      </c>
      <c r="H14" s="24"/>
      <c r="I14" s="24"/>
      <c r="J14" s="24"/>
      <c r="K14" s="24"/>
      <c r="L14" s="24"/>
      <c r="M14" s="54">
        <f t="shared" si="1"/>
        <v>0</v>
      </c>
      <c r="N14">
        <f t="shared" si="2"/>
        <v>1</v>
      </c>
    </row>
    <row r="15" spans="1:14" ht="23.25" customHeight="1">
      <c r="A15" s="23"/>
      <c r="B15" s="24"/>
      <c r="C15" s="24"/>
      <c r="D15" s="24"/>
      <c r="E15" s="25"/>
      <c r="F15" s="30"/>
      <c r="G15" s="27">
        <f t="shared" si="0"/>
        <v>0</v>
      </c>
      <c r="H15" s="24"/>
      <c r="I15" s="24"/>
      <c r="J15" s="24"/>
      <c r="K15" s="24"/>
      <c r="L15" s="24"/>
      <c r="M15" s="54">
        <f t="shared" si="1"/>
        <v>0</v>
      </c>
      <c r="N15">
        <f t="shared" si="2"/>
        <v>1</v>
      </c>
    </row>
    <row r="16" spans="1:14" ht="23.25" customHeight="1">
      <c r="A16" s="23"/>
      <c r="B16" s="55"/>
      <c r="C16" s="56"/>
      <c r="D16" s="24"/>
      <c r="E16" s="25"/>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7">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row r="54" spans="7:13" ht="23.25" customHeight="1">
      <c r="G54" s="21">
        <f t="shared" si="0"/>
        <v>0</v>
      </c>
      <c r="H54" s="24"/>
      <c r="I54" s="24"/>
      <c r="J54" s="24"/>
      <c r="K54" s="24"/>
      <c r="L54" s="24"/>
      <c r="M54" s="54">
        <f t="shared" si="1"/>
        <v>0</v>
      </c>
    </row>
  </sheetData>
  <mergeCells count="5">
    <mergeCell ref="A1:B1"/>
    <mergeCell ref="C1:E1"/>
    <mergeCell ref="G1:M3"/>
    <mergeCell ref="A2:E2"/>
    <mergeCell ref="A3:E3"/>
  </mergeCells>
  <conditionalFormatting sqref="M5:M54">
    <cfRule type="cellIs" dxfId="144" priority="4" operator="equal">
      <formula>0</formula>
    </cfRule>
    <cfRule type="expression" dxfId="143" priority="5">
      <formula>COUNTIF($M:$M,M5)&gt;1</formula>
    </cfRule>
    <cfRule type="cellIs" dxfId="142" priority="6" operator="greaterThanOrEqual">
      <formula>49</formula>
    </cfRule>
    <cfRule type="cellIs" dxfId="141" priority="7" operator="greaterThan">
      <formula>25</formula>
    </cfRule>
  </conditionalFormatting>
  <conditionalFormatting sqref="N1:N1048576">
    <cfRule type="cellIs" dxfId="140" priority="1" operator="equal">
      <formula>3</formula>
    </cfRule>
    <cfRule type="cellIs" dxfId="139" priority="2" operator="equal">
      <formula>2</formula>
    </cfRule>
    <cfRule type="cellIs" dxfId="138" priority="3" operator="equal">
      <formula>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155CC"/>
    <outlinePr summaryBelow="0" summaryRight="0"/>
  </sheetPr>
  <dimension ref="A1:N53"/>
  <sheetViews>
    <sheetView topLeftCell="B1" workbookViewId="0">
      <selection activeCell="B5" sqref="B5:B6"/>
    </sheetView>
  </sheetViews>
  <sheetFormatPr defaultColWidth="12.5703125" defaultRowHeight="12.75" customHeight="1"/>
  <cols>
    <col min="1" max="1" width="6.85546875" customWidth="1"/>
    <col min="2" max="2" width="22" customWidth="1"/>
    <col min="3" max="3" width="41.85546875" customWidth="1"/>
    <col min="4" max="4" width="17.28515625" customWidth="1"/>
    <col min="5" max="5" width="12.85546875" customWidth="1"/>
    <col min="6" max="6" width="1" customWidth="1"/>
    <col min="7" max="7" width="7.28515625" customWidth="1"/>
    <col min="8" max="12" width="9" customWidth="1"/>
    <col min="13" max="13" width="9.140625" customWidth="1"/>
  </cols>
  <sheetData>
    <row r="1" spans="1:14" ht="23.25" customHeight="1">
      <c r="A1" s="75" t="s">
        <v>50</v>
      </c>
      <c r="B1" s="68"/>
      <c r="C1" s="87" t="str">
        <f>'Your Categories'!B7</f>
        <v>Whiskerina Creative</v>
      </c>
      <c r="D1" s="68"/>
      <c r="E1" s="68"/>
      <c r="F1" s="15"/>
      <c r="G1" s="77" t="s">
        <v>52</v>
      </c>
      <c r="H1" s="68"/>
      <c r="I1" s="68"/>
      <c r="J1" s="68"/>
      <c r="K1" s="68"/>
      <c r="L1" s="68"/>
      <c r="M1" s="68"/>
    </row>
    <row r="2" spans="1:14" ht="23.25" customHeight="1">
      <c r="A2" s="86" t="s">
        <v>133</v>
      </c>
      <c r="B2" s="68"/>
      <c r="C2" s="68"/>
      <c r="D2" s="68"/>
      <c r="E2" s="68"/>
      <c r="F2" s="15"/>
      <c r="G2" s="68"/>
      <c r="H2" s="68"/>
      <c r="I2" s="68"/>
      <c r="J2" s="68"/>
      <c r="K2" s="68"/>
      <c r="L2" s="68"/>
      <c r="M2" s="68"/>
    </row>
    <row r="3" spans="1:14" ht="23.25" customHeight="1">
      <c r="A3" s="79"/>
      <c r="B3" s="80"/>
      <c r="C3" s="80"/>
      <c r="D3" s="80"/>
      <c r="E3" s="80"/>
      <c r="F3" s="17"/>
      <c r="G3" s="68"/>
      <c r="H3" s="68"/>
      <c r="I3" s="68"/>
      <c r="J3" s="68"/>
      <c r="K3" s="68"/>
      <c r="L3" s="68"/>
      <c r="M3" s="68"/>
    </row>
    <row r="4" spans="1:14" ht="23.25" customHeight="1">
      <c r="A4" s="52" t="s">
        <v>55</v>
      </c>
      <c r="B4" s="52" t="s">
        <v>56</v>
      </c>
      <c r="C4" s="52" t="s">
        <v>57</v>
      </c>
      <c r="D4" s="52" t="s">
        <v>58</v>
      </c>
      <c r="E4" s="53" t="s">
        <v>59</v>
      </c>
      <c r="F4" s="20"/>
      <c r="G4" s="21" t="str">
        <f t="shared" ref="G4:G53" si="0">A4</f>
        <v>#</v>
      </c>
      <c r="H4" s="21" t="s">
        <v>60</v>
      </c>
      <c r="I4" s="21" t="s">
        <v>61</v>
      </c>
      <c r="J4" s="21" t="s">
        <v>62</v>
      </c>
      <c r="K4" s="21" t="s">
        <v>63</v>
      </c>
      <c r="L4" s="21" t="s">
        <v>64</v>
      </c>
      <c r="M4" s="22" t="s">
        <v>65</v>
      </c>
    </row>
    <row r="5" spans="1:14" ht="23.25" customHeight="1">
      <c r="A5" s="23">
        <v>501</v>
      </c>
      <c r="B5" s="24"/>
      <c r="C5" s="24"/>
      <c r="D5" s="23"/>
      <c r="E5" s="29"/>
      <c r="F5" s="26"/>
      <c r="G5" s="27">
        <f t="shared" si="0"/>
        <v>501</v>
      </c>
      <c r="H5" s="24"/>
      <c r="I5" s="24"/>
      <c r="J5" s="24"/>
      <c r="K5" s="24"/>
      <c r="L5" s="24"/>
      <c r="M5" s="54">
        <f t="shared" ref="M5:M53" si="1">SUM(H5:L5)</f>
        <v>0</v>
      </c>
      <c r="N5">
        <f>RANK(M5,$M$5:$M$17)</f>
        <v>1</v>
      </c>
    </row>
    <row r="6" spans="1:14" ht="23.25" customHeight="1">
      <c r="A6" s="23">
        <v>502</v>
      </c>
      <c r="B6" s="24"/>
      <c r="C6" s="24"/>
      <c r="D6" s="24"/>
      <c r="E6" s="25"/>
      <c r="F6" s="30"/>
      <c r="G6" s="27">
        <f t="shared" si="0"/>
        <v>502</v>
      </c>
      <c r="H6" s="24"/>
      <c r="I6" s="24"/>
      <c r="J6" s="24"/>
      <c r="K6" s="24"/>
      <c r="L6" s="24"/>
      <c r="M6" s="54">
        <f t="shared" si="1"/>
        <v>0</v>
      </c>
      <c r="N6">
        <f t="shared" ref="N6:N17" si="2">RANK(M6,$M$5:$M$17)</f>
        <v>1</v>
      </c>
    </row>
    <row r="7" spans="1:14" ht="23.25" customHeight="1">
      <c r="A7" s="23">
        <v>503</v>
      </c>
      <c r="B7" s="24"/>
      <c r="C7" s="24"/>
      <c r="D7" s="24"/>
      <c r="E7" s="25"/>
      <c r="F7" s="30"/>
      <c r="G7" s="27">
        <f t="shared" si="0"/>
        <v>503</v>
      </c>
      <c r="H7" s="24"/>
      <c r="I7" s="24"/>
      <c r="J7" s="24"/>
      <c r="K7" s="24"/>
      <c r="L7" s="24"/>
      <c r="M7" s="54">
        <f t="shared" si="1"/>
        <v>0</v>
      </c>
      <c r="N7">
        <f t="shared" si="2"/>
        <v>1</v>
      </c>
    </row>
    <row r="8" spans="1:14" ht="23.25" customHeight="1">
      <c r="A8" s="23">
        <v>504</v>
      </c>
      <c r="B8" s="24"/>
      <c r="C8" s="24"/>
      <c r="D8" s="24"/>
      <c r="E8" s="25"/>
      <c r="F8" s="30"/>
      <c r="G8" s="27">
        <f t="shared" si="0"/>
        <v>504</v>
      </c>
      <c r="H8" s="24"/>
      <c r="I8" s="24"/>
      <c r="J8" s="24"/>
      <c r="K8" s="24"/>
      <c r="L8" s="24"/>
      <c r="M8" s="54">
        <f t="shared" si="1"/>
        <v>0</v>
      </c>
      <c r="N8">
        <f t="shared" si="2"/>
        <v>1</v>
      </c>
    </row>
    <row r="9" spans="1:14" ht="23.25" customHeight="1">
      <c r="A9" s="23">
        <v>505</v>
      </c>
      <c r="B9" s="24"/>
      <c r="C9" s="24"/>
      <c r="D9" s="24"/>
      <c r="E9" s="25"/>
      <c r="F9" s="30"/>
      <c r="G9" s="27">
        <f t="shared" si="0"/>
        <v>505</v>
      </c>
      <c r="H9" s="24"/>
      <c r="I9" s="24"/>
      <c r="J9" s="24"/>
      <c r="K9" s="24"/>
      <c r="L9" s="24"/>
      <c r="M9" s="54">
        <f t="shared" si="1"/>
        <v>0</v>
      </c>
      <c r="N9">
        <f t="shared" si="2"/>
        <v>1</v>
      </c>
    </row>
    <row r="10" spans="1:14" ht="23.25" customHeight="1">
      <c r="A10" s="23">
        <v>506</v>
      </c>
      <c r="B10" s="24"/>
      <c r="C10" s="37"/>
      <c r="D10" s="24"/>
      <c r="E10" s="25"/>
      <c r="F10" s="30"/>
      <c r="G10" s="27">
        <f t="shared" si="0"/>
        <v>506</v>
      </c>
      <c r="H10" s="23"/>
      <c r="I10" s="23"/>
      <c r="J10" s="23"/>
      <c r="K10" s="23"/>
      <c r="L10" s="23"/>
      <c r="M10" s="54">
        <f t="shared" si="1"/>
        <v>0</v>
      </c>
      <c r="N10">
        <f t="shared" si="2"/>
        <v>1</v>
      </c>
    </row>
    <row r="11" spans="1:14" ht="23.25" customHeight="1">
      <c r="A11" s="23">
        <v>507</v>
      </c>
      <c r="B11" s="24"/>
      <c r="C11" s="24"/>
      <c r="D11" s="24"/>
      <c r="E11" s="25"/>
      <c r="F11" s="30"/>
      <c r="G11" s="27">
        <f t="shared" si="0"/>
        <v>507</v>
      </c>
      <c r="H11" s="24"/>
      <c r="I11" s="24"/>
      <c r="J11" s="24"/>
      <c r="K11" s="24"/>
      <c r="L11" s="24"/>
      <c r="M11" s="54">
        <f t="shared" si="1"/>
        <v>0</v>
      </c>
      <c r="N11">
        <f t="shared" si="2"/>
        <v>1</v>
      </c>
    </row>
    <row r="12" spans="1:14" ht="23.25" customHeight="1">
      <c r="A12" s="23">
        <v>508</v>
      </c>
      <c r="B12" s="24"/>
      <c r="C12" s="24"/>
      <c r="D12" s="24"/>
      <c r="E12" s="25"/>
      <c r="F12" s="30"/>
      <c r="G12" s="27">
        <f t="shared" si="0"/>
        <v>508</v>
      </c>
      <c r="H12" s="24"/>
      <c r="I12" s="24"/>
      <c r="J12" s="24"/>
      <c r="K12" s="24"/>
      <c r="L12" s="24"/>
      <c r="M12" s="54">
        <f t="shared" si="1"/>
        <v>0</v>
      </c>
      <c r="N12">
        <f t="shared" si="2"/>
        <v>1</v>
      </c>
    </row>
    <row r="13" spans="1:14" ht="23.25" customHeight="1">
      <c r="A13" s="23">
        <v>509</v>
      </c>
      <c r="B13" s="24"/>
      <c r="C13" s="24"/>
      <c r="D13" s="24"/>
      <c r="E13" s="25"/>
      <c r="F13" s="30"/>
      <c r="G13" s="27">
        <f t="shared" si="0"/>
        <v>509</v>
      </c>
      <c r="H13" s="24"/>
      <c r="I13" s="24"/>
      <c r="J13" s="24"/>
      <c r="K13" s="24"/>
      <c r="L13" s="24"/>
      <c r="M13" s="54">
        <f t="shared" si="1"/>
        <v>0</v>
      </c>
      <c r="N13">
        <f t="shared" si="2"/>
        <v>1</v>
      </c>
    </row>
    <row r="14" spans="1:14" ht="23.25" customHeight="1">
      <c r="A14" s="23">
        <v>510</v>
      </c>
      <c r="B14" s="24"/>
      <c r="C14" s="24"/>
      <c r="D14" s="24"/>
      <c r="E14" s="25"/>
      <c r="F14" s="30"/>
      <c r="G14" s="27">
        <f t="shared" si="0"/>
        <v>510</v>
      </c>
      <c r="H14" s="24"/>
      <c r="I14" s="24"/>
      <c r="J14" s="24"/>
      <c r="K14" s="24"/>
      <c r="L14" s="24"/>
      <c r="M14" s="54">
        <f t="shared" si="1"/>
        <v>0</v>
      </c>
      <c r="N14">
        <f t="shared" si="2"/>
        <v>1</v>
      </c>
    </row>
    <row r="15" spans="1:14" ht="23.25" customHeight="1">
      <c r="A15" s="23"/>
      <c r="B15" s="55"/>
      <c r="C15" s="56"/>
      <c r="D15" s="24"/>
      <c r="E15" s="25"/>
      <c r="F15" s="30"/>
      <c r="G15" s="27">
        <f t="shared" si="0"/>
        <v>0</v>
      </c>
      <c r="H15" s="24"/>
      <c r="I15" s="24"/>
      <c r="J15" s="24"/>
      <c r="K15" s="24"/>
      <c r="L15" s="24"/>
      <c r="M15" s="54">
        <f t="shared" si="1"/>
        <v>0</v>
      </c>
      <c r="N15">
        <f t="shared" si="2"/>
        <v>1</v>
      </c>
    </row>
    <row r="16" spans="1:14" ht="23.25" customHeight="1">
      <c r="A16" s="24"/>
      <c r="B16" s="34"/>
      <c r="C16" s="34"/>
      <c r="D16" s="34"/>
      <c r="E16" s="34"/>
      <c r="F16" s="30"/>
      <c r="G16" s="27">
        <f t="shared" si="0"/>
        <v>0</v>
      </c>
      <c r="H16" s="24"/>
      <c r="I16" s="24"/>
      <c r="J16" s="24"/>
      <c r="K16" s="24"/>
      <c r="L16" s="24"/>
      <c r="M16" s="54">
        <f t="shared" si="1"/>
        <v>0</v>
      </c>
      <c r="N16">
        <f t="shared" si="2"/>
        <v>1</v>
      </c>
    </row>
    <row r="17" spans="7:14" ht="23.25" customHeight="1">
      <c r="G17" s="27">
        <f t="shared" si="0"/>
        <v>0</v>
      </c>
      <c r="H17" s="24"/>
      <c r="I17" s="24"/>
      <c r="J17" s="24"/>
      <c r="K17" s="24"/>
      <c r="L17" s="24"/>
      <c r="M17" s="54">
        <f t="shared" si="1"/>
        <v>0</v>
      </c>
      <c r="N17">
        <f t="shared" si="2"/>
        <v>1</v>
      </c>
    </row>
    <row r="18" spans="7:14" ht="23.25" customHeight="1">
      <c r="G18" s="27">
        <f t="shared" si="0"/>
        <v>0</v>
      </c>
      <c r="H18" s="24"/>
      <c r="I18" s="24"/>
      <c r="J18" s="24"/>
      <c r="K18" s="24"/>
      <c r="L18" s="24"/>
      <c r="M18" s="54">
        <f t="shared" si="1"/>
        <v>0</v>
      </c>
    </row>
    <row r="19" spans="7:14" ht="23.25" customHeight="1">
      <c r="G19" s="27">
        <f t="shared" si="0"/>
        <v>0</v>
      </c>
      <c r="H19" s="24"/>
      <c r="I19" s="24"/>
      <c r="J19" s="24"/>
      <c r="K19" s="24"/>
      <c r="L19" s="24"/>
      <c r="M19" s="54">
        <f t="shared" si="1"/>
        <v>0</v>
      </c>
    </row>
    <row r="20" spans="7:14" ht="23.25" customHeight="1">
      <c r="G20" s="27">
        <f t="shared" si="0"/>
        <v>0</v>
      </c>
      <c r="H20" s="24"/>
      <c r="I20" s="24"/>
      <c r="J20" s="24"/>
      <c r="K20" s="24"/>
      <c r="L20" s="24"/>
      <c r="M20" s="54">
        <f t="shared" si="1"/>
        <v>0</v>
      </c>
    </row>
    <row r="21" spans="7:14" ht="23.25" customHeight="1">
      <c r="G21" s="21">
        <f t="shared" si="0"/>
        <v>0</v>
      </c>
      <c r="H21" s="24"/>
      <c r="I21" s="24"/>
      <c r="J21" s="24"/>
      <c r="K21" s="24"/>
      <c r="L21" s="24"/>
      <c r="M21" s="54">
        <f t="shared" si="1"/>
        <v>0</v>
      </c>
    </row>
    <row r="22" spans="7:14" ht="23.25" customHeight="1">
      <c r="G22" s="21">
        <f t="shared" si="0"/>
        <v>0</v>
      </c>
      <c r="H22" s="24"/>
      <c r="I22" s="24"/>
      <c r="J22" s="24"/>
      <c r="K22" s="24"/>
      <c r="L22" s="24"/>
      <c r="M22" s="54">
        <f t="shared" si="1"/>
        <v>0</v>
      </c>
    </row>
    <row r="23" spans="7:14" ht="23.25" customHeight="1">
      <c r="G23" s="21">
        <f t="shared" si="0"/>
        <v>0</v>
      </c>
      <c r="H23" s="24"/>
      <c r="I23" s="24"/>
      <c r="J23" s="24"/>
      <c r="K23" s="24"/>
      <c r="L23" s="24"/>
      <c r="M23" s="54">
        <f t="shared" si="1"/>
        <v>0</v>
      </c>
    </row>
    <row r="24" spans="7:14" ht="23.25" customHeight="1">
      <c r="G24" s="21">
        <f t="shared" si="0"/>
        <v>0</v>
      </c>
      <c r="H24" s="24"/>
      <c r="I24" s="24"/>
      <c r="J24" s="24"/>
      <c r="K24" s="24"/>
      <c r="L24" s="24"/>
      <c r="M24" s="54">
        <f t="shared" si="1"/>
        <v>0</v>
      </c>
    </row>
    <row r="25" spans="7:14" ht="23.25" customHeight="1">
      <c r="G25" s="21">
        <f t="shared" si="0"/>
        <v>0</v>
      </c>
      <c r="H25" s="24"/>
      <c r="I25" s="24"/>
      <c r="J25" s="24"/>
      <c r="K25" s="24"/>
      <c r="L25" s="24"/>
      <c r="M25" s="54">
        <f t="shared" si="1"/>
        <v>0</v>
      </c>
    </row>
    <row r="26" spans="7:14" ht="23.25" customHeight="1">
      <c r="G26" s="21">
        <f t="shared" si="0"/>
        <v>0</v>
      </c>
      <c r="H26" s="24"/>
      <c r="I26" s="24"/>
      <c r="J26" s="24"/>
      <c r="K26" s="24"/>
      <c r="L26" s="24"/>
      <c r="M26" s="54">
        <f t="shared" si="1"/>
        <v>0</v>
      </c>
    </row>
    <row r="27" spans="7:14" ht="23.25" customHeight="1">
      <c r="G27" s="21">
        <f t="shared" si="0"/>
        <v>0</v>
      </c>
      <c r="H27" s="24"/>
      <c r="I27" s="24"/>
      <c r="J27" s="24"/>
      <c r="K27" s="24"/>
      <c r="L27" s="24"/>
      <c r="M27" s="54">
        <f t="shared" si="1"/>
        <v>0</v>
      </c>
    </row>
    <row r="28" spans="7:14" ht="23.25" customHeight="1">
      <c r="G28" s="21">
        <f t="shared" si="0"/>
        <v>0</v>
      </c>
      <c r="H28" s="24"/>
      <c r="I28" s="24"/>
      <c r="J28" s="24"/>
      <c r="K28" s="24"/>
      <c r="L28" s="24"/>
      <c r="M28" s="54">
        <f t="shared" si="1"/>
        <v>0</v>
      </c>
    </row>
    <row r="29" spans="7:14" ht="23.25" customHeight="1">
      <c r="G29" s="21">
        <f t="shared" si="0"/>
        <v>0</v>
      </c>
      <c r="H29" s="24"/>
      <c r="I29" s="24"/>
      <c r="J29" s="24"/>
      <c r="K29" s="24"/>
      <c r="L29" s="24"/>
      <c r="M29" s="54">
        <f t="shared" si="1"/>
        <v>0</v>
      </c>
    </row>
    <row r="30" spans="7:14" ht="23.25" customHeight="1">
      <c r="G30" s="21">
        <f t="shared" si="0"/>
        <v>0</v>
      </c>
      <c r="H30" s="24"/>
      <c r="I30" s="24"/>
      <c r="J30" s="24"/>
      <c r="K30" s="24"/>
      <c r="L30" s="24"/>
      <c r="M30" s="54">
        <f t="shared" si="1"/>
        <v>0</v>
      </c>
    </row>
    <row r="31" spans="7:14" ht="23.25" customHeight="1">
      <c r="G31" s="21">
        <f t="shared" si="0"/>
        <v>0</v>
      </c>
      <c r="H31" s="24"/>
      <c r="I31" s="24"/>
      <c r="J31" s="24"/>
      <c r="K31" s="24"/>
      <c r="L31" s="24"/>
      <c r="M31" s="54">
        <f t="shared" si="1"/>
        <v>0</v>
      </c>
    </row>
    <row r="32" spans="7:14" ht="23.25" customHeight="1">
      <c r="G32" s="21">
        <f t="shared" si="0"/>
        <v>0</v>
      </c>
      <c r="H32" s="24"/>
      <c r="I32" s="24"/>
      <c r="J32" s="24"/>
      <c r="K32" s="24"/>
      <c r="L32" s="24"/>
      <c r="M32" s="54">
        <f t="shared" si="1"/>
        <v>0</v>
      </c>
    </row>
    <row r="33" spans="7:13" ht="23.25" customHeight="1">
      <c r="G33" s="21">
        <f t="shared" si="0"/>
        <v>0</v>
      </c>
      <c r="H33" s="24"/>
      <c r="I33" s="24"/>
      <c r="J33" s="24"/>
      <c r="K33" s="24"/>
      <c r="L33" s="24"/>
      <c r="M33" s="54">
        <f t="shared" si="1"/>
        <v>0</v>
      </c>
    </row>
    <row r="34" spans="7:13" ht="23.25" customHeight="1">
      <c r="G34" s="21">
        <f t="shared" si="0"/>
        <v>0</v>
      </c>
      <c r="H34" s="24"/>
      <c r="I34" s="24"/>
      <c r="J34" s="24"/>
      <c r="K34" s="24"/>
      <c r="L34" s="24"/>
      <c r="M34" s="54">
        <f t="shared" si="1"/>
        <v>0</v>
      </c>
    </row>
    <row r="35" spans="7:13" ht="23.25" customHeight="1">
      <c r="G35" s="21">
        <f t="shared" si="0"/>
        <v>0</v>
      </c>
      <c r="H35" s="24"/>
      <c r="I35" s="24"/>
      <c r="J35" s="24"/>
      <c r="K35" s="24"/>
      <c r="L35" s="24"/>
      <c r="M35" s="54">
        <f t="shared" si="1"/>
        <v>0</v>
      </c>
    </row>
    <row r="36" spans="7:13" ht="23.25" customHeight="1">
      <c r="G36" s="21">
        <f t="shared" si="0"/>
        <v>0</v>
      </c>
      <c r="H36" s="24"/>
      <c r="I36" s="24"/>
      <c r="J36" s="24"/>
      <c r="K36" s="24"/>
      <c r="L36" s="24"/>
      <c r="M36" s="54">
        <f t="shared" si="1"/>
        <v>0</v>
      </c>
    </row>
    <row r="37" spans="7:13" ht="23.25" customHeight="1">
      <c r="G37" s="21">
        <f t="shared" si="0"/>
        <v>0</v>
      </c>
      <c r="H37" s="24"/>
      <c r="I37" s="24"/>
      <c r="J37" s="24"/>
      <c r="K37" s="24"/>
      <c r="L37" s="24"/>
      <c r="M37" s="54">
        <f t="shared" si="1"/>
        <v>0</v>
      </c>
    </row>
    <row r="38" spans="7:13" ht="23.25" customHeight="1">
      <c r="G38" s="21">
        <f t="shared" si="0"/>
        <v>0</v>
      </c>
      <c r="H38" s="24"/>
      <c r="I38" s="24"/>
      <c r="J38" s="24"/>
      <c r="K38" s="24"/>
      <c r="L38" s="24"/>
      <c r="M38" s="54">
        <f t="shared" si="1"/>
        <v>0</v>
      </c>
    </row>
    <row r="39" spans="7:13" ht="23.25" customHeight="1">
      <c r="G39" s="21">
        <f t="shared" si="0"/>
        <v>0</v>
      </c>
      <c r="H39" s="24"/>
      <c r="I39" s="24"/>
      <c r="J39" s="24"/>
      <c r="K39" s="24"/>
      <c r="L39" s="24"/>
      <c r="M39" s="54">
        <f t="shared" si="1"/>
        <v>0</v>
      </c>
    </row>
    <row r="40" spans="7:13" ht="23.25" customHeight="1">
      <c r="G40" s="21">
        <f t="shared" si="0"/>
        <v>0</v>
      </c>
      <c r="H40" s="24"/>
      <c r="I40" s="24"/>
      <c r="J40" s="24"/>
      <c r="K40" s="24"/>
      <c r="L40" s="24"/>
      <c r="M40" s="54">
        <f t="shared" si="1"/>
        <v>0</v>
      </c>
    </row>
    <row r="41" spans="7:13" ht="23.25" customHeight="1">
      <c r="G41" s="21">
        <f t="shared" si="0"/>
        <v>0</v>
      </c>
      <c r="H41" s="24"/>
      <c r="I41" s="24"/>
      <c r="J41" s="24"/>
      <c r="K41" s="24"/>
      <c r="L41" s="24"/>
      <c r="M41" s="54">
        <f t="shared" si="1"/>
        <v>0</v>
      </c>
    </row>
    <row r="42" spans="7:13" ht="23.25" customHeight="1">
      <c r="G42" s="21">
        <f t="shared" si="0"/>
        <v>0</v>
      </c>
      <c r="H42" s="24"/>
      <c r="I42" s="24"/>
      <c r="J42" s="24"/>
      <c r="K42" s="24"/>
      <c r="L42" s="24"/>
      <c r="M42" s="54">
        <f t="shared" si="1"/>
        <v>0</v>
      </c>
    </row>
    <row r="43" spans="7:13" ht="23.25" customHeight="1">
      <c r="G43" s="21">
        <f t="shared" si="0"/>
        <v>0</v>
      </c>
      <c r="H43" s="24"/>
      <c r="I43" s="24"/>
      <c r="J43" s="24"/>
      <c r="K43" s="24"/>
      <c r="L43" s="24"/>
      <c r="M43" s="54">
        <f t="shared" si="1"/>
        <v>0</v>
      </c>
    </row>
    <row r="44" spans="7:13" ht="23.25" customHeight="1">
      <c r="G44" s="21">
        <f t="shared" si="0"/>
        <v>0</v>
      </c>
      <c r="H44" s="24"/>
      <c r="I44" s="24"/>
      <c r="J44" s="24"/>
      <c r="K44" s="24"/>
      <c r="L44" s="24"/>
      <c r="M44" s="54">
        <f t="shared" si="1"/>
        <v>0</v>
      </c>
    </row>
    <row r="45" spans="7:13" ht="23.25" customHeight="1">
      <c r="G45" s="21">
        <f t="shared" si="0"/>
        <v>0</v>
      </c>
      <c r="H45" s="24"/>
      <c r="I45" s="24"/>
      <c r="J45" s="24"/>
      <c r="K45" s="24"/>
      <c r="L45" s="24"/>
      <c r="M45" s="54">
        <f t="shared" si="1"/>
        <v>0</v>
      </c>
    </row>
    <row r="46" spans="7:13" ht="23.25" customHeight="1">
      <c r="G46" s="21">
        <f t="shared" si="0"/>
        <v>0</v>
      </c>
      <c r="H46" s="24"/>
      <c r="I46" s="24"/>
      <c r="J46" s="24"/>
      <c r="K46" s="24"/>
      <c r="L46" s="24"/>
      <c r="M46" s="54">
        <f t="shared" si="1"/>
        <v>0</v>
      </c>
    </row>
    <row r="47" spans="7:13" ht="23.25" customHeight="1">
      <c r="G47" s="21">
        <f t="shared" si="0"/>
        <v>0</v>
      </c>
      <c r="H47" s="24"/>
      <c r="I47" s="24"/>
      <c r="J47" s="24"/>
      <c r="K47" s="24"/>
      <c r="L47" s="24"/>
      <c r="M47" s="54">
        <f t="shared" si="1"/>
        <v>0</v>
      </c>
    </row>
    <row r="48" spans="7:13" ht="23.25" customHeight="1">
      <c r="G48" s="21">
        <f t="shared" si="0"/>
        <v>0</v>
      </c>
      <c r="H48" s="24"/>
      <c r="I48" s="24"/>
      <c r="J48" s="24"/>
      <c r="K48" s="24"/>
      <c r="L48" s="24"/>
      <c r="M48" s="54">
        <f t="shared" si="1"/>
        <v>0</v>
      </c>
    </row>
    <row r="49" spans="7:13" ht="23.25" customHeight="1">
      <c r="G49" s="21">
        <f t="shared" si="0"/>
        <v>0</v>
      </c>
      <c r="H49" s="24"/>
      <c r="I49" s="24"/>
      <c r="J49" s="24"/>
      <c r="K49" s="24"/>
      <c r="L49" s="24"/>
      <c r="M49" s="54">
        <f t="shared" si="1"/>
        <v>0</v>
      </c>
    </row>
    <row r="50" spans="7:13" ht="23.25" customHeight="1">
      <c r="G50" s="21">
        <f t="shared" si="0"/>
        <v>0</v>
      </c>
      <c r="H50" s="24"/>
      <c r="I50" s="24"/>
      <c r="J50" s="24"/>
      <c r="K50" s="24"/>
      <c r="L50" s="24"/>
      <c r="M50" s="54">
        <f t="shared" si="1"/>
        <v>0</v>
      </c>
    </row>
    <row r="51" spans="7:13" ht="23.25" customHeight="1">
      <c r="G51" s="21">
        <f t="shared" si="0"/>
        <v>0</v>
      </c>
      <c r="H51" s="24"/>
      <c r="I51" s="24"/>
      <c r="J51" s="24"/>
      <c r="K51" s="24"/>
      <c r="L51" s="24"/>
      <c r="M51" s="54">
        <f t="shared" si="1"/>
        <v>0</v>
      </c>
    </row>
    <row r="52" spans="7:13" ht="23.25" customHeight="1">
      <c r="G52" s="21">
        <f t="shared" si="0"/>
        <v>0</v>
      </c>
      <c r="H52" s="24"/>
      <c r="I52" s="24"/>
      <c r="J52" s="24"/>
      <c r="K52" s="24"/>
      <c r="L52" s="24"/>
      <c r="M52" s="54">
        <f t="shared" si="1"/>
        <v>0</v>
      </c>
    </row>
    <row r="53" spans="7:13" ht="23.25" customHeight="1">
      <c r="G53" s="21">
        <f t="shared" si="0"/>
        <v>0</v>
      </c>
      <c r="H53" s="24"/>
      <c r="I53" s="24"/>
      <c r="J53" s="24"/>
      <c r="K53" s="24"/>
      <c r="L53" s="24"/>
      <c r="M53" s="54">
        <f t="shared" si="1"/>
        <v>0</v>
      </c>
    </row>
  </sheetData>
  <mergeCells count="5">
    <mergeCell ref="A1:B1"/>
    <mergeCell ref="C1:E1"/>
    <mergeCell ref="G1:M3"/>
    <mergeCell ref="A2:E2"/>
    <mergeCell ref="A3:E3"/>
  </mergeCells>
  <conditionalFormatting sqref="M5:M53">
    <cfRule type="cellIs" dxfId="137" priority="4" operator="equal">
      <formula>0</formula>
    </cfRule>
    <cfRule type="expression" dxfId="136" priority="5">
      <formula>COUNTIF($M:$M,M5)&gt;1</formula>
    </cfRule>
    <cfRule type="cellIs" dxfId="135" priority="6" operator="greaterThanOrEqual">
      <formula>49</formula>
    </cfRule>
    <cfRule type="cellIs" dxfId="134" priority="7" operator="greaterThan">
      <formula>25</formula>
    </cfRule>
  </conditionalFormatting>
  <conditionalFormatting sqref="N1:N1048576">
    <cfRule type="cellIs" dxfId="133" priority="1" operator="equal">
      <formula>3</formula>
    </cfRule>
    <cfRule type="cellIs" dxfId="132" priority="2" operator="equal">
      <formula>2</formula>
    </cfRule>
    <cfRule type="cellIs" dxfId="131" priority="3"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Instructions</vt:lpstr>
      <vt:lpstr>Your Categories</vt:lpstr>
      <vt:lpstr>EXAMPLE</vt:lpstr>
      <vt:lpstr>EXAMPLE Results</vt:lpstr>
      <vt:lpstr>KIDS</vt:lpstr>
      <vt:lpstr>Freestyle!</vt:lpstr>
      <vt:lpstr>Moustache</vt:lpstr>
      <vt:lpstr>Styled Stache</vt:lpstr>
      <vt:lpstr>FBSS!</vt:lpstr>
      <vt:lpstr>0-4</vt:lpstr>
      <vt:lpstr>4-8</vt:lpstr>
      <vt:lpstr>8-12</vt:lpstr>
      <vt:lpstr>over 12!</vt:lpstr>
      <vt:lpstr>Creative</vt:lpstr>
      <vt:lpstr>Realistic</vt:lpstr>
      <vt:lpstr>Whaler</vt:lpstr>
      <vt:lpstr>Chops</vt:lpstr>
      <vt:lpstr>Goatee under 10</vt:lpstr>
      <vt:lpstr>Goatee over 10</vt:lpstr>
      <vt:lpstr>h &amp; m</vt:lpstr>
      <vt:lpstr>Cat 17</vt:lpstr>
      <vt:lpstr>Cat 18</vt:lpstr>
      <vt:lpstr>Cat 19</vt:lpstr>
      <vt:lpstr>Cat 20</vt:lpstr>
      <vt:lpstr>AWARDS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Johnston</dc:creator>
  <cp:lastModifiedBy>aaron johnston</cp:lastModifiedBy>
  <dcterms:created xsi:type="dcterms:W3CDTF">2022-06-03T11:56:04Z</dcterms:created>
  <dcterms:modified xsi:type="dcterms:W3CDTF">2024-10-29T22:24:32Z</dcterms:modified>
</cp:coreProperties>
</file>