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eb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vanscpa\Documents\Startup Financial Plan\"/>
    </mc:Choice>
  </mc:AlternateContent>
  <xr:revisionPtr revIDLastSave="0" documentId="13_ncr:1_{6358F126-29FE-4552-9BE9-9443728637A8}" xr6:coauthVersionLast="47" xr6:coauthVersionMax="47" xr10:uidLastSave="{00000000-0000-0000-0000-000000000000}"/>
  <bookViews>
    <workbookView xWindow="-110" yWindow="-110" windowWidth="19420" windowHeight="10300" tabRatio="706" xr2:uid="{D9121AA3-13DE-4E79-9E3F-A0BD8A42C86A}"/>
  </bookViews>
  <sheets>
    <sheet name="Overview" sheetId="1" r:id="rId1"/>
    <sheet name="1 - Total Startup Costs" sheetId="2" r:id="rId2"/>
    <sheet name="2 - Staffing Labor" sheetId="3" r:id="rId3"/>
    <sheet name="3 - Sales Estimate" sheetId="4" r:id="rId4"/>
    <sheet name="4 - Income Statement" sheetId="5" r:id="rId5"/>
    <sheet name="5 - Financing Needed" sheetId="6" r:id="rId6"/>
    <sheet name="6 - Loan Schedule" sheetId="10" r:id="rId7"/>
    <sheet name="7 - Post Transactions" sheetId="12" r:id="rId8"/>
    <sheet name="8 - Inventory" sheetId="9" r:id="rId9"/>
    <sheet name="9 - Cash Flow Stmts" sheetId="7" r:id="rId10"/>
    <sheet name="10 - Balance Sheets" sheetId="8" r:id="rId11"/>
    <sheet name="11 - Income Stmt Summaries" sheetId="11" r:id="rId12"/>
  </sheets>
  <definedNames>
    <definedName name="Balance_Sheet">'10 - Balance Sheets'!$A$1:$E$32</definedName>
    <definedName name="Breakeven">'4 - Income Statement'!$J$36:$O$57</definedName>
    <definedName name="Cash_Flow_Statement">'9 - Cash Flow Stmts'!$A$9:$F$31</definedName>
    <definedName name="Cash_Flow_Statement_Summarized">'9 - Cash Flow Stmts'!$A$9:$F$31</definedName>
    <definedName name="Detail_Income_Statement_Year_1">'4 - Income Statement'!$A$6:$N$33</definedName>
    <definedName name="Detail_Income_Statement_Year_2">'4 - Income Statement'!$A$70:$N$100</definedName>
    <definedName name="Detail_Income_Statement_Year_3">'4 - Income Statement'!$A$103:$N$133</definedName>
    <definedName name="Including_Accounts_Payable_in_the_Balance_Sheet">'10 - Balance Sheets'!$A$49:$F$62</definedName>
    <definedName name="Including_Accounts_Receivable_in_the_Balance_Sheet">'10 - Balance Sheets'!$A$37:$G$47</definedName>
    <definedName name="Key_Ratios">'11 - Income Stmt Summaries'!$A$22:$G$31</definedName>
    <definedName name="Out_Year_Assumptions">'4 - Income Statement'!$A$42:$J$68</definedName>
    <definedName name="Summarized_Income_Statements">'11 - Income Stmt Summaries'!$A$1:$E$19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1" l="1"/>
  <c r="C4" i="11"/>
  <c r="B4" i="11"/>
  <c r="E3" i="8"/>
  <c r="D3" i="8"/>
  <c r="C3" i="8"/>
  <c r="F10" i="7"/>
  <c r="E10" i="7"/>
  <c r="D10" i="7"/>
  <c r="D13" i="9"/>
  <c r="C13" i="9"/>
  <c r="B13" i="9"/>
  <c r="A58" i="12"/>
  <c r="A59" i="12"/>
  <c r="A60" i="12"/>
  <c r="A61" i="12"/>
  <c r="A62" i="12"/>
  <c r="A63" i="12"/>
  <c r="A64" i="12"/>
  <c r="A65" i="12"/>
  <c r="A57" i="12"/>
  <c r="A42" i="12"/>
  <c r="A43" i="12"/>
  <c r="A44" i="12"/>
  <c r="A45" i="12"/>
  <c r="A46" i="12"/>
  <c r="A47" i="12"/>
  <c r="A48" i="12"/>
  <c r="A49" i="12"/>
  <c r="A41" i="12"/>
  <c r="A25" i="12"/>
  <c r="A26" i="12"/>
  <c r="A27" i="12"/>
  <c r="A28" i="12"/>
  <c r="A29" i="12"/>
  <c r="A30" i="12"/>
  <c r="A31" i="12"/>
  <c r="A32" i="12"/>
  <c r="A33" i="12"/>
  <c r="A24" i="12"/>
  <c r="L105" i="5"/>
  <c r="M105" i="5"/>
  <c r="C105" i="5"/>
  <c r="D105" i="5"/>
  <c r="E105" i="5"/>
  <c r="F105" i="5"/>
  <c r="G105" i="5"/>
  <c r="H105" i="5"/>
  <c r="I105" i="5"/>
  <c r="J105" i="5"/>
  <c r="K105" i="5"/>
  <c r="B105" i="5"/>
  <c r="L72" i="5"/>
  <c r="M72" i="5"/>
  <c r="C72" i="5"/>
  <c r="D72" i="5"/>
  <c r="E72" i="5"/>
  <c r="F72" i="5"/>
  <c r="G72" i="5"/>
  <c r="H72" i="5"/>
  <c r="I72" i="5"/>
  <c r="J72" i="5"/>
  <c r="K72" i="5"/>
  <c r="B72" i="5"/>
  <c r="L50" i="4"/>
  <c r="M50" i="4"/>
  <c r="C50" i="4"/>
  <c r="D50" i="4"/>
  <c r="E50" i="4"/>
  <c r="F50" i="4"/>
  <c r="G50" i="4"/>
  <c r="H50" i="4"/>
  <c r="I50" i="4"/>
  <c r="J50" i="4"/>
  <c r="K50" i="4"/>
  <c r="B50" i="4"/>
  <c r="A1" i="11"/>
  <c r="A1" i="8"/>
  <c r="A9" i="7"/>
  <c r="A1" i="5"/>
  <c r="A1" i="4"/>
  <c r="A1" i="2"/>
  <c r="C44" i="4"/>
  <c r="B44" i="4"/>
  <c r="D64" i="12" l="1"/>
  <c r="S64" i="12" s="1"/>
  <c r="S67" i="12" s="1"/>
  <c r="D63" i="12"/>
  <c r="Q63" i="12" s="1"/>
  <c r="Q67" i="12" s="1"/>
  <c r="Z67" i="12"/>
  <c r="AB67" i="12"/>
  <c r="AD67" i="12"/>
  <c r="AF67" i="12"/>
  <c r="W67" i="12"/>
  <c r="H67" i="12"/>
  <c r="I67" i="12"/>
  <c r="L67" i="12"/>
  <c r="M67" i="12"/>
  <c r="N67" i="12"/>
  <c r="O67" i="12"/>
  <c r="P67" i="12"/>
  <c r="R67" i="12"/>
  <c r="T67" i="12"/>
  <c r="U67" i="12"/>
  <c r="V67" i="12"/>
  <c r="D31" i="6" l="1"/>
  <c r="D37" i="6" s="1"/>
  <c r="AB51" i="12" l="1"/>
  <c r="AD51" i="12"/>
  <c r="AF51" i="12"/>
  <c r="U51" i="12"/>
  <c r="V51" i="12"/>
  <c r="Z51" i="12"/>
  <c r="L51" i="12"/>
  <c r="M51" i="12"/>
  <c r="N51" i="12"/>
  <c r="O51" i="12"/>
  <c r="P51" i="12"/>
  <c r="R51" i="12"/>
  <c r="S51" i="12"/>
  <c r="T51" i="12"/>
  <c r="H51" i="12"/>
  <c r="I51" i="12"/>
  <c r="D48" i="12"/>
  <c r="D47" i="12"/>
  <c r="Q47" i="12" s="1"/>
  <c r="Q51" i="12" s="1"/>
  <c r="C28" i="8"/>
  <c r="D28" i="8" s="1"/>
  <c r="E28" i="8" s="1"/>
  <c r="C26" i="8"/>
  <c r="D26" i="8" s="1"/>
  <c r="E26" i="8" s="1"/>
  <c r="R35" i="12"/>
  <c r="T35" i="12"/>
  <c r="D32" i="12"/>
  <c r="S32" i="12" s="1"/>
  <c r="S35" i="12" s="1"/>
  <c r="S36" i="12" s="1"/>
  <c r="D31" i="12"/>
  <c r="Q31" i="12" s="1"/>
  <c r="Q35" i="12" s="1"/>
  <c r="Q36" i="12" s="1"/>
  <c r="Z35" i="12"/>
  <c r="AB35" i="12"/>
  <c r="AD35" i="12"/>
  <c r="AF35" i="12"/>
  <c r="L35" i="12"/>
  <c r="M35" i="12"/>
  <c r="N35" i="12"/>
  <c r="O35" i="12"/>
  <c r="P35" i="12"/>
  <c r="H35" i="12"/>
  <c r="I35" i="12"/>
  <c r="G7" i="10"/>
  <c r="O21" i="12"/>
  <c r="D21" i="12"/>
  <c r="E21" i="12"/>
  <c r="F21" i="12"/>
  <c r="G21" i="12"/>
  <c r="H21" i="12"/>
  <c r="I21" i="12"/>
  <c r="J21" i="12"/>
  <c r="K21" i="12"/>
  <c r="M21" i="12"/>
  <c r="C19" i="12"/>
  <c r="L19" i="12" s="1"/>
  <c r="L21" i="12" s="1"/>
  <c r="B19" i="8" s="1"/>
  <c r="C18" i="12"/>
  <c r="N18" i="12" s="1"/>
  <c r="C17" i="12"/>
  <c r="P17" i="12" s="1"/>
  <c r="P21" i="12" s="1"/>
  <c r="B27" i="8" s="1"/>
  <c r="C16" i="12"/>
  <c r="N16" i="12" s="1"/>
  <c r="S52" i="12" l="1"/>
  <c r="S68" i="12" s="1"/>
  <c r="Q52" i="12"/>
  <c r="Q68" i="12" s="1"/>
  <c r="P36" i="12"/>
  <c r="W35" i="12"/>
  <c r="N21" i="12"/>
  <c r="C21" i="12"/>
  <c r="G61" i="5"/>
  <c r="G60" i="5"/>
  <c r="G62" i="5" s="1"/>
  <c r="G57" i="12" s="1"/>
  <c r="F61" i="5"/>
  <c r="F60" i="5"/>
  <c r="F62" i="5" s="1"/>
  <c r="G67" i="12" l="1"/>
  <c r="D57" i="12"/>
  <c r="C27" i="8"/>
  <c r="P52" i="12"/>
  <c r="G64" i="5"/>
  <c r="F22" i="7"/>
  <c r="G41" i="12"/>
  <c r="F64" i="5"/>
  <c r="E22" i="7"/>
  <c r="B25" i="8"/>
  <c r="N36" i="12"/>
  <c r="B7" i="8"/>
  <c r="D27" i="8" l="1"/>
  <c r="P68" i="12"/>
  <c r="E27" i="8" s="1"/>
  <c r="C25" i="8"/>
  <c r="N52" i="12"/>
  <c r="D41" i="12"/>
  <c r="G51" i="12"/>
  <c r="D25" i="10"/>
  <c r="D23" i="10"/>
  <c r="C23" i="10"/>
  <c r="C24" i="10" s="1"/>
  <c r="C25" i="10" s="1"/>
  <c r="C26" i="10" s="1"/>
  <c r="C27" i="10" s="1"/>
  <c r="C28" i="10" s="1"/>
  <c r="C29" i="10" s="1"/>
  <c r="C30" i="10" s="1"/>
  <c r="C31" i="10" s="1"/>
  <c r="C32" i="10" s="1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G17" i="10"/>
  <c r="G15" i="10"/>
  <c r="D25" i="8" l="1"/>
  <c r="N68" i="12"/>
  <c r="E25" i="8" s="1"/>
  <c r="F78" i="10"/>
  <c r="E43" i="10"/>
  <c r="F64" i="10"/>
  <c r="F47" i="10"/>
  <c r="F40" i="10"/>
  <c r="F80" i="10"/>
  <c r="E35" i="10"/>
  <c r="E59" i="10"/>
  <c r="F32" i="10"/>
  <c r="E29" i="10"/>
  <c r="E36" i="10"/>
  <c r="E44" i="10"/>
  <c r="E52" i="10"/>
  <c r="E60" i="10"/>
  <c r="E68" i="10"/>
  <c r="E76" i="10"/>
  <c r="F25" i="10"/>
  <c r="F33" i="10"/>
  <c r="F41" i="10"/>
  <c r="F49" i="10"/>
  <c r="F57" i="10"/>
  <c r="F65" i="10"/>
  <c r="F73" i="10"/>
  <c r="F81" i="10"/>
  <c r="E30" i="10"/>
  <c r="E54" i="10"/>
  <c r="E78" i="10"/>
  <c r="F35" i="10"/>
  <c r="F51" i="10"/>
  <c r="F67" i="10"/>
  <c r="E24" i="10"/>
  <c r="F69" i="10"/>
  <c r="E41" i="10"/>
  <c r="E73" i="10"/>
  <c r="F38" i="10"/>
  <c r="F62" i="10"/>
  <c r="E50" i="10"/>
  <c r="F31" i="10"/>
  <c r="F71" i="10"/>
  <c r="F24" i="10"/>
  <c r="E37" i="10"/>
  <c r="E45" i="10"/>
  <c r="E53" i="10"/>
  <c r="E61" i="10"/>
  <c r="E69" i="10"/>
  <c r="E77" i="10"/>
  <c r="F26" i="10"/>
  <c r="F34" i="10"/>
  <c r="F42" i="10"/>
  <c r="F50" i="10"/>
  <c r="F58" i="10"/>
  <c r="F66" i="10"/>
  <c r="F74" i="10"/>
  <c r="E23" i="10"/>
  <c r="E31" i="10"/>
  <c r="E38" i="10"/>
  <c r="E46" i="10"/>
  <c r="E62" i="10"/>
  <c r="E70" i="10"/>
  <c r="F27" i="10"/>
  <c r="F43" i="10"/>
  <c r="F59" i="10"/>
  <c r="F75" i="10"/>
  <c r="E32" i="10"/>
  <c r="E26" i="10"/>
  <c r="E49" i="10"/>
  <c r="E65" i="10"/>
  <c r="E81" i="10"/>
  <c r="F54" i="10"/>
  <c r="E27" i="10"/>
  <c r="E34" i="10"/>
  <c r="E66" i="10"/>
  <c r="F23" i="10"/>
  <c r="F55" i="10"/>
  <c r="F79" i="10"/>
  <c r="E75" i="10"/>
  <c r="F56" i="10"/>
  <c r="E58" i="10"/>
  <c r="E51" i="10"/>
  <c r="F48" i="10"/>
  <c r="E39" i="10"/>
  <c r="E47" i="10"/>
  <c r="E55" i="10"/>
  <c r="E63" i="10"/>
  <c r="E71" i="10"/>
  <c r="E79" i="10"/>
  <c r="F28" i="10"/>
  <c r="F36" i="10"/>
  <c r="F44" i="10"/>
  <c r="F52" i="10"/>
  <c r="F60" i="10"/>
  <c r="F68" i="10"/>
  <c r="F76" i="10"/>
  <c r="E25" i="10"/>
  <c r="F22" i="10"/>
  <c r="E40" i="10"/>
  <c r="E48" i="10"/>
  <c r="E56" i="10"/>
  <c r="E64" i="10"/>
  <c r="E72" i="10"/>
  <c r="E80" i="10"/>
  <c r="F29" i="10"/>
  <c r="F37" i="10"/>
  <c r="F45" i="10"/>
  <c r="F53" i="10"/>
  <c r="F61" i="10"/>
  <c r="F77" i="10"/>
  <c r="E22" i="10"/>
  <c r="E33" i="10"/>
  <c r="E57" i="10"/>
  <c r="G57" i="10" s="1"/>
  <c r="F30" i="10"/>
  <c r="F46" i="10"/>
  <c r="F70" i="10"/>
  <c r="E42" i="10"/>
  <c r="E74" i="10"/>
  <c r="F39" i="10"/>
  <c r="F63" i="10"/>
  <c r="E28" i="10"/>
  <c r="E67" i="10"/>
  <c r="F72" i="10"/>
  <c r="G78" i="10" l="1"/>
  <c r="G66" i="10"/>
  <c r="G62" i="10"/>
  <c r="G80" i="10"/>
  <c r="G65" i="10"/>
  <c r="G74" i="10"/>
  <c r="G56" i="10"/>
  <c r="G68" i="10"/>
  <c r="G69" i="10"/>
  <c r="G81" i="10"/>
  <c r="F89" i="10"/>
  <c r="G70" i="10"/>
  <c r="J128" i="5"/>
  <c r="G51" i="10"/>
  <c r="E87" i="10"/>
  <c r="G55" i="10"/>
  <c r="K95" i="5"/>
  <c r="G40" i="10"/>
  <c r="C95" i="5"/>
  <c r="G32" i="10"/>
  <c r="I95" i="5"/>
  <c r="G38" i="10"/>
  <c r="G76" i="10"/>
  <c r="G59" i="10"/>
  <c r="F95" i="5"/>
  <c r="G35" i="10"/>
  <c r="E88" i="10"/>
  <c r="G67" i="10"/>
  <c r="E95" i="5"/>
  <c r="G34" i="10"/>
  <c r="G28" i="5"/>
  <c r="G24" i="10"/>
  <c r="K28" i="5"/>
  <c r="G28" i="10"/>
  <c r="H28" i="5"/>
  <c r="G25" i="10"/>
  <c r="J28" i="5"/>
  <c r="G27" i="10"/>
  <c r="F28" i="5"/>
  <c r="G23" i="10"/>
  <c r="G77" i="10"/>
  <c r="F85" i="10"/>
  <c r="F88" i="10"/>
  <c r="G60" i="10"/>
  <c r="G58" i="10"/>
  <c r="D95" i="5"/>
  <c r="G33" i="10"/>
  <c r="G71" i="10"/>
  <c r="F86" i="10"/>
  <c r="I128" i="5"/>
  <c r="G50" i="10"/>
  <c r="K128" i="5"/>
  <c r="G52" i="10"/>
  <c r="B95" i="5"/>
  <c r="E85" i="10"/>
  <c r="AC46" i="12" s="1"/>
  <c r="AC51" i="12" s="1"/>
  <c r="G31" i="10"/>
  <c r="E89" i="10"/>
  <c r="G79" i="10"/>
  <c r="E84" i="10"/>
  <c r="AC30" i="12" s="1"/>
  <c r="AC35" i="12" s="1"/>
  <c r="E28" i="5"/>
  <c r="E82" i="10"/>
  <c r="G72" i="10"/>
  <c r="G63" i="10"/>
  <c r="G75" i="10"/>
  <c r="G61" i="10"/>
  <c r="C128" i="5"/>
  <c r="G44" i="10"/>
  <c r="G64" i="10"/>
  <c r="G95" i="5"/>
  <c r="G36" i="10"/>
  <c r="F128" i="5"/>
  <c r="G47" i="10"/>
  <c r="F87" i="10"/>
  <c r="H128" i="5"/>
  <c r="G49" i="10"/>
  <c r="D128" i="5"/>
  <c r="G45" i="10"/>
  <c r="G73" i="10"/>
  <c r="M128" i="5"/>
  <c r="G54" i="10"/>
  <c r="L28" i="5"/>
  <c r="G29" i="10"/>
  <c r="B128" i="5"/>
  <c r="E86" i="10"/>
  <c r="AC62" i="12" s="1"/>
  <c r="AC67" i="12" s="1"/>
  <c r="G43" i="10"/>
  <c r="G22" i="10"/>
  <c r="F84" i="10"/>
  <c r="F82" i="10"/>
  <c r="L128" i="5"/>
  <c r="G53" i="10"/>
  <c r="M95" i="5"/>
  <c r="G42" i="10"/>
  <c r="G128" i="5"/>
  <c r="G48" i="10"/>
  <c r="J95" i="5"/>
  <c r="G39" i="10"/>
  <c r="I28" i="5"/>
  <c r="G26" i="10"/>
  <c r="E128" i="5"/>
  <c r="G46" i="10"/>
  <c r="H95" i="5"/>
  <c r="G37" i="10"/>
  <c r="L95" i="5"/>
  <c r="G41" i="10"/>
  <c r="M28" i="5"/>
  <c r="G30" i="10"/>
  <c r="D23" i="9"/>
  <c r="E8" i="8" s="1"/>
  <c r="C23" i="9"/>
  <c r="D8" i="8" s="1"/>
  <c r="B23" i="9"/>
  <c r="C15" i="9" s="1"/>
  <c r="K30" i="12" l="1"/>
  <c r="K35" i="12" s="1"/>
  <c r="L36" i="12" s="1"/>
  <c r="B29" i="11"/>
  <c r="K46" i="12"/>
  <c r="C29" i="11"/>
  <c r="D29" i="11"/>
  <c r="K62" i="12"/>
  <c r="K51" i="12"/>
  <c r="L52" i="12" s="1"/>
  <c r="D46" i="12"/>
  <c r="G89" i="10"/>
  <c r="G85" i="10"/>
  <c r="E20" i="7" s="1"/>
  <c r="G86" i="10"/>
  <c r="F20" i="7" s="1"/>
  <c r="N28" i="5"/>
  <c r="G84" i="10"/>
  <c r="O28" i="5"/>
  <c r="E90" i="10"/>
  <c r="G88" i="10"/>
  <c r="N128" i="5"/>
  <c r="F90" i="10"/>
  <c r="G87" i="10"/>
  <c r="G82" i="10"/>
  <c r="N95" i="5"/>
  <c r="K67" i="12" l="1"/>
  <c r="L68" i="12" s="1"/>
  <c r="D62" i="12"/>
  <c r="D20" i="7"/>
  <c r="D30" i="12"/>
  <c r="D42" i="6"/>
  <c r="D12" i="7" s="1"/>
  <c r="G90" i="10"/>
  <c r="D122" i="5"/>
  <c r="E122" i="5" s="1"/>
  <c r="F122" i="5" s="1"/>
  <c r="G122" i="5" s="1"/>
  <c r="H122" i="5" s="1"/>
  <c r="I122" i="5" s="1"/>
  <c r="J122" i="5" s="1"/>
  <c r="K122" i="5" s="1"/>
  <c r="L122" i="5" s="1"/>
  <c r="M122" i="5" s="1"/>
  <c r="B122" i="5"/>
  <c r="A121" i="5"/>
  <c r="A120" i="5"/>
  <c r="J119" i="5"/>
  <c r="K119" i="5" s="1"/>
  <c r="L119" i="5" s="1"/>
  <c r="M119" i="5" s="1"/>
  <c r="D119" i="5"/>
  <c r="E119" i="5" s="1"/>
  <c r="F119" i="5" s="1"/>
  <c r="G119" i="5" s="1"/>
  <c r="A119" i="5"/>
  <c r="D118" i="5"/>
  <c r="E118" i="5" s="1"/>
  <c r="A118" i="5"/>
  <c r="A117" i="5"/>
  <c r="A116" i="5"/>
  <c r="A115" i="5"/>
  <c r="A114" i="5"/>
  <c r="A113" i="5"/>
  <c r="A86" i="5"/>
  <c r="F91" i="5"/>
  <c r="E90" i="5"/>
  <c r="F90" i="5" s="1"/>
  <c r="C91" i="5"/>
  <c r="B119" i="5" s="1"/>
  <c r="H119" i="5" s="1"/>
  <c r="G90" i="5"/>
  <c r="H90" i="5" s="1"/>
  <c r="I90" i="5" s="1"/>
  <c r="J90" i="5" s="1"/>
  <c r="K90" i="5" s="1"/>
  <c r="L90" i="5" s="1"/>
  <c r="M90" i="5" s="1"/>
  <c r="D89" i="5"/>
  <c r="E89" i="5" s="1"/>
  <c r="F89" i="5" s="1"/>
  <c r="G89" i="5" s="1"/>
  <c r="H89" i="5" s="1"/>
  <c r="I89" i="5" s="1"/>
  <c r="J89" i="5" s="1"/>
  <c r="K89" i="5" s="1"/>
  <c r="L89" i="5" s="1"/>
  <c r="M89" i="5" s="1"/>
  <c r="B89" i="5"/>
  <c r="N91" i="5" l="1"/>
  <c r="F118" i="5"/>
  <c r="G118" i="5" s="1"/>
  <c r="H118" i="5" s="1"/>
  <c r="I118" i="5" s="1"/>
  <c r="J118" i="5" s="1"/>
  <c r="K118" i="5" s="1"/>
  <c r="L118" i="5" s="1"/>
  <c r="M118" i="5" s="1"/>
  <c r="N122" i="5"/>
  <c r="N119" i="5"/>
  <c r="N89" i="5"/>
  <c r="N90" i="5"/>
  <c r="J86" i="5"/>
  <c r="K86" i="5" s="1"/>
  <c r="L86" i="5" s="1"/>
  <c r="M86" i="5" s="1"/>
  <c r="D86" i="5"/>
  <c r="E86" i="5" s="1"/>
  <c r="F86" i="5" s="1"/>
  <c r="G86" i="5" s="1"/>
  <c r="A91" i="5" l="1"/>
  <c r="A124" i="5" s="1"/>
  <c r="A90" i="5"/>
  <c r="A123" i="5" s="1"/>
  <c r="A89" i="5"/>
  <c r="A122" i="5" s="1"/>
  <c r="E48" i="2" l="1"/>
  <c r="B15" i="9" s="1"/>
  <c r="D13" i="6" l="1"/>
  <c r="B18" i="6"/>
  <c r="B19" i="6"/>
  <c r="B20" i="6"/>
  <c r="B17" i="6"/>
  <c r="A20" i="6"/>
  <c r="A19" i="6"/>
  <c r="A18" i="6"/>
  <c r="A17" i="6"/>
  <c r="A88" i="5"/>
  <c r="A87" i="5"/>
  <c r="A85" i="5"/>
  <c r="A84" i="5"/>
  <c r="A83" i="5"/>
  <c r="A82" i="5"/>
  <c r="A81" i="5"/>
  <c r="A80" i="5"/>
  <c r="A24" i="5"/>
  <c r="A23" i="5"/>
  <c r="A22" i="5"/>
  <c r="A21" i="5"/>
  <c r="A20" i="5"/>
  <c r="A19" i="5"/>
  <c r="A18" i="5"/>
  <c r="A17" i="5"/>
  <c r="A16" i="5"/>
  <c r="L24" i="5"/>
  <c r="M24" i="5"/>
  <c r="B88" i="5" s="1"/>
  <c r="L23" i="5"/>
  <c r="M23" i="5"/>
  <c r="B87" i="5" s="1"/>
  <c r="L20" i="5"/>
  <c r="M20" i="5"/>
  <c r="B84" i="5" s="1"/>
  <c r="K19" i="5"/>
  <c r="L19" i="5"/>
  <c r="M19" i="5"/>
  <c r="B83" i="5" s="1"/>
  <c r="K18" i="5"/>
  <c r="L18" i="5"/>
  <c r="M18" i="5"/>
  <c r="B82" i="5" s="1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K20" i="5"/>
  <c r="C23" i="5"/>
  <c r="D23" i="5"/>
  <c r="E23" i="5"/>
  <c r="F23" i="5"/>
  <c r="G23" i="5"/>
  <c r="H23" i="5"/>
  <c r="I23" i="5"/>
  <c r="J23" i="5"/>
  <c r="K23" i="5"/>
  <c r="C24" i="5"/>
  <c r="D24" i="5"/>
  <c r="E24" i="5"/>
  <c r="F24" i="5"/>
  <c r="G24" i="5"/>
  <c r="H24" i="5"/>
  <c r="I24" i="5"/>
  <c r="J24" i="5"/>
  <c r="K24" i="5"/>
  <c r="B24" i="5"/>
  <c r="B23" i="5"/>
  <c r="B20" i="5"/>
  <c r="B19" i="5"/>
  <c r="B18" i="5"/>
  <c r="B22" i="5"/>
  <c r="B86" i="5" s="1"/>
  <c r="B21" i="5"/>
  <c r="M7" i="5"/>
  <c r="L7" i="5"/>
  <c r="K7" i="5"/>
  <c r="J7" i="5"/>
  <c r="I7" i="5"/>
  <c r="H7" i="5"/>
  <c r="G7" i="5"/>
  <c r="F7" i="5"/>
  <c r="E7" i="5"/>
  <c r="D7" i="5"/>
  <c r="C7" i="5"/>
  <c r="B7" i="5"/>
  <c r="J100" i="4"/>
  <c r="H100" i="4"/>
  <c r="F100" i="4"/>
  <c r="D100" i="4"/>
  <c r="B100" i="4"/>
  <c r="M74" i="4"/>
  <c r="M100" i="4" s="1"/>
  <c r="L74" i="4"/>
  <c r="L100" i="4" s="1"/>
  <c r="K74" i="4"/>
  <c r="K100" i="4" s="1"/>
  <c r="J74" i="4"/>
  <c r="I74" i="4"/>
  <c r="I100" i="4" s="1"/>
  <c r="H74" i="4"/>
  <c r="G74" i="4"/>
  <c r="G100" i="4" s="1"/>
  <c r="F74" i="4"/>
  <c r="E74" i="4"/>
  <c r="E100" i="4" s="1"/>
  <c r="D74" i="4"/>
  <c r="C74" i="4"/>
  <c r="C100" i="4" s="1"/>
  <c r="M8" i="5"/>
  <c r="L75" i="4"/>
  <c r="L101" i="4" s="1"/>
  <c r="K75" i="4"/>
  <c r="K101" i="4" s="1"/>
  <c r="J75" i="4"/>
  <c r="J101" i="4" s="1"/>
  <c r="I8" i="5"/>
  <c r="H8" i="5"/>
  <c r="G8" i="5"/>
  <c r="F8" i="5"/>
  <c r="E8" i="5"/>
  <c r="D75" i="4"/>
  <c r="D101" i="4" s="1"/>
  <c r="C75" i="4"/>
  <c r="C101" i="4" s="1"/>
  <c r="B75" i="4"/>
  <c r="B101" i="4" s="1"/>
  <c r="B74" i="4"/>
  <c r="K104" i="4"/>
  <c r="L104" i="4"/>
  <c r="M104" i="4"/>
  <c r="H103" i="4"/>
  <c r="I103" i="4"/>
  <c r="J103" i="4"/>
  <c r="K103" i="4"/>
  <c r="L103" i="4"/>
  <c r="M103" i="4"/>
  <c r="H102" i="4"/>
  <c r="I102" i="4"/>
  <c r="J102" i="4"/>
  <c r="K102" i="4"/>
  <c r="L102" i="4"/>
  <c r="M102" i="4"/>
  <c r="C104" i="4"/>
  <c r="D104" i="4"/>
  <c r="E104" i="4"/>
  <c r="F104" i="4"/>
  <c r="G104" i="4"/>
  <c r="H104" i="4"/>
  <c r="I104" i="4"/>
  <c r="J104" i="4"/>
  <c r="C103" i="4"/>
  <c r="D103" i="4"/>
  <c r="E103" i="4"/>
  <c r="F103" i="4"/>
  <c r="G103" i="4"/>
  <c r="C102" i="4"/>
  <c r="C122" i="4" s="1"/>
  <c r="C11" i="5" s="1"/>
  <c r="D102" i="4"/>
  <c r="E102" i="4"/>
  <c r="F102" i="4"/>
  <c r="G102" i="4"/>
  <c r="B104" i="4"/>
  <c r="B103" i="4"/>
  <c r="B102" i="4"/>
  <c r="F75" i="4" l="1"/>
  <c r="F101" i="4" s="1"/>
  <c r="G75" i="4"/>
  <c r="G101" i="4" s="1"/>
  <c r="B8" i="5"/>
  <c r="J8" i="5"/>
  <c r="H75" i="4"/>
  <c r="H101" i="4" s="1"/>
  <c r="I75" i="4"/>
  <c r="I101" i="4" s="1"/>
  <c r="C8" i="5"/>
  <c r="K8" i="5"/>
  <c r="D8" i="5"/>
  <c r="L8" i="5"/>
  <c r="E75" i="4"/>
  <c r="E101" i="4" s="1"/>
  <c r="M75" i="4"/>
  <c r="M101" i="4" s="1"/>
  <c r="E24" i="12"/>
  <c r="D24" i="12" s="1"/>
  <c r="B22" i="8"/>
  <c r="C19" i="8"/>
  <c r="B30" i="8"/>
  <c r="E71" i="5"/>
  <c r="E104" i="5"/>
  <c r="I71" i="5"/>
  <c r="I104" i="5"/>
  <c r="M71" i="5"/>
  <c r="M104" i="5"/>
  <c r="B71" i="5"/>
  <c r="B104" i="5"/>
  <c r="F71" i="5"/>
  <c r="F104" i="5"/>
  <c r="K71" i="5"/>
  <c r="K104" i="5"/>
  <c r="J71" i="5"/>
  <c r="J104" i="5"/>
  <c r="G71" i="5"/>
  <c r="G104" i="5"/>
  <c r="C71" i="5"/>
  <c r="C104" i="5"/>
  <c r="D71" i="5"/>
  <c r="D104" i="5"/>
  <c r="H71" i="5"/>
  <c r="H104" i="5"/>
  <c r="L71" i="5"/>
  <c r="L104" i="5"/>
  <c r="B10" i="8"/>
  <c r="B16" i="8" s="1"/>
  <c r="C82" i="5"/>
  <c r="D82" i="5" s="1"/>
  <c r="E82" i="5" s="1"/>
  <c r="F82" i="5" s="1"/>
  <c r="G82" i="5" s="1"/>
  <c r="H82" i="5" s="1"/>
  <c r="I82" i="5" s="1"/>
  <c r="J82" i="5" s="1"/>
  <c r="K82" i="5" s="1"/>
  <c r="L82" i="5" s="1"/>
  <c r="M82" i="5" s="1"/>
  <c r="B115" i="5" s="1"/>
  <c r="C87" i="5"/>
  <c r="C84" i="5"/>
  <c r="D84" i="5" s="1"/>
  <c r="E84" i="5" s="1"/>
  <c r="F84" i="5" s="1"/>
  <c r="G84" i="5" s="1"/>
  <c r="H84" i="5" s="1"/>
  <c r="I84" i="5" s="1"/>
  <c r="J84" i="5" s="1"/>
  <c r="K84" i="5" s="1"/>
  <c r="L84" i="5" s="1"/>
  <c r="M84" i="5" s="1"/>
  <c r="B117" i="5" s="1"/>
  <c r="N21" i="5"/>
  <c r="B85" i="5"/>
  <c r="B118" i="5" s="1"/>
  <c r="N118" i="5" s="1"/>
  <c r="C88" i="5"/>
  <c r="H86" i="5"/>
  <c r="N86" i="5" s="1"/>
  <c r="C83" i="5"/>
  <c r="D83" i="5" s="1"/>
  <c r="E83" i="5" s="1"/>
  <c r="F83" i="5" s="1"/>
  <c r="G83" i="5" s="1"/>
  <c r="H83" i="5" s="1"/>
  <c r="I83" i="5" s="1"/>
  <c r="J83" i="5" s="1"/>
  <c r="K83" i="5" s="1"/>
  <c r="L83" i="5" s="1"/>
  <c r="M83" i="5" s="1"/>
  <c r="B116" i="5" s="1"/>
  <c r="B21" i="6"/>
  <c r="D21" i="6" s="1"/>
  <c r="H22" i="5"/>
  <c r="I122" i="4"/>
  <c r="I11" i="5" s="1"/>
  <c r="N104" i="4"/>
  <c r="G122" i="4"/>
  <c r="G11" i="5" s="1"/>
  <c r="N103" i="4"/>
  <c r="F122" i="4"/>
  <c r="F11" i="5" s="1"/>
  <c r="N102" i="4"/>
  <c r="N24" i="5"/>
  <c r="C57" i="8" s="1"/>
  <c r="N20" i="5"/>
  <c r="N18" i="5"/>
  <c r="C54" i="8" s="1"/>
  <c r="N19" i="5"/>
  <c r="C55" i="8" s="1"/>
  <c r="N23" i="5"/>
  <c r="C56" i="8" s="1"/>
  <c r="D122" i="4"/>
  <c r="D11" i="5" s="1"/>
  <c r="L122" i="4"/>
  <c r="L11" i="5" s="1"/>
  <c r="K122" i="4"/>
  <c r="K11" i="5" s="1"/>
  <c r="M122" i="4"/>
  <c r="M11" i="5" s="1"/>
  <c r="B75" i="5" s="1"/>
  <c r="J122" i="4"/>
  <c r="J11" i="5" s="1"/>
  <c r="H122" i="4"/>
  <c r="H11" i="5" s="1"/>
  <c r="B122" i="4"/>
  <c r="B11" i="5" s="1"/>
  <c r="E122" i="4"/>
  <c r="E11" i="5" s="1"/>
  <c r="J78" i="4"/>
  <c r="K78" i="4"/>
  <c r="L78" i="4"/>
  <c r="M78" i="4"/>
  <c r="J77" i="4"/>
  <c r="K77" i="4"/>
  <c r="L77" i="4"/>
  <c r="M77" i="4"/>
  <c r="J76" i="4"/>
  <c r="K76" i="4"/>
  <c r="L76" i="4"/>
  <c r="M76" i="4"/>
  <c r="C78" i="4"/>
  <c r="D78" i="4"/>
  <c r="E78" i="4"/>
  <c r="F78" i="4"/>
  <c r="G78" i="4"/>
  <c r="H78" i="4"/>
  <c r="I78" i="4"/>
  <c r="C77" i="4"/>
  <c r="D77" i="4"/>
  <c r="E77" i="4"/>
  <c r="F77" i="4"/>
  <c r="G77" i="4"/>
  <c r="H77" i="4"/>
  <c r="I77" i="4"/>
  <c r="C76" i="4"/>
  <c r="D76" i="4"/>
  <c r="E76" i="4"/>
  <c r="F76" i="4"/>
  <c r="G76" i="4"/>
  <c r="H76" i="4"/>
  <c r="I76" i="4"/>
  <c r="B78" i="4"/>
  <c r="B77" i="4"/>
  <c r="B76" i="4"/>
  <c r="A53" i="4"/>
  <c r="A78" i="4" s="1"/>
  <c r="A52" i="4"/>
  <c r="A51" i="4"/>
  <c r="D27" i="4"/>
  <c r="E27" i="4" s="1"/>
  <c r="D26" i="4"/>
  <c r="E26" i="4" s="1"/>
  <c r="D25" i="4"/>
  <c r="A104" i="4" l="1"/>
  <c r="A77" i="4"/>
  <c r="E25" i="4"/>
  <c r="E44" i="4" s="1"/>
  <c r="D44" i="4"/>
  <c r="J46" i="5" s="1"/>
  <c r="C58" i="8"/>
  <c r="C60" i="8" s="1"/>
  <c r="C62" i="8" s="1"/>
  <c r="A103" i="4"/>
  <c r="A76" i="4"/>
  <c r="A102" i="4" s="1"/>
  <c r="G25" i="12"/>
  <c r="B32" i="8"/>
  <c r="B34" i="8" s="1"/>
  <c r="D19" i="8"/>
  <c r="C22" i="8"/>
  <c r="C117" i="5"/>
  <c r="D117" i="5" s="1"/>
  <c r="E117" i="5" s="1"/>
  <c r="F117" i="5" s="1"/>
  <c r="G117" i="5" s="1"/>
  <c r="H117" i="5" s="1"/>
  <c r="I117" i="5" s="1"/>
  <c r="J117" i="5" s="1"/>
  <c r="K117" i="5" s="1"/>
  <c r="L117" i="5" s="1"/>
  <c r="M117" i="5" s="1"/>
  <c r="N84" i="5"/>
  <c r="D87" i="5"/>
  <c r="E87" i="5" s="1"/>
  <c r="F87" i="5" s="1"/>
  <c r="G87" i="5" s="1"/>
  <c r="H87" i="5" s="1"/>
  <c r="I87" i="5" s="1"/>
  <c r="J87" i="5" s="1"/>
  <c r="K87" i="5" s="1"/>
  <c r="L87" i="5" s="1"/>
  <c r="M87" i="5" s="1"/>
  <c r="D88" i="5"/>
  <c r="E88" i="5" s="1"/>
  <c r="F88" i="5" s="1"/>
  <c r="G88" i="5" s="1"/>
  <c r="H88" i="5" s="1"/>
  <c r="I88" i="5" s="1"/>
  <c r="J88" i="5" s="1"/>
  <c r="K88" i="5" s="1"/>
  <c r="L88" i="5" s="1"/>
  <c r="M88" i="5" s="1"/>
  <c r="B121" i="5" s="1"/>
  <c r="N83" i="5"/>
  <c r="D55" i="8" s="1"/>
  <c r="D85" i="5"/>
  <c r="E85" i="5" s="1"/>
  <c r="F85" i="5" s="1"/>
  <c r="G85" i="5" s="1"/>
  <c r="H85" i="5" s="1"/>
  <c r="I85" i="5" s="1"/>
  <c r="J85" i="5" s="1"/>
  <c r="K85" i="5" s="1"/>
  <c r="L85" i="5" s="1"/>
  <c r="M85" i="5" s="1"/>
  <c r="N82" i="5"/>
  <c r="D54" i="8" s="1"/>
  <c r="C75" i="5"/>
  <c r="N22" i="5"/>
  <c r="K96" i="4"/>
  <c r="K10" i="5" s="1"/>
  <c r="K12" i="5" s="1"/>
  <c r="N11" i="5"/>
  <c r="G96" i="4"/>
  <c r="G10" i="5" s="1"/>
  <c r="G12" i="5" s="1"/>
  <c r="F96" i="4"/>
  <c r="F10" i="5" s="1"/>
  <c r="F12" i="5" s="1"/>
  <c r="N76" i="4"/>
  <c r="M96" i="4"/>
  <c r="M10" i="5" s="1"/>
  <c r="J96" i="4"/>
  <c r="J10" i="5" s="1"/>
  <c r="J12" i="5" s="1"/>
  <c r="N78" i="4"/>
  <c r="I96" i="4"/>
  <c r="I10" i="5" s="1"/>
  <c r="I12" i="5" s="1"/>
  <c r="N77" i="4"/>
  <c r="L96" i="4"/>
  <c r="L10" i="5" s="1"/>
  <c r="L12" i="5" s="1"/>
  <c r="H96" i="4"/>
  <c r="H10" i="5" s="1"/>
  <c r="H12" i="5" s="1"/>
  <c r="E96" i="4"/>
  <c r="E10" i="5" s="1"/>
  <c r="E12" i="5" s="1"/>
  <c r="D96" i="4"/>
  <c r="D10" i="5" s="1"/>
  <c r="C96" i="4"/>
  <c r="C10" i="5" s="1"/>
  <c r="C12" i="5" s="1"/>
  <c r="B96" i="4"/>
  <c r="B10" i="5" s="1"/>
  <c r="B12" i="5" s="1"/>
  <c r="D46" i="3"/>
  <c r="E46" i="3" s="1"/>
  <c r="G46" i="3" s="1"/>
  <c r="D49" i="3"/>
  <c r="E49" i="3" s="1"/>
  <c r="G49" i="3" s="1"/>
  <c r="D48" i="3"/>
  <c r="E48" i="3" s="1"/>
  <c r="G48" i="3" s="1"/>
  <c r="D47" i="3"/>
  <c r="E47" i="3" s="1"/>
  <c r="G47" i="3" s="1"/>
  <c r="B37" i="3"/>
  <c r="B38" i="3" s="1"/>
  <c r="E27" i="2"/>
  <c r="F27" i="2" s="1"/>
  <c r="D25" i="12" l="1"/>
  <c r="G35" i="12"/>
  <c r="G36" i="12" s="1"/>
  <c r="G52" i="12" s="1"/>
  <c r="G68" i="12" s="1"/>
  <c r="E19" i="8"/>
  <c r="E22" i="8" s="1"/>
  <c r="D22" i="8"/>
  <c r="C121" i="5"/>
  <c r="D121" i="5" s="1"/>
  <c r="E121" i="5" s="1"/>
  <c r="F121" i="5" s="1"/>
  <c r="G121" i="5" s="1"/>
  <c r="H121" i="5" s="1"/>
  <c r="I121" i="5" s="1"/>
  <c r="J121" i="5" s="1"/>
  <c r="K121" i="5" s="1"/>
  <c r="L121" i="5" s="1"/>
  <c r="M121" i="5" s="1"/>
  <c r="N87" i="5"/>
  <c r="D56" i="8" s="1"/>
  <c r="D58" i="8" s="1"/>
  <c r="D60" i="8" s="1"/>
  <c r="D62" i="8" s="1"/>
  <c r="B120" i="5"/>
  <c r="N117" i="5"/>
  <c r="N85" i="5"/>
  <c r="N88" i="5"/>
  <c r="D57" i="8" s="1"/>
  <c r="C116" i="5"/>
  <c r="D116" i="5" s="1"/>
  <c r="E116" i="5" s="1"/>
  <c r="F116" i="5" s="1"/>
  <c r="G116" i="5" s="1"/>
  <c r="H116" i="5" s="1"/>
  <c r="I116" i="5" s="1"/>
  <c r="J116" i="5" s="1"/>
  <c r="K116" i="5" s="1"/>
  <c r="L116" i="5" s="1"/>
  <c r="M116" i="5" s="1"/>
  <c r="D75" i="5"/>
  <c r="E75" i="5" s="1"/>
  <c r="F75" i="5" s="1"/>
  <c r="G75" i="5" s="1"/>
  <c r="H75" i="5" s="1"/>
  <c r="I75" i="5" s="1"/>
  <c r="J75" i="5" s="1"/>
  <c r="K75" i="5" s="1"/>
  <c r="L75" i="5" s="1"/>
  <c r="M75" i="5" s="1"/>
  <c r="B108" i="5" s="1"/>
  <c r="C115" i="5"/>
  <c r="M12" i="5"/>
  <c r="B74" i="5"/>
  <c r="D12" i="5"/>
  <c r="N10" i="5"/>
  <c r="N96" i="4"/>
  <c r="D45" i="3"/>
  <c r="E45" i="3" s="1"/>
  <c r="G45" i="3" s="1"/>
  <c r="D44" i="3"/>
  <c r="E44" i="3" s="1"/>
  <c r="G44" i="3" s="1"/>
  <c r="D47" i="2"/>
  <c r="D14" i="7" l="1"/>
  <c r="C43" i="8" s="1"/>
  <c r="C45" i="8" s="1"/>
  <c r="C47" i="8" s="1"/>
  <c r="C26" i="12"/>
  <c r="N121" i="5"/>
  <c r="E57" i="8" s="1"/>
  <c r="C108" i="5"/>
  <c r="D108" i="5" s="1"/>
  <c r="E108" i="5" s="1"/>
  <c r="F108" i="5" s="1"/>
  <c r="G108" i="5" s="1"/>
  <c r="H108" i="5" s="1"/>
  <c r="I108" i="5" s="1"/>
  <c r="J108" i="5" s="1"/>
  <c r="K108" i="5" s="1"/>
  <c r="L108" i="5" s="1"/>
  <c r="M108" i="5" s="1"/>
  <c r="N75" i="5"/>
  <c r="C17" i="9" s="1"/>
  <c r="D115" i="5"/>
  <c r="N116" i="5"/>
  <c r="E55" i="8" s="1"/>
  <c r="M17" i="5"/>
  <c r="B81" i="5" s="1"/>
  <c r="J17" i="5"/>
  <c r="F17" i="5"/>
  <c r="C17" i="5"/>
  <c r="K17" i="5"/>
  <c r="G17" i="5"/>
  <c r="D17" i="5"/>
  <c r="B17" i="5"/>
  <c r="E17" i="5"/>
  <c r="H17" i="5"/>
  <c r="L17" i="5"/>
  <c r="I17" i="5"/>
  <c r="C74" i="5"/>
  <c r="B76" i="5"/>
  <c r="N12" i="5"/>
  <c r="G55" i="3"/>
  <c r="D46" i="2" s="1"/>
  <c r="E49" i="2"/>
  <c r="E50" i="2"/>
  <c r="E51" i="2"/>
  <c r="E52" i="2"/>
  <c r="E53" i="2"/>
  <c r="E54" i="2"/>
  <c r="E55" i="2"/>
  <c r="E47" i="2"/>
  <c r="F43" i="12" l="1"/>
  <c r="C19" i="9"/>
  <c r="C21" i="9" s="1"/>
  <c r="C35" i="12"/>
  <c r="X26" i="12"/>
  <c r="X35" i="12" s="1"/>
  <c r="U37" i="12" s="1"/>
  <c r="N108" i="5"/>
  <c r="E115" i="5"/>
  <c r="N17" i="5"/>
  <c r="B28" i="11" s="1"/>
  <c r="B30" i="11" s="1"/>
  <c r="C81" i="5"/>
  <c r="D81" i="5" s="1"/>
  <c r="E81" i="5" s="1"/>
  <c r="F81" i="5" s="1"/>
  <c r="G81" i="5" s="1"/>
  <c r="H81" i="5" s="1"/>
  <c r="I81" i="5" s="1"/>
  <c r="J81" i="5" s="1"/>
  <c r="K81" i="5" s="1"/>
  <c r="L81" i="5" s="1"/>
  <c r="M81" i="5" s="1"/>
  <c r="B114" i="5" s="1"/>
  <c r="E46" i="2"/>
  <c r="E73" i="2" s="1"/>
  <c r="C16" i="5"/>
  <c r="C25" i="5" s="1"/>
  <c r="E16" i="5"/>
  <c r="E25" i="5" s="1"/>
  <c r="D16" i="5"/>
  <c r="D25" i="5" s="1"/>
  <c r="G16" i="5"/>
  <c r="B16" i="5"/>
  <c r="B25" i="5" s="1"/>
  <c r="F16" i="5"/>
  <c r="F25" i="5" s="1"/>
  <c r="C76" i="5"/>
  <c r="D74" i="5"/>
  <c r="E25" i="2"/>
  <c r="F25" i="2" s="1"/>
  <c r="E26" i="2"/>
  <c r="F26" i="2" s="1"/>
  <c r="E24" i="2"/>
  <c r="D17" i="9" l="1"/>
  <c r="F59" i="12"/>
  <c r="B6" i="11"/>
  <c r="C25" i="9"/>
  <c r="E44" i="12"/>
  <c r="F51" i="12"/>
  <c r="Y43" i="12"/>
  <c r="C114" i="5"/>
  <c r="D114" i="5" s="1"/>
  <c r="E114" i="5" s="1"/>
  <c r="F114" i="5" s="1"/>
  <c r="G114" i="5" s="1"/>
  <c r="H114" i="5" s="1"/>
  <c r="I114" i="5" s="1"/>
  <c r="J114" i="5" s="1"/>
  <c r="K114" i="5" s="1"/>
  <c r="L114" i="5" s="1"/>
  <c r="M114" i="5" s="1"/>
  <c r="E16" i="7"/>
  <c r="N81" i="5"/>
  <c r="C28" i="11" s="1"/>
  <c r="C30" i="11" s="1"/>
  <c r="F115" i="5"/>
  <c r="F24" i="2"/>
  <c r="F35" i="2" s="1"/>
  <c r="E35" i="2"/>
  <c r="H16" i="5"/>
  <c r="G25" i="5"/>
  <c r="E74" i="5"/>
  <c r="D76" i="5"/>
  <c r="D35" i="2"/>
  <c r="N122" i="4"/>
  <c r="B17" i="9" s="1"/>
  <c r="F27" i="12" l="1"/>
  <c r="B19" i="9"/>
  <c r="B21" i="9" s="1"/>
  <c r="F67" i="12"/>
  <c r="Y59" i="12"/>
  <c r="Y67" i="12" s="1"/>
  <c r="D7" i="11" s="1"/>
  <c r="Y51" i="12"/>
  <c r="C7" i="11"/>
  <c r="E51" i="12"/>
  <c r="D44" i="12"/>
  <c r="AE33" i="12"/>
  <c r="O31" i="5"/>
  <c r="C13" i="8"/>
  <c r="F65" i="5"/>
  <c r="F66" i="5" s="1"/>
  <c r="E74" i="2"/>
  <c r="E75" i="2" s="1"/>
  <c r="E76" i="2" s="1"/>
  <c r="D22" i="7"/>
  <c r="C12" i="8"/>
  <c r="N114" i="5"/>
  <c r="D28" i="11" s="1"/>
  <c r="D30" i="11" s="1"/>
  <c r="D15" i="9"/>
  <c r="D19" i="9" s="1"/>
  <c r="D21" i="9" s="1"/>
  <c r="G115" i="5"/>
  <c r="G31" i="5"/>
  <c r="G33" i="5" s="1"/>
  <c r="C31" i="5"/>
  <c r="C33" i="5" s="1"/>
  <c r="B31" i="5"/>
  <c r="B33" i="5" s="1"/>
  <c r="H31" i="5"/>
  <c r="K31" i="5"/>
  <c r="L31" i="5"/>
  <c r="I31" i="5"/>
  <c r="D31" i="5"/>
  <c r="D33" i="5" s="1"/>
  <c r="M31" i="5"/>
  <c r="J31" i="5"/>
  <c r="E31" i="5"/>
  <c r="E33" i="5" s="1"/>
  <c r="F31" i="5"/>
  <c r="F33" i="5" s="1"/>
  <c r="I16" i="5"/>
  <c r="H25" i="5"/>
  <c r="F74" i="5"/>
  <c r="E76" i="5"/>
  <c r="B25" i="9" l="1"/>
  <c r="E28" i="12"/>
  <c r="D16" i="7"/>
  <c r="F35" i="12"/>
  <c r="Y27" i="12"/>
  <c r="Y35" i="12" s="1"/>
  <c r="B7" i="11" s="1"/>
  <c r="B8" i="11" s="1"/>
  <c r="B22" i="11" s="1"/>
  <c r="D25" i="9"/>
  <c r="E60" i="12"/>
  <c r="D7" i="6"/>
  <c r="E80" i="2"/>
  <c r="C14" i="8"/>
  <c r="D12" i="8"/>
  <c r="E12" i="8" s="1"/>
  <c r="AE49" i="12"/>
  <c r="F68" i="5"/>
  <c r="B98" i="5" s="1"/>
  <c r="C98" i="5" s="1"/>
  <c r="G65" i="5"/>
  <c r="G66" i="5" s="1"/>
  <c r="D13" i="8"/>
  <c r="H33" i="5"/>
  <c r="AE35" i="12"/>
  <c r="B14" i="11" s="1"/>
  <c r="J33" i="12"/>
  <c r="J35" i="12" s="1"/>
  <c r="J36" i="12" s="1"/>
  <c r="F16" i="7"/>
  <c r="H115" i="5"/>
  <c r="N31" i="5"/>
  <c r="D24" i="6"/>
  <c r="D26" i="6" s="1"/>
  <c r="D8" i="6" s="1"/>
  <c r="J16" i="5"/>
  <c r="I25" i="5"/>
  <c r="I33" i="5" s="1"/>
  <c r="G74" i="5"/>
  <c r="F76" i="5"/>
  <c r="D28" i="12" l="1"/>
  <c r="E35" i="12"/>
  <c r="E36" i="12" s="1"/>
  <c r="E67" i="12"/>
  <c r="D60" i="12"/>
  <c r="G68" i="5"/>
  <c r="B131" i="5" s="1"/>
  <c r="AE65" i="12"/>
  <c r="AE51" i="12"/>
  <c r="C14" i="11" s="1"/>
  <c r="J49" i="12"/>
  <c r="J51" i="12" s="1"/>
  <c r="J52" i="12" s="1"/>
  <c r="C131" i="5"/>
  <c r="D131" i="5" s="1"/>
  <c r="E131" i="5" s="1"/>
  <c r="F131" i="5" s="1"/>
  <c r="G131" i="5" s="1"/>
  <c r="H131" i="5" s="1"/>
  <c r="I131" i="5" s="1"/>
  <c r="J131" i="5" s="1"/>
  <c r="K131" i="5" s="1"/>
  <c r="L131" i="5" s="1"/>
  <c r="M131" i="5" s="1"/>
  <c r="D14" i="8"/>
  <c r="E13" i="8"/>
  <c r="E14" i="8" s="1"/>
  <c r="D98" i="5"/>
  <c r="I115" i="5"/>
  <c r="K16" i="5"/>
  <c r="J25" i="5"/>
  <c r="J33" i="5" s="1"/>
  <c r="H74" i="5"/>
  <c r="G76" i="5"/>
  <c r="C8" i="8" l="1"/>
  <c r="E52" i="12"/>
  <c r="E68" i="12" s="1"/>
  <c r="AE67" i="12"/>
  <c r="D14" i="11" s="1"/>
  <c r="J65" i="12"/>
  <c r="J67" i="12" s="1"/>
  <c r="J68" i="12" s="1"/>
  <c r="D9" i="6"/>
  <c r="N131" i="5"/>
  <c r="E98" i="5"/>
  <c r="F98" i="5" s="1"/>
  <c r="J115" i="5"/>
  <c r="M16" i="5"/>
  <c r="B80" i="5" s="1"/>
  <c r="B92" i="5" s="1"/>
  <c r="B100" i="5" s="1"/>
  <c r="K25" i="5"/>
  <c r="K33" i="5" s="1"/>
  <c r="L16" i="5"/>
  <c r="I74" i="5"/>
  <c r="H76" i="5"/>
  <c r="G98" i="5" l="1"/>
  <c r="K115" i="5"/>
  <c r="C80" i="5"/>
  <c r="L25" i="5"/>
  <c r="L33" i="5" s="1"/>
  <c r="N16" i="5"/>
  <c r="N25" i="5" s="1"/>
  <c r="J50" i="5" s="1"/>
  <c r="M25" i="5"/>
  <c r="M33" i="5" s="1"/>
  <c r="J74" i="5"/>
  <c r="I76" i="5"/>
  <c r="J56" i="5" l="1"/>
  <c r="J53" i="5"/>
  <c r="J55" i="5" s="1"/>
  <c r="J57" i="5" s="1"/>
  <c r="D29" i="12"/>
  <c r="N33" i="5"/>
  <c r="H98" i="5"/>
  <c r="D18" i="7"/>
  <c r="D24" i="7" s="1"/>
  <c r="D31" i="7" s="1"/>
  <c r="L115" i="5"/>
  <c r="D80" i="5"/>
  <c r="C92" i="5"/>
  <c r="C100" i="5" s="1"/>
  <c r="K74" i="5"/>
  <c r="J76" i="5"/>
  <c r="C24" i="8" l="1"/>
  <c r="C30" i="8" s="1"/>
  <c r="C32" i="8" s="1"/>
  <c r="B18" i="11"/>
  <c r="B23" i="11" s="1"/>
  <c r="AA29" i="12"/>
  <c r="AA35" i="12" s="1"/>
  <c r="V37" i="12" s="1"/>
  <c r="V38" i="12" s="1"/>
  <c r="D35" i="12"/>
  <c r="C36" i="12" s="1"/>
  <c r="I98" i="5"/>
  <c r="E12" i="7"/>
  <c r="M115" i="5"/>
  <c r="E80" i="5"/>
  <c r="D92" i="5"/>
  <c r="D100" i="5" s="1"/>
  <c r="L74" i="5"/>
  <c r="K76" i="5"/>
  <c r="C7" i="8" l="1"/>
  <c r="C10" i="8" s="1"/>
  <c r="C16" i="8" s="1"/>
  <c r="C34" i="8" s="1"/>
  <c r="B10" i="11"/>
  <c r="B12" i="11" s="1"/>
  <c r="J98" i="5"/>
  <c r="N115" i="5"/>
  <c r="E54" i="8" s="1"/>
  <c r="C120" i="5"/>
  <c r="F80" i="5"/>
  <c r="E92" i="5"/>
  <c r="E100" i="5" s="1"/>
  <c r="M74" i="5"/>
  <c r="B107" i="5" s="1"/>
  <c r="L76" i="5"/>
  <c r="B16" i="11" l="1"/>
  <c r="B26" i="11"/>
  <c r="B31" i="11" s="1"/>
  <c r="K98" i="5"/>
  <c r="C107" i="5"/>
  <c r="B109" i="5"/>
  <c r="D120" i="5"/>
  <c r="G80" i="5"/>
  <c r="F92" i="5"/>
  <c r="F100" i="5" s="1"/>
  <c r="M76" i="5"/>
  <c r="N74" i="5"/>
  <c r="C42" i="12" s="1"/>
  <c r="X42" i="12" s="1"/>
  <c r="X51" i="12" l="1"/>
  <c r="U53" i="12" s="1"/>
  <c r="C6" i="11"/>
  <c r="C8" i="11" s="1"/>
  <c r="C22" i="11" s="1"/>
  <c r="W51" i="12"/>
  <c r="C51" i="12"/>
  <c r="L98" i="5"/>
  <c r="D107" i="5"/>
  <c r="C109" i="5"/>
  <c r="N76" i="5"/>
  <c r="E14" i="7"/>
  <c r="D43" i="8" s="1"/>
  <c r="D45" i="8" s="1"/>
  <c r="D47" i="8" s="1"/>
  <c r="E120" i="5"/>
  <c r="H80" i="5"/>
  <c r="G92" i="5"/>
  <c r="G100" i="5" s="1"/>
  <c r="M98" i="5" l="1"/>
  <c r="E107" i="5"/>
  <c r="D109" i="5"/>
  <c r="F120" i="5"/>
  <c r="I80" i="5"/>
  <c r="H92" i="5"/>
  <c r="H100" i="5" s="1"/>
  <c r="N98" i="5" l="1"/>
  <c r="F107" i="5"/>
  <c r="E109" i="5"/>
  <c r="G120" i="5"/>
  <c r="J80" i="5"/>
  <c r="I92" i="5"/>
  <c r="I100" i="5" s="1"/>
  <c r="G107" i="5" l="1"/>
  <c r="F109" i="5"/>
  <c r="H120" i="5"/>
  <c r="K80" i="5"/>
  <c r="J92" i="5"/>
  <c r="J100" i="5" s="1"/>
  <c r="H107" i="5" l="1"/>
  <c r="G109" i="5"/>
  <c r="I120" i="5"/>
  <c r="L80" i="5"/>
  <c r="K92" i="5"/>
  <c r="K100" i="5" s="1"/>
  <c r="I107" i="5" l="1"/>
  <c r="H109" i="5"/>
  <c r="J120" i="5"/>
  <c r="M80" i="5"/>
  <c r="L92" i="5"/>
  <c r="L100" i="5" s="1"/>
  <c r="M92" i="5" l="1"/>
  <c r="M100" i="5" s="1"/>
  <c r="B113" i="5"/>
  <c r="J107" i="5"/>
  <c r="I109" i="5"/>
  <c r="K120" i="5"/>
  <c r="N80" i="5"/>
  <c r="N92" i="5" s="1"/>
  <c r="D45" i="12" l="1"/>
  <c r="E18" i="7"/>
  <c r="E24" i="7" s="1"/>
  <c r="E31" i="7" s="1"/>
  <c r="N100" i="5"/>
  <c r="C18" i="11" s="1"/>
  <c r="C23" i="11" s="1"/>
  <c r="C113" i="5"/>
  <c r="B125" i="5"/>
  <c r="B133" i="5" s="1"/>
  <c r="K107" i="5"/>
  <c r="L107" i="5" s="1"/>
  <c r="M107" i="5" s="1"/>
  <c r="J109" i="5"/>
  <c r="L120" i="5"/>
  <c r="D24" i="8" l="1"/>
  <c r="D30" i="8" s="1"/>
  <c r="D32" i="8" s="1"/>
  <c r="AA45" i="12"/>
  <c r="D51" i="12"/>
  <c r="C52" i="12" s="1"/>
  <c r="F12" i="7"/>
  <c r="D7" i="8"/>
  <c r="D10" i="8" s="1"/>
  <c r="D16" i="8" s="1"/>
  <c r="D113" i="5"/>
  <c r="C125" i="5"/>
  <c r="C133" i="5" s="1"/>
  <c r="K109" i="5"/>
  <c r="M120" i="5"/>
  <c r="D34" i="8" l="1"/>
  <c r="AA51" i="12"/>
  <c r="V53" i="12" s="1"/>
  <c r="V54" i="12" s="1"/>
  <c r="V52" i="12" s="1"/>
  <c r="C10" i="11"/>
  <c r="C12" i="11" s="1"/>
  <c r="E113" i="5"/>
  <c r="D125" i="5"/>
  <c r="D133" i="5" s="1"/>
  <c r="L109" i="5"/>
  <c r="M109" i="5"/>
  <c r="N107" i="5"/>
  <c r="C58" i="12" s="1"/>
  <c r="N120" i="5"/>
  <c r="E56" i="8" s="1"/>
  <c r="E58" i="8" s="1"/>
  <c r="E60" i="8" s="1"/>
  <c r="E62" i="8" s="1"/>
  <c r="C67" i="12" l="1"/>
  <c r="X58" i="12"/>
  <c r="X67" i="12" s="1"/>
  <c r="C16" i="11"/>
  <c r="C26" i="11"/>
  <c r="C31" i="11" s="1"/>
  <c r="N109" i="5"/>
  <c r="F14" i="7"/>
  <c r="E43" i="8" s="1"/>
  <c r="E45" i="8" s="1"/>
  <c r="E47" i="8" s="1"/>
  <c r="F113" i="5"/>
  <c r="E125" i="5"/>
  <c r="E133" i="5" s="1"/>
  <c r="D6" i="11" l="1"/>
  <c r="D8" i="11" s="1"/>
  <c r="D22" i="11" s="1"/>
  <c r="U69" i="12"/>
  <c r="G113" i="5"/>
  <c r="F125" i="5"/>
  <c r="F133" i="5" s="1"/>
  <c r="H113" i="5" l="1"/>
  <c r="G125" i="5"/>
  <c r="G133" i="5" s="1"/>
  <c r="I113" i="5" l="1"/>
  <c r="H125" i="5"/>
  <c r="H133" i="5" s="1"/>
  <c r="J113" i="5" l="1"/>
  <c r="I125" i="5"/>
  <c r="I133" i="5" s="1"/>
  <c r="K113" i="5" l="1"/>
  <c r="J125" i="5"/>
  <c r="J133" i="5" s="1"/>
  <c r="L113" i="5" l="1"/>
  <c r="K125" i="5"/>
  <c r="K133" i="5" s="1"/>
  <c r="M113" i="5" l="1"/>
  <c r="L125" i="5"/>
  <c r="L133" i="5" s="1"/>
  <c r="M125" i="5" l="1"/>
  <c r="M133" i="5" s="1"/>
  <c r="N113" i="5"/>
  <c r="N125" i="5" s="1"/>
  <c r="D61" i="12" s="1"/>
  <c r="AA61" i="12" l="1"/>
  <c r="AA67" i="12" s="1"/>
  <c r="D67" i="12"/>
  <c r="C68" i="12" s="1"/>
  <c r="F18" i="7"/>
  <c r="F24" i="7" s="1"/>
  <c r="F31" i="7" s="1"/>
  <c r="E7" i="8" s="1"/>
  <c r="E10" i="8" s="1"/>
  <c r="E16" i="8" s="1"/>
  <c r="N133" i="5"/>
  <c r="D18" i="11" s="1"/>
  <c r="D23" i="11" s="1"/>
  <c r="D10" i="11" l="1"/>
  <c r="D12" i="11" s="1"/>
  <c r="V69" i="12"/>
  <c r="V70" i="12" s="1"/>
  <c r="V68" i="12" s="1"/>
  <c r="E24" i="8"/>
  <c r="E30" i="8" s="1"/>
  <c r="E32" i="8" s="1"/>
  <c r="E34" i="8" s="1"/>
  <c r="D16" i="11" l="1"/>
  <c r="D26" i="11"/>
  <c r="D31" i="11" s="1"/>
</calcChain>
</file>

<file path=xl/sharedStrings.xml><?xml version="1.0" encoding="utf-8"?>
<sst xmlns="http://schemas.openxmlformats.org/spreadsheetml/2006/main" count="903" uniqueCount="557">
  <si>
    <t xml:space="preserve">two or three years and if we "quantify" your best guess and express it in the form of financial </t>
  </si>
  <si>
    <t>statements, this is what it looks like. This is the essence of a financial plan - projected or forecasted</t>
  </si>
  <si>
    <t>1. How much money do you need to start the business?</t>
  </si>
  <si>
    <t>In order to construct forecasted financial statements, you will have to answer several questions:</t>
  </si>
  <si>
    <t>2. How do you plan to spend the money? (Equipment, Payroll, Marketing, Inventory, etc.)</t>
  </si>
  <si>
    <t>This will require research, looking at other businesses, understanding your industry, talking to</t>
  </si>
  <si>
    <t>3. How much do you think you can sell? (Sales Revenue)</t>
  </si>
  <si>
    <t>1. One time investments that represent assets such as furniture, equipment, vehicles, etc.</t>
  </si>
  <si>
    <t>We will not expense these costs, but instead we will expense the asset purchase over its</t>
  </si>
  <si>
    <t>useful life in the form of depreciation expense.</t>
  </si>
  <si>
    <t>5. How much of your own money do you plan to invest? (Equity on the Balance Sheet)</t>
  </si>
  <si>
    <t>4. Do you plan to finance or take out loans? (Liabilities on the Balance Sheet)</t>
  </si>
  <si>
    <t>other experts who understand the approximate costs involved. You have to develop different</t>
  </si>
  <si>
    <t>Useful</t>
  </si>
  <si>
    <t>Life</t>
  </si>
  <si>
    <t>in Years</t>
  </si>
  <si>
    <t>Amount</t>
  </si>
  <si>
    <t>Asset Purchases</t>
  </si>
  <si>
    <t>Footnote</t>
  </si>
  <si>
    <t>Description</t>
  </si>
  <si>
    <t>Freq</t>
  </si>
  <si>
    <t xml:space="preserve">2. Recurring expenses that you pay more frequently such as monthly utilities (M), quarterly (Q) </t>
  </si>
  <si>
    <t>payroll taxes, vehicle insurance once every six months (S) or annual (A) license fees. All of these</t>
  </si>
  <si>
    <t>Office Rent</t>
  </si>
  <si>
    <t>Utilities - Water, Gas and Electric</t>
  </si>
  <si>
    <t>Cleaning Service</t>
  </si>
  <si>
    <t>Food Processing Equipment</t>
  </si>
  <si>
    <t>Delivery Van - Used</t>
  </si>
  <si>
    <t>(1): All assets will be depreciated using a straight line method - equal amounts</t>
  </si>
  <si>
    <t>(1)</t>
  </si>
  <si>
    <t xml:space="preserve">Web Site and Social Media </t>
  </si>
  <si>
    <t xml:space="preserve">Business Insurance - annual </t>
  </si>
  <si>
    <t>Vehicle Insurance - every 6 months</t>
  </si>
  <si>
    <t xml:space="preserve">Annual </t>
  </si>
  <si>
    <t>Depreciation</t>
  </si>
  <si>
    <t>Monthly</t>
  </si>
  <si>
    <t>Expense</t>
  </si>
  <si>
    <t>Months</t>
  </si>
  <si>
    <t>S</t>
  </si>
  <si>
    <t>M</t>
  </si>
  <si>
    <t>A</t>
  </si>
  <si>
    <t>Total Startup Costs</t>
  </si>
  <si>
    <t xml:space="preserve"> </t>
  </si>
  <si>
    <t>Total Covered</t>
  </si>
  <si>
    <t>estimates to build up to the financial statements such as:</t>
  </si>
  <si>
    <t xml:space="preserve">1. Staffing Plan with number of employees or sub contractors you plan to use including hours </t>
  </si>
  <si>
    <t>2. Lease or Rent Expenses based on estimated square footage you plan to use at an estimated</t>
  </si>
  <si>
    <t xml:space="preserve">3. Estimated sales in terms of units or hours you plan to deliver at what prices and what </t>
  </si>
  <si>
    <t>each year with no salvage value taken into account</t>
  </si>
  <si>
    <t>(2)</t>
  </si>
  <si>
    <t>(3)</t>
  </si>
  <si>
    <t>Staffing and Labor Costs (Payroll)</t>
  </si>
  <si>
    <t>One of the more significant costs associated with the business is labor costs. This can take</t>
  </si>
  <si>
    <t>the form of employees (payroll) and / or the use of independent contractors. You need to</t>
  </si>
  <si>
    <t xml:space="preserve">account for all of your labor costs which can include a wide mix of personnel to service </t>
  </si>
  <si>
    <t>Job Title</t>
  </si>
  <si>
    <t xml:space="preserve">Full Time Employees and Part Time Employees will incur costs above their base rate of </t>
  </si>
  <si>
    <t>burden rate to the base rate of pay to account for these additional costs. Your burden</t>
  </si>
  <si>
    <t>Type</t>
  </si>
  <si>
    <t>Base</t>
  </si>
  <si>
    <t xml:space="preserve">Pay </t>
  </si>
  <si>
    <t>Rate</t>
  </si>
  <si>
    <t>Empl</t>
  </si>
  <si>
    <t>Burden</t>
  </si>
  <si>
    <t>Total</t>
  </si>
  <si>
    <t>Pay</t>
  </si>
  <si>
    <t>Establish a table of the people you plan to use (Full Time or FT, PT or Part Time, or IC for</t>
  </si>
  <si>
    <t>Independent Contractors). The Total Pay Rate will be somewhat different for each</t>
  </si>
  <si>
    <t>customers, help run the office, manage projects, process orders, etc.  You need to estimate</t>
  </si>
  <si>
    <t>and develop some form of a staffing plan that is critical to the success of your business.</t>
  </si>
  <si>
    <t>Until the business is well-established, you may want to start off with the use of Independent</t>
  </si>
  <si>
    <t>Contractors until you can truly justify bringing on employees. When you hire an employee,</t>
  </si>
  <si>
    <t>you will also incur other payroll related costs such as Unemployment, Workmen's Comp,</t>
  </si>
  <si>
    <t xml:space="preserve">and Employer Contributions to Medicare and Social Security. </t>
  </si>
  <si>
    <t xml:space="preserve">pay since you as an employer must pay for additional payroll costs. We will add a </t>
  </si>
  <si>
    <t xml:space="preserve">rate may be somewhat higher for Full Time Employees because you may decide to </t>
  </si>
  <si>
    <t xml:space="preserve">provide some benefits such as Health Insurance. </t>
  </si>
  <si>
    <t>type of person (Full Time vs. Part Time vs. Independent Contactor). The following table</t>
  </si>
  <si>
    <t>establishes the people you plan to use and their respective pay rates per hour.</t>
  </si>
  <si>
    <t>IC</t>
  </si>
  <si>
    <t>PT</t>
  </si>
  <si>
    <t>FT</t>
  </si>
  <si>
    <t>Secretary / Adm Assistant</t>
  </si>
  <si>
    <t>FT = Full Time (30 or more hours per week) - Can get paid benefits by the Employer</t>
  </si>
  <si>
    <t>PT = Part Time (less than 30 hours per week) - Does not get paid benefits</t>
  </si>
  <si>
    <t>IC = Independent Contractor - No payroll costs (taxes) or benefits involved</t>
  </si>
  <si>
    <t>Social Media Expert</t>
  </si>
  <si>
    <t>Accountant / Bookkeeper</t>
  </si>
  <si>
    <t>HR / Personnel Mgmt Expert</t>
  </si>
  <si>
    <t>Total Startup Costs for Operating Expenses</t>
  </si>
  <si>
    <t>Hours</t>
  </si>
  <si>
    <t>Month</t>
  </si>
  <si>
    <t>Costs</t>
  </si>
  <si>
    <t>and rates of pay. Labor or payroll costs can be significant depending upon the business.</t>
  </si>
  <si>
    <t>rental rate per square foot. This is another major expense that you may need to estimate.</t>
  </si>
  <si>
    <t xml:space="preserve">unit costs. Regardless of expenses, you must estimate Sales Revenues since this helps </t>
  </si>
  <si>
    <t>determine the resources and investments needed.</t>
  </si>
  <si>
    <t>Labor - Payroll / Contractors</t>
  </si>
  <si>
    <t>Computer / Printer</t>
  </si>
  <si>
    <t xml:space="preserve">(3) Per discussion with Leasing Agent, approximate rental rate is $ 35.00 per sq / ft; estimated floor </t>
  </si>
  <si>
    <t>space required is 1,200 square feet</t>
  </si>
  <si>
    <t>You will need to capture and summarize all of your startup costs for the business. Startup costs</t>
  </si>
  <si>
    <t>are divided into two groups:</t>
  </si>
  <si>
    <t>revise the table to reflect current and local rates that are more applicable to your business.</t>
  </si>
  <si>
    <t>Unemployment Insurance</t>
  </si>
  <si>
    <t>Workmen's Compensation</t>
  </si>
  <si>
    <t>Employer Provided Benefits</t>
  </si>
  <si>
    <t>Employer FICA / Medicare Tax</t>
  </si>
  <si>
    <t>Full Time Only - Estimated Benefits Costs of $ 5,000 per year / $ 120,000 payroll</t>
  </si>
  <si>
    <t>Total Burden Rate</t>
  </si>
  <si>
    <t>Applies to all personnel including contractors</t>
  </si>
  <si>
    <t>Full Time and Part Time only</t>
  </si>
  <si>
    <t>Worked</t>
  </si>
  <si>
    <t>Total Monthly Labor Costs</t>
  </si>
  <si>
    <t>In order to construct an Income Statement, you will need to estimate your Sales Revenues -</t>
  </si>
  <si>
    <t>how much can you sell from customers and the direct costs associated with the sales which</t>
  </si>
  <si>
    <t>is often referred to as Cost of Goods Sold. In order to make this estimate somewhat easy,</t>
  </si>
  <si>
    <t>you may want to group your products or services by common type such as:</t>
  </si>
  <si>
    <t>Sales Revenues are comprised of two key components:</t>
  </si>
  <si>
    <t>1. Units Sold or Hours Delivered to the Customer</t>
  </si>
  <si>
    <t>2. Price of Products or Services</t>
  </si>
  <si>
    <t>Charged</t>
  </si>
  <si>
    <t>Sales Price /</t>
  </si>
  <si>
    <t>Fee / Rate</t>
  </si>
  <si>
    <t>Cost of</t>
  </si>
  <si>
    <t>Total Direct</t>
  </si>
  <si>
    <t>Delivered</t>
  </si>
  <si>
    <t>Gross</t>
  </si>
  <si>
    <t>Margin</t>
  </si>
  <si>
    <t>per Unit</t>
  </si>
  <si>
    <t>Percent</t>
  </si>
  <si>
    <t>Description of Product or Service</t>
  </si>
  <si>
    <t>For each major line of products or services, break out the Price and the Unit Cost</t>
  </si>
  <si>
    <t>of what you deliver to the customer. For products, the costs can include the materials</t>
  </si>
  <si>
    <t xml:space="preserve">and labor that go into making the product. For professional services, the direct </t>
  </si>
  <si>
    <t>costs is what you pay people who provide the service to the customer.</t>
  </si>
  <si>
    <t>Pre - Packaged Dough Kits</t>
  </si>
  <si>
    <t xml:space="preserve">Office Furniture </t>
  </si>
  <si>
    <t>Operations Manager</t>
  </si>
  <si>
    <t>Quality / Logistics Supervisor</t>
  </si>
  <si>
    <t>Ready to Eat 6 Pack</t>
  </si>
  <si>
    <t>Ready to Eat 12 Pack</t>
  </si>
  <si>
    <t>Now that you have defined each major product or service and its corresponding Sales Price</t>
  </si>
  <si>
    <t>and Unit Cost, then estimate how much do you think you can sell month by month (Units only):</t>
  </si>
  <si>
    <t>TOTAL</t>
  </si>
  <si>
    <t>Table 1-1: One Time Investments</t>
  </si>
  <si>
    <t>Table 1-2: Operating Expenses</t>
  </si>
  <si>
    <t>Table 2-1: Montly Labor Costs</t>
  </si>
  <si>
    <t xml:space="preserve">The table will also include what we expect people to work in a typical month. The </t>
  </si>
  <si>
    <t>combination of rates and hours allows us to calculate the estimated labor costs.</t>
  </si>
  <si>
    <t>Table 3-1: Unit Pricing and Costs</t>
  </si>
  <si>
    <t>Table 3-2: Estimated Sales Volumes</t>
  </si>
  <si>
    <t>Table 3-3: Estimated Sales Revenues</t>
  </si>
  <si>
    <t>SALES</t>
  </si>
  <si>
    <t>TOTAL SALES REVENUES</t>
  </si>
  <si>
    <t>Sales Price per Table 3-1 x Volumes per Table 3-2 = Sales Revenues (Table 3-3 below):</t>
  </si>
  <si>
    <t>Table 3-4: Estimated Cost of Goods Sold</t>
  </si>
  <si>
    <t>Unit Costs per Table 3-1 x Volumes per Table 3-2 = Cost of Goods Sold (Table 3-4 below)</t>
  </si>
  <si>
    <t>TOTAL COST OF GOODS SOLD</t>
  </si>
  <si>
    <t>COSTS</t>
  </si>
  <si>
    <t>Less Direct Cost of Goods Sold</t>
  </si>
  <si>
    <t>Gross Profits</t>
  </si>
  <si>
    <t xml:space="preserve">Sales Revenues </t>
  </si>
  <si>
    <t>Now that you have captured your fixed operating expenses per Tab 1 -Startup Costs and you have created a sales forecast per Tab 3, you can construct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</si>
  <si>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</si>
  <si>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</si>
  <si>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</si>
  <si>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</si>
  <si>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</si>
  <si>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</si>
  <si>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</si>
  <si>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</si>
  <si>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</si>
  <si>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</si>
  <si>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</si>
  <si>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</si>
  <si>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TOTALS</t>
  </si>
  <si>
    <t>Less Fixed Operating Expenses:</t>
  </si>
  <si>
    <t>Total Operating Expenses</t>
  </si>
  <si>
    <t>Asset</t>
  </si>
  <si>
    <t>TOTAL ESTIMATED FUNDS NEEDED</t>
  </si>
  <si>
    <t>Contingency Reserve - Unexpected</t>
  </si>
  <si>
    <t>Total Estimated Costs</t>
  </si>
  <si>
    <t xml:space="preserve">Add an allowance or reserve to </t>
  </si>
  <si>
    <t>your estimate for unexpected /</t>
  </si>
  <si>
    <t>unplanned expenses</t>
  </si>
  <si>
    <t xml:space="preserve">To secure outside financing, the minimum investment that the owner </t>
  </si>
  <si>
    <t>must make is approximately 20% of total funds required for the startup</t>
  </si>
  <si>
    <t>(10% to 20% of total startup costs is added for unknowns)</t>
  </si>
  <si>
    <t>PROFIT OR (LOSS)</t>
  </si>
  <si>
    <t>the forecasted or projected Income Statement for Year 1. We can apply some modest growth assumptions within the Base Year 1 and project out Years 2 and 3.</t>
  </si>
  <si>
    <t>Sales Revenues and Cost of Goods Sold</t>
  </si>
  <si>
    <t xml:space="preserve">     Increase by the following percentages:</t>
  </si>
  <si>
    <t>2021 - 6 Mo</t>
  </si>
  <si>
    <t xml:space="preserve">Monthly </t>
  </si>
  <si>
    <t>One Time</t>
  </si>
  <si>
    <t>Apply Percentage &gt;</t>
  </si>
  <si>
    <t>Operating Expenses</t>
  </si>
  <si>
    <t xml:space="preserve">Cash Invested by Owner to Start the Business </t>
  </si>
  <si>
    <t>Asset Investments per Tab 1:</t>
  </si>
  <si>
    <t>Cash</t>
  </si>
  <si>
    <t>Fixed Assets</t>
  </si>
  <si>
    <t>Less Non Cash Flow Expenses:</t>
  </si>
  <si>
    <t>Depreciation Expense</t>
  </si>
  <si>
    <t>TOTAL ASSETS</t>
  </si>
  <si>
    <t>Liabilities:</t>
  </si>
  <si>
    <t>Equity:</t>
  </si>
  <si>
    <t>Owners Capital</t>
  </si>
  <si>
    <t>Cover all losses projected per Income Statement &gt;</t>
  </si>
  <si>
    <t>Retained Earnings</t>
  </si>
  <si>
    <t>More Equity:</t>
  </si>
  <si>
    <t>Capital - Outside</t>
  </si>
  <si>
    <t>Loan Payable</t>
  </si>
  <si>
    <t>Total Startup Expenses per Tab 1 &gt;</t>
  </si>
  <si>
    <t>Owner borrows against Life Insurance Policy &gt;</t>
  </si>
  <si>
    <t>Beginning Cash Balance - January 1st</t>
  </si>
  <si>
    <t>Less Operating Expenses Paid</t>
  </si>
  <si>
    <t>Inventory - Food Material</t>
  </si>
  <si>
    <t>(4)</t>
  </si>
  <si>
    <t>Initial Inventory of Food Materials</t>
  </si>
  <si>
    <t>Inventory</t>
  </si>
  <si>
    <t>In addition to the $ 25,000 the owner puts in up front,</t>
  </si>
  <si>
    <t>he will have to raise more money to make it through</t>
  </si>
  <si>
    <t>the first year of operations. This is why it is important</t>
  </si>
  <si>
    <t>to prepare an accurate and realistic Sales Forecast - you</t>
  </si>
  <si>
    <t>will have to cover a loss for several months before you</t>
  </si>
  <si>
    <t>get to breakeven.</t>
  </si>
  <si>
    <t xml:space="preserve">Owner Distribution </t>
  </si>
  <si>
    <t>Ending Cash Balance - December 31st</t>
  </si>
  <si>
    <t>Track Inventory Balances per Cost of Goods Sold</t>
  </si>
  <si>
    <t>As you sell products, you will need to replenish your inventory. In our example, we are making some food</t>
  </si>
  <si>
    <t>products and the main inventory item consists of the raw material food we use with the food processing</t>
  </si>
  <si>
    <t>equipment. Therefore, the costs of buying and maintaining a stock of the food materials is critical to how</t>
  </si>
  <si>
    <t>Beginning Inventory Balance</t>
  </si>
  <si>
    <t>Used per Cost of Goods Sold</t>
  </si>
  <si>
    <t xml:space="preserve">the business operates and we need to track our inventory levels as we sell products. We also will set a  </t>
  </si>
  <si>
    <t>Revised Total Startup Investment after Sales Forecast</t>
  </si>
  <si>
    <t>IMPORTANT RESET POINT:</t>
  </si>
  <si>
    <t>1. Apply Basic Growth Assumptions to Year 1 Sales Forecast as follows:</t>
  </si>
  <si>
    <t>Once you complete Year 1 Sales Forecast, you need to make some important assumptions and additional</t>
  </si>
  <si>
    <t xml:space="preserve">investments regarding growth. You have to increase resources (people, equipment, office space, etc.) as </t>
  </si>
  <si>
    <t xml:space="preserve">you increase sales; otherwise the financial model is flawed and not grounded in the reality of business. </t>
  </si>
  <si>
    <t>Purchase Second Delivery Vehicle</t>
  </si>
  <si>
    <t>Labor - Additional Personnel</t>
  </si>
  <si>
    <t xml:space="preserve">Office Rent - Expand </t>
  </si>
  <si>
    <t>New Software Systems</t>
  </si>
  <si>
    <t xml:space="preserve">More Web Site and Social Media </t>
  </si>
  <si>
    <t>Vehicle Insurance - Double</t>
  </si>
  <si>
    <t>New Marketing Programs</t>
  </si>
  <si>
    <t>New Product Development</t>
  </si>
  <si>
    <t>Semi Annual</t>
  </si>
  <si>
    <t>Outside Legal Support</t>
  </si>
  <si>
    <t>CPA / Tax Support</t>
  </si>
  <si>
    <t>Total Asset Investment - Year 1</t>
  </si>
  <si>
    <t>&lt;  increases from prior year &gt;</t>
  </si>
  <si>
    <t>2. Make Additional Investments to Support Growth Projections:</t>
  </si>
  <si>
    <t>Cleaning Service - Increase</t>
  </si>
  <si>
    <t>Add Sales per Income Statement</t>
  </si>
  <si>
    <t xml:space="preserve">Less Inventory Purchases </t>
  </si>
  <si>
    <t>Project Ending Cash Balance Year End</t>
  </si>
  <si>
    <t>Outside Investor Payment</t>
  </si>
  <si>
    <t xml:space="preserve">minimum inventory level for each year &gt; </t>
  </si>
  <si>
    <t>2021 &gt;</t>
  </si>
  <si>
    <t>2022 &gt;</t>
  </si>
  <si>
    <t>2023 &gt;</t>
  </si>
  <si>
    <t>Utilities - Increases with More Space</t>
  </si>
  <si>
    <t>Legal Support / Contracts</t>
  </si>
  <si>
    <t xml:space="preserve">Accounting Support </t>
  </si>
  <si>
    <t>expenses are considered Operating Expenses. You will need to cover these expenses for several</t>
  </si>
  <si>
    <t>months until you generate sufficient sales to cover all of your operating expenses.</t>
  </si>
  <si>
    <t xml:space="preserve">You need to estimate and enter the number of months you need to cover before breaking even &gt; </t>
  </si>
  <si>
    <t>In the table below, estimate your recurring operating expenses such as personnel, marketing, rent, etc.</t>
  </si>
  <si>
    <t>Total Current Assets</t>
  </si>
  <si>
    <t>Opening</t>
  </si>
  <si>
    <t>Balance</t>
  </si>
  <si>
    <t>Balance as of</t>
  </si>
  <si>
    <t>Contributed Capital - Owner</t>
  </si>
  <si>
    <t>Contributed Capital - Outside</t>
  </si>
  <si>
    <t>TOTAL LIABILITIES + EQUITY</t>
  </si>
  <si>
    <t>Total Equity</t>
  </si>
  <si>
    <t>Total Liabilities</t>
  </si>
  <si>
    <t>Outside Investor will invest for 10% ownership &gt;</t>
  </si>
  <si>
    <t>Ending Inventory Balance</t>
  </si>
  <si>
    <t>Calculated Purchases During the Year</t>
  </si>
  <si>
    <t>Check Math</t>
  </si>
  <si>
    <t>Bank Loan - 5 Year - 5%</t>
  </si>
  <si>
    <t>Less Other Expenses:</t>
  </si>
  <si>
    <t>Interest Expense</t>
  </si>
  <si>
    <t>Less Non Operating Expenses:</t>
  </si>
  <si>
    <t>Loan Amortization Schedule</t>
  </si>
  <si>
    <t>When you take out a loan, you will need to setup a Loan Amortization Schedule that</t>
  </si>
  <si>
    <t>divides your loan payments between principal (reduces the Loan Payable on the Balance</t>
  </si>
  <si>
    <t>Sheet) and interest expense (non operating expense on the Income Statement).</t>
  </si>
  <si>
    <t>Less Accumulated Depreciation</t>
  </si>
  <si>
    <t>Book Value - Longterm Assets</t>
  </si>
  <si>
    <t>Loan Amount per Financing Needs (Tab 5)</t>
  </si>
  <si>
    <t>Term of Loan in Years</t>
  </si>
  <si>
    <t>Interest Rate (Annual Basis)</t>
  </si>
  <si>
    <t>Loan Start Date</t>
  </si>
  <si>
    <t>Term in Months (Monthly Payments)</t>
  </si>
  <si>
    <t>Interest Rate (Monthly Basis)</t>
  </si>
  <si>
    <t>Interest</t>
  </si>
  <si>
    <t>Principal</t>
  </si>
  <si>
    <t>No.</t>
  </si>
  <si>
    <t>Date</t>
  </si>
  <si>
    <t>Payment</t>
  </si>
  <si>
    <t>Totals</t>
  </si>
  <si>
    <t>Totals for 2021</t>
  </si>
  <si>
    <t>Totals for 2022</t>
  </si>
  <si>
    <t>Totals for 2023</t>
  </si>
  <si>
    <t>Totals for 2024</t>
  </si>
  <si>
    <t>Totals for 2025</t>
  </si>
  <si>
    <t>Totals for 2026</t>
  </si>
  <si>
    <t>Almost every transaction that takes place will go through the Cash Account. The Cash Account appears</t>
  </si>
  <si>
    <t>as a Current Asset on the Balance Sheet. We need to report the balance in the cash account. It is also</t>
  </si>
  <si>
    <t xml:space="preserve">a good idea to summarize cash inflows and outflows to ensure we have a positive cash balance at </t>
  </si>
  <si>
    <t>all times. As the cash account builds up, we can use excess cash to make distributions to the owners</t>
  </si>
  <si>
    <t>NOTE: We do not want to capture non-cash flow type expenses such as Depreciation Expense since</t>
  </si>
  <si>
    <t xml:space="preserve">this does not involve the disbursement of cash. </t>
  </si>
  <si>
    <t>Less Pay Down Loan</t>
  </si>
  <si>
    <t>&lt; Sales are Point of Sales transactions - cash basis</t>
  </si>
  <si>
    <t>&lt; See Tab 7 Inventory</t>
  </si>
  <si>
    <t>&lt; See Tab 6 - Loan Schedule</t>
  </si>
  <si>
    <t>Operating</t>
  </si>
  <si>
    <t>Investment</t>
  </si>
  <si>
    <t>Investments Impact the Balance Sheet and will</t>
  </si>
  <si>
    <t>require adjustments to Depreciation Expense:</t>
  </si>
  <si>
    <t>&lt; Years</t>
  </si>
  <si>
    <t>&lt; Annual Depreciation</t>
  </si>
  <si>
    <t>&lt; Months in Year</t>
  </si>
  <si>
    <t>&lt; Monthly Depreciation</t>
  </si>
  <si>
    <t>Less Investments in Assets</t>
  </si>
  <si>
    <t>&lt; See Tab 4 Total Operating Expenses</t>
  </si>
  <si>
    <t>&lt; New Investments are Made and Captured on Tab 4</t>
  </si>
  <si>
    <t>Reduce Excess Cash Balance:</t>
  </si>
  <si>
    <t>Fixed Assets (Furniture / Vehicle)</t>
  </si>
  <si>
    <t>Post Transactions</t>
  </si>
  <si>
    <t>In order to properly generate financial statements, we can summarize all of the transaction activity</t>
  </si>
  <si>
    <t>into various accounts that serve as the basis for generating financial statements. This tab will capture</t>
  </si>
  <si>
    <t>all of our estimated transaction activity so we can properly present a set of financial statements.</t>
  </si>
  <si>
    <t>There are five major groups of accounts - Assets, Liabilities, Equity which make up the Balance</t>
  </si>
  <si>
    <t>Sheet and Revenues and Expenses which make up the Income Statement. We will compile our</t>
  </si>
  <si>
    <t>transactions into four time frames - Initial Startup to Fund the Business, Calendar Year 2021,</t>
  </si>
  <si>
    <t>Time Frame</t>
  </si>
  <si>
    <t>Calendar Year 2022, and Calendar Year 2023. Every transaction must have two sides - Debit</t>
  </si>
  <si>
    <t>Debit</t>
  </si>
  <si>
    <t>Credit</t>
  </si>
  <si>
    <t xml:space="preserve">                   CASH</t>
  </si>
  <si>
    <t xml:space="preserve">           FIXED ASSETS</t>
  </si>
  <si>
    <t xml:space="preserve">   ACCUMULATED DEPR</t>
  </si>
  <si>
    <t xml:space="preserve">          LOAN PAYABLE</t>
  </si>
  <si>
    <t xml:space="preserve">               INVENTORY</t>
  </si>
  <si>
    <t>Initial Startup</t>
  </si>
  <si>
    <t>Totals for Startup</t>
  </si>
  <si>
    <t xml:space="preserve">         OWNER CAPITAL</t>
  </si>
  <si>
    <t xml:space="preserve">        INVESTOR CAPITAL</t>
  </si>
  <si>
    <t>Out of Balance Amount</t>
  </si>
  <si>
    <t xml:space="preserve">           SALES REVENUES</t>
  </si>
  <si>
    <t>Owner Initial Investment</t>
  </si>
  <si>
    <t>Outside Investor</t>
  </si>
  <si>
    <t>Owner Makes Additional Investment</t>
  </si>
  <si>
    <t>Bank Loan to Cover Remaining</t>
  </si>
  <si>
    <t>Initial Investment in Inventory</t>
  </si>
  <si>
    <t>Initial Investment in Fixed Assets</t>
  </si>
  <si>
    <t>Sales Revenues for Year 2021</t>
  </si>
  <si>
    <t>Cost of Goods Sold - Reduce Inventory</t>
  </si>
  <si>
    <t>Inventory Purchases for the Year</t>
  </si>
  <si>
    <t>Operating Expenses Paid During the Year</t>
  </si>
  <si>
    <t>Pay Down Bank Loan During the Year</t>
  </si>
  <si>
    <t>Record Depreciation on Fixed Assets</t>
  </si>
  <si>
    <t xml:space="preserve">     COST OF GOODS SOLD</t>
  </si>
  <si>
    <t xml:space="preserve">   OPERATING EXPENSES</t>
  </si>
  <si>
    <t xml:space="preserve">      INTEREST EXPENSE</t>
  </si>
  <si>
    <t xml:space="preserve">     DEPRECIATION EXP</t>
  </si>
  <si>
    <t>Totals for Year 2021</t>
  </si>
  <si>
    <t>Balance Year End</t>
  </si>
  <si>
    <t>Distribution to Owner</t>
  </si>
  <si>
    <t>Distribution to Outside Investor</t>
  </si>
  <si>
    <t>TOTAL STARTUP FUNDING</t>
  </si>
  <si>
    <t xml:space="preserve">    RETAINED EARNINGS</t>
  </si>
  <si>
    <t xml:space="preserve">          OWNER DISTR</t>
  </si>
  <si>
    <t xml:space="preserve">        INVESTOR DISTR</t>
  </si>
  <si>
    <t>Close out Year End 2021</t>
  </si>
  <si>
    <t>Profit or Loss for 2021</t>
  </si>
  <si>
    <t>Sub Total</t>
  </si>
  <si>
    <t>Cash Flow Statements</t>
  </si>
  <si>
    <t>Summarized Income Statements</t>
  </si>
  <si>
    <t>Sales Revenues</t>
  </si>
  <si>
    <t>Cost of Goods Sold</t>
  </si>
  <si>
    <t>Operating Income</t>
  </si>
  <si>
    <t>Non Operating Expenses</t>
  </si>
  <si>
    <t>Profit or (Loss)</t>
  </si>
  <si>
    <t>Additional Investments in Assets</t>
  </si>
  <si>
    <t>Sales Revenues for Year 2022</t>
  </si>
  <si>
    <t>&lt; Previous Year Annual Depreciation</t>
  </si>
  <si>
    <t>&lt; Total Depreciation for the Year</t>
  </si>
  <si>
    <t>Totals for Year 2022</t>
  </si>
  <si>
    <t>Balance for Year End</t>
  </si>
  <si>
    <t>Sales Forecast - Base Year</t>
  </si>
  <si>
    <t>Once we have a base year developed, we will apply some assumptions to forecast the out-years in our financial plan</t>
  </si>
  <si>
    <t>Out Year Assumptions</t>
  </si>
  <si>
    <t>Detail Income Statements</t>
  </si>
  <si>
    <t>3 Year Forecast</t>
  </si>
  <si>
    <t>YEAR 1</t>
  </si>
  <si>
    <t>Year 2</t>
  </si>
  <si>
    <t>Year 3</t>
  </si>
  <si>
    <t>Now that you have an Income Statement that is projected out into the future, you can make a final determination as to</t>
  </si>
  <si>
    <t>how much money you will need. This includes having enough money per our Startup Estimate, but also enough money</t>
  </si>
  <si>
    <t>to cover the losses when starting out as reflected in our Forecasted Income Statement (Tab 4).</t>
  </si>
  <si>
    <t>&lt; Minimum Starting Cash Balance Invested by Owner</t>
  </si>
  <si>
    <t>&lt; Must cover asset investments + loss</t>
  </si>
  <si>
    <t>Round Up Minimum Owner Amt</t>
  </si>
  <si>
    <t>Total Revised Startup Costs</t>
  </si>
  <si>
    <t>Round Up - Total Revised Startup Costs</t>
  </si>
  <si>
    <t>Breakdown of Financing for Startup Costs:</t>
  </si>
  <si>
    <t>Total Equity Invested</t>
  </si>
  <si>
    <t>Balance Sheets</t>
  </si>
  <si>
    <t>This workbook provides an example of how to prepare a financial plan that consists of three</t>
  </si>
  <si>
    <t>financial statements: Income Statement, Balance Sheet and Cash Flow Statement. These</t>
  </si>
  <si>
    <t>financial statements for the next 2 or 3 years.</t>
  </si>
  <si>
    <t>Calculate Additional Financing Requirement</t>
  </si>
  <si>
    <t xml:space="preserve">Additional Startup Expenses Needed &gt; </t>
  </si>
  <si>
    <t>A Second Calculation on Estimated Startup Costs per Minimal Investments and Estimated Sales:</t>
  </si>
  <si>
    <t>&lt; Higher Amount is the Final Startup Costs</t>
  </si>
  <si>
    <t>&lt; Do we need more money to cover our Losses?</t>
  </si>
  <si>
    <t>&lt; Initial Estimate Before Sales Estimate</t>
  </si>
  <si>
    <t>&lt; This is the estimated loss that includes all Operating Expenses</t>
  </si>
  <si>
    <t>&lt; Per Tab 5 Financing Needed</t>
  </si>
  <si>
    <t xml:space="preserve">Since loan payments are made on a monthly basis, the term </t>
  </si>
  <si>
    <t>of the loan and interest rate are expressed on a monthly basis</t>
  </si>
  <si>
    <t>in order to calculate the monthly payments in our schedule.</t>
  </si>
  <si>
    <t>Fully Fund the Startup to Generate the Opening Balance Sheet</t>
  </si>
  <si>
    <t>Post Your Major Assumptions for Year 1</t>
  </si>
  <si>
    <t>and Credit. Transactions are posted against "Accounts" that provide the basis for reporting</t>
  </si>
  <si>
    <t>Post Your Major Assumptions for Year 2</t>
  </si>
  <si>
    <t>Totals for Year 2023</t>
  </si>
  <si>
    <t>Zero Out the Income Statement</t>
  </si>
  <si>
    <t>Retained Earnings Entry</t>
  </si>
  <si>
    <t>Close out Year End 2022</t>
  </si>
  <si>
    <t>Profit or Loss for 2022</t>
  </si>
  <si>
    <t>Per Tab 7 - Post Transactions</t>
  </si>
  <si>
    <t>Per Tab 4 - Income Statement</t>
  </si>
  <si>
    <t>Table of Contents</t>
  </si>
  <si>
    <t>Tab 1 - Estimate Your Total Startup Costs</t>
  </si>
  <si>
    <t>Tab 2 - Estimate Your Startup Labor Costs</t>
  </si>
  <si>
    <t>Tab 3 - Estimate Your Sales for Year 1</t>
  </si>
  <si>
    <t>Tab 4 - Compile 3 Years of Income Statements</t>
  </si>
  <si>
    <t>Tab 5 - Finalize Your Startup Costs and Funding</t>
  </si>
  <si>
    <t>Tab 6 - Loan Amortization Schedule</t>
  </si>
  <si>
    <t>Tab 7 - Post All Financial Transactions</t>
  </si>
  <si>
    <t>Tab 8 - Reconcile Inventory Activity</t>
  </si>
  <si>
    <t>Tab 9 - Compile Cash Flow Statements</t>
  </si>
  <si>
    <t>Tab 10 - Compile Balance Sheets</t>
  </si>
  <si>
    <t>(Tab 5 / Tab 7)</t>
  </si>
  <si>
    <t>Tab 11 - Summarized Income Statements</t>
  </si>
  <si>
    <t>A financial plan requires your "best guess" on what you think you can do in terms of business over the next</t>
  </si>
  <si>
    <t>All of this information serves as your basis of estimate and as things change, you can change</t>
  </si>
  <si>
    <t>your assumptions and thus, make changes to your financial plan. This workbook is "educational"</t>
  </si>
  <si>
    <t>in nature and illustrates the key sequential steps that lead to the financial statements, including</t>
  </si>
  <si>
    <t>In order to estimate all of your startup costs, you may need to build some other schedules such as</t>
  </si>
  <si>
    <t xml:space="preserve">a Staffing Plan that breaks out your labor related costs. You should document important sizing </t>
  </si>
  <si>
    <t>parameters that determine other types of costs such as Rental Expense (square footage x rental rate).</t>
  </si>
  <si>
    <t>(2) See Tab 2 - Staffing Labor for a breakdown of the Monthly Labor Expense</t>
  </si>
  <si>
    <t xml:space="preserve">In order to keep it simple, this workbook will not include certain accrual type accounts such as </t>
  </si>
  <si>
    <t>Accounts Receivables and Accounts Payable. If your business issues invoices and / or makes</t>
  </si>
  <si>
    <t>payments when due, you should include these accounts as part of your financial plan.</t>
  </si>
  <si>
    <t>&lt; This account closes out the Income Statement to the Balance Sheet</t>
  </si>
  <si>
    <t>Gross Margin Percent</t>
  </si>
  <si>
    <t>Profit Margin</t>
  </si>
  <si>
    <t>Debt Service Ratio Calculation:</t>
  </si>
  <si>
    <t>Fixed Obligations:</t>
  </si>
  <si>
    <t>Rent Payments</t>
  </si>
  <si>
    <t>Total Debt Related Payments</t>
  </si>
  <si>
    <t>Loan Payments (Principal Only)</t>
  </si>
  <si>
    <t xml:space="preserve">Debt Service Ratio  </t>
  </si>
  <si>
    <t>&lt; Needs to be above 1.25 to obtain a bank loan</t>
  </si>
  <si>
    <t>&lt; Needs to be above 10% to ensure outside investors get paid back</t>
  </si>
  <si>
    <t>&lt; Needs to be above 40% to ensure profitability of the business</t>
  </si>
  <si>
    <t>Key Ratios</t>
  </si>
  <si>
    <t>three financial statements represent the critical output associated with your Financial Plan.</t>
  </si>
  <si>
    <t>Basic Steps of Developing a Financial Plan</t>
  </si>
  <si>
    <t>compiling all of the major accounting entries on where the numbers come from.</t>
  </si>
  <si>
    <r>
      <rPr>
        <b/>
        <i/>
        <sz val="11"/>
        <color theme="1"/>
        <rFont val="Calibri"/>
        <family val="2"/>
        <scheme val="minor"/>
      </rPr>
      <t xml:space="preserve">Bakery </t>
    </r>
    <r>
      <rPr>
        <i/>
        <sz val="11"/>
        <color theme="1"/>
        <rFont val="Calibri"/>
        <family val="2"/>
        <scheme val="minor"/>
      </rPr>
      <t>&gt; Cookies, Cakes and Bread Products</t>
    </r>
  </si>
  <si>
    <r>
      <rPr>
        <b/>
        <i/>
        <sz val="11"/>
        <color theme="1"/>
        <rFont val="Calibri"/>
        <family val="2"/>
        <scheme val="minor"/>
      </rPr>
      <t>Clothing Store</t>
    </r>
    <r>
      <rPr>
        <i/>
        <sz val="11"/>
        <color theme="1"/>
        <rFont val="Calibri"/>
        <family val="2"/>
        <scheme val="minor"/>
      </rPr>
      <t xml:space="preserve"> &gt; Men's Casual Wear, Women's Casual Wear, Boys, Girls, etc.</t>
    </r>
  </si>
  <si>
    <r>
      <rPr>
        <b/>
        <i/>
        <sz val="11"/>
        <color theme="1"/>
        <rFont val="Calibri"/>
        <family val="2"/>
        <scheme val="minor"/>
      </rPr>
      <t>Engineering Firm</t>
    </r>
    <r>
      <rPr>
        <i/>
        <sz val="11"/>
        <color theme="1"/>
        <rFont val="Calibri"/>
        <family val="2"/>
        <scheme val="minor"/>
      </rPr>
      <t xml:space="preserve"> &gt; Federal Contracts, Survey Work, City Public Works, Highway Projects</t>
    </r>
  </si>
  <si>
    <r>
      <rPr>
        <b/>
        <i/>
        <sz val="11"/>
        <color theme="1"/>
        <rFont val="Calibri"/>
        <family val="2"/>
        <scheme val="minor"/>
      </rPr>
      <t>Consulting Firm</t>
    </r>
    <r>
      <rPr>
        <i/>
        <sz val="11"/>
        <color theme="1"/>
        <rFont val="Calibri"/>
        <family val="2"/>
        <scheme val="minor"/>
      </rPr>
      <t xml:space="preserve"> &gt; Financial Systems, Public Reporting, Software Implementation, etc.</t>
    </r>
  </si>
  <si>
    <t>&lt; Check Your Math: Total Assets = Total Liabilities + Total Equity</t>
  </si>
  <si>
    <t>A Few Key Ratios:</t>
  </si>
  <si>
    <t xml:space="preserve">The point in time when you no longer incur a loss and start to </t>
  </si>
  <si>
    <t>earn a profit is often referred to as the Breakeven Point in your</t>
  </si>
  <si>
    <t xml:space="preserve">Average for All Products Combined </t>
  </si>
  <si>
    <t>Step 2 - Sum up your Fixed Costs (Operating Expenses)</t>
  </si>
  <si>
    <t>&lt; All Expenses other than Cost of Goods Sold for Year 2021</t>
  </si>
  <si>
    <t>Refer back to Row 44 on Tab 3 to see Average Values for All Products</t>
  </si>
  <si>
    <t xml:space="preserve"> &lt; Average Gross Margin for All Products</t>
  </si>
  <si>
    <t>Step 1 - Calculate an Overall Gross Margin for Your Products</t>
  </si>
  <si>
    <t>Since we have multiple products, we will use an average value</t>
  </si>
  <si>
    <t>financial model. You should make a note about this and perhaps</t>
  </si>
  <si>
    <t xml:space="preserve">mention this in your Business Plan. You can also get a rough idea </t>
  </si>
  <si>
    <t>of breakeven through a calculation as follows:</t>
  </si>
  <si>
    <t>Step 3 - Divide the Gross Margin (Step 1) into the Total Fixed Costs (Step 2)</t>
  </si>
  <si>
    <t>&lt; Approximate Units that must be sold to Breakeven</t>
  </si>
  <si>
    <t>&lt; Multiple the units x Average sales price (Breakeven Sales Amount)</t>
  </si>
  <si>
    <t>Breakeven</t>
  </si>
  <si>
    <t>&lt; Calculate Breakeven Sales Amount Using Contribution Margin</t>
  </si>
  <si>
    <t>&lt; Calculate Breakeven Units (Divide Sales / Sales Price)</t>
  </si>
  <si>
    <t>&lt; This information can be used to calculate Breakeven</t>
  </si>
  <si>
    <t>financial statements (such as Cash, Inventory, etc.). NOTE: You should do some form of actual</t>
  </si>
  <si>
    <t>accounting once the business gets started.</t>
  </si>
  <si>
    <t>Including Accounts Receivable in the Balance Sheet:</t>
  </si>
  <si>
    <t>If your sales are collected from customers based on the issuance of invoices, then your Balance Sheet</t>
  </si>
  <si>
    <t xml:space="preserve">we would estimate Accounts Receivable based on the expected collection period. </t>
  </si>
  <si>
    <t>Number of Days in the Year</t>
  </si>
  <si>
    <t>Estimated Accounts Receivable Balance</t>
  </si>
  <si>
    <t>&lt; Over time we expect to improve our collection process</t>
  </si>
  <si>
    <t xml:space="preserve">Total Sales for the Year </t>
  </si>
  <si>
    <t>Sales per Day</t>
  </si>
  <si>
    <t>Including Accounts Payable in the Balance Sheet:</t>
  </si>
  <si>
    <t>If you plan to wait 30 days before paying all of your expenses, then you would want to include Accounts</t>
  </si>
  <si>
    <t>Payable as a current liability in the Balance Sheet. In our example, we would take all of our expenses that</t>
  </si>
  <si>
    <t>Total Invoice Related Expenses</t>
  </si>
  <si>
    <t>Expense Amount per Day</t>
  </si>
  <si>
    <t>Estimated Days to Pay</t>
  </si>
  <si>
    <t>Estimated Accounts Payable</t>
  </si>
  <si>
    <t>are monthly invoice related and estimate our Accounts Payable balance for each year.</t>
  </si>
  <si>
    <t>Estimating Accounts Receivable</t>
  </si>
  <si>
    <t>Estimating Accounts Payable</t>
  </si>
  <si>
    <t xml:space="preserve">should reflect Accounts Receivable as part of your current assets; i.e. you issue invoices to customers </t>
  </si>
  <si>
    <r>
      <t xml:space="preserve">and you get paid approximately 30 days later. In our example, </t>
    </r>
    <r>
      <rPr>
        <b/>
        <sz val="11"/>
        <color theme="1"/>
        <rFont val="Calibri"/>
        <family val="2"/>
        <scheme val="minor"/>
      </rPr>
      <t>if</t>
    </r>
    <r>
      <rPr>
        <sz val="11"/>
        <color theme="1"/>
        <rFont val="Calibri"/>
        <family val="2"/>
        <scheme val="minor"/>
      </rPr>
      <t xml:space="preserve"> all of our sales were issued as invoices, then</t>
    </r>
  </si>
  <si>
    <t>Estimated Days to Collect Payment</t>
  </si>
  <si>
    <t>&lt; You do not want to hold too much cash - it does not generate a return</t>
  </si>
  <si>
    <t>Post Your Major Assumptions for Year 3</t>
  </si>
  <si>
    <t>Close out Year End 2023</t>
  </si>
  <si>
    <t>Profit or Loss for 2023</t>
  </si>
  <si>
    <t>and cover new investments to grow the business. Cash flow activities are often categorized as Operational,</t>
  </si>
  <si>
    <t>Category</t>
  </si>
  <si>
    <t>Operations</t>
  </si>
  <si>
    <t>Financing</t>
  </si>
  <si>
    <t>Investments</t>
  </si>
  <si>
    <t>First document a table of burden rates to be added to the base rate of pay. You may want to</t>
  </si>
  <si>
    <t>Financing or Investment type activities. The goal is to have most of the cash flow come from Operations.</t>
  </si>
  <si>
    <t>&lt; We will come back and revisit this after our Sales Forecast</t>
  </si>
  <si>
    <t>Print Year 1</t>
  </si>
  <si>
    <t>Print Year 2</t>
  </si>
  <si>
    <t>Print Year 3</t>
  </si>
  <si>
    <t>Cash Flow Statement - Summarized by Years</t>
  </si>
  <si>
    <t>(See detail Income Statements for breakdown of Operating Expenses)</t>
  </si>
  <si>
    <t>Print Range</t>
  </si>
  <si>
    <t>Version 1</t>
  </si>
  <si>
    <t>Prepared by: Matt Evans</t>
  </si>
  <si>
    <t>mevanscpa@gmail.com</t>
  </si>
  <si>
    <t>www.startup-financial-plan.com</t>
  </si>
  <si>
    <t>&lt; - Enter the Start Year for Your Financial Plan</t>
  </si>
  <si>
    <t>Year 1 &gt;</t>
  </si>
  <si>
    <t>Year 2 &gt;</t>
  </si>
  <si>
    <t>Year 3 &gt;</t>
  </si>
  <si>
    <t>Supreme Dog Bites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</si>
</sst>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&quot;$&quot;#,##0.00"/>
    <numFmt numFmtId="168" formatCode="0.0"/>
  </numFmts>
  <fonts count="1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4" fontId="0" fillId="0" borderId="3" xfId="1" applyNumberFormat="1" applyFont="1" applyBorder="1"/>
    <xf numFmtId="49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0" xfId="0" applyFont="1"/>
    <xf numFmtId="44" fontId="0" fillId="0" borderId="0" xfId="1" applyFont="1"/>
    <xf numFmtId="165" fontId="0" fillId="0" borderId="0" xfId="2" applyNumberFormat="1" applyFont="1"/>
    <xf numFmtId="0" fontId="4" fillId="2" borderId="0" xfId="0" applyFont="1" applyFill="1" applyAlignment="1">
      <alignment horizontal="center"/>
    </xf>
    <xf numFmtId="9" fontId="0" fillId="0" borderId="1" xfId="3" applyFont="1" applyBorder="1"/>
    <xf numFmtId="44" fontId="0" fillId="0" borderId="1" xfId="1" applyFont="1" applyBorder="1"/>
    <xf numFmtId="164" fontId="4" fillId="0" borderId="2" xfId="0" applyNumberFormat="1" applyFont="1" applyBorder="1"/>
    <xf numFmtId="9" fontId="0" fillId="0" borderId="0" xfId="3" applyFont="1"/>
    <xf numFmtId="10" fontId="0" fillId="0" borderId="0" xfId="3" applyNumberFormat="1" applyFont="1"/>
    <xf numFmtId="10" fontId="0" fillId="0" borderId="4" xfId="3" applyNumberFormat="1" applyFont="1" applyBorder="1"/>
    <xf numFmtId="10" fontId="4" fillId="0" borderId="0" xfId="3" applyNumberFormat="1" applyFont="1"/>
    <xf numFmtId="10" fontId="0" fillId="0" borderId="1" xfId="3" applyNumberFormat="1" applyFont="1" applyBorder="1"/>
    <xf numFmtId="1" fontId="0" fillId="0" borderId="1" xfId="1" applyNumberFormat="1" applyFont="1" applyBorder="1"/>
    <xf numFmtId="0" fontId="0" fillId="0" borderId="3" xfId="0" applyBorder="1"/>
    <xf numFmtId="9" fontId="0" fillId="0" borderId="1" xfId="3" applyFont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6" fillId="0" borderId="0" xfId="1" applyNumberFormat="1" applyFont="1"/>
    <xf numFmtId="164" fontId="0" fillId="0" borderId="0" xfId="1" applyNumberFormat="1" applyFont="1"/>
    <xf numFmtId="0" fontId="2" fillId="2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/>
    <xf numFmtId="164" fontId="6" fillId="0" borderId="4" xfId="1" applyNumberFormat="1" applyFont="1" applyBorder="1"/>
    <xf numFmtId="164" fontId="2" fillId="0" borderId="0" xfId="1" applyNumberFormat="1" applyFont="1"/>
    <xf numFmtId="0" fontId="2" fillId="0" borderId="0" xfId="0" applyFont="1" applyAlignment="1">
      <alignment horizontal="right"/>
    </xf>
    <xf numFmtId="164" fontId="4" fillId="0" borderId="0" xfId="0" applyNumberFormat="1" applyFont="1"/>
    <xf numFmtId="164" fontId="0" fillId="0" borderId="5" xfId="0" applyNumberFormat="1" applyBorder="1"/>
    <xf numFmtId="164" fontId="4" fillId="0" borderId="6" xfId="0" applyNumberFormat="1" applyFont="1" applyBorder="1"/>
    <xf numFmtId="0" fontId="8" fillId="0" borderId="0" xfId="0" applyFont="1"/>
    <xf numFmtId="0" fontId="9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4" xfId="0" applyNumberFormat="1" applyBorder="1" applyAlignment="1">
      <alignment horizontal="left"/>
    </xf>
    <xf numFmtId="164" fontId="0" fillId="0" borderId="4" xfId="1" applyNumberFormat="1" applyFont="1" applyBorder="1"/>
    <xf numFmtId="164" fontId="2" fillId="0" borderId="7" xfId="0" applyNumberFormat="1" applyFont="1" applyBorder="1"/>
    <xf numFmtId="164" fontId="4" fillId="0" borderId="2" xfId="1" applyNumberFormat="1" applyFont="1" applyBorder="1"/>
    <xf numFmtId="164" fontId="0" fillId="0" borderId="0" xfId="1" applyNumberFormat="1" applyFont="1" applyBorder="1"/>
    <xf numFmtId="164" fontId="6" fillId="0" borderId="0" xfId="0" applyNumberFormat="1" applyFont="1"/>
    <xf numFmtId="0" fontId="0" fillId="0" borderId="4" xfId="0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164" fontId="0" fillId="0" borderId="7" xfId="0" applyNumberFormat="1" applyBorder="1"/>
    <xf numFmtId="44" fontId="0" fillId="0" borderId="4" xfId="1" applyFont="1" applyBorder="1"/>
    <xf numFmtId="44" fontId="0" fillId="0" borderId="4" xfId="0" applyNumberFormat="1" applyBorder="1"/>
    <xf numFmtId="164" fontId="0" fillId="0" borderId="8" xfId="1" applyNumberFormat="1" applyFont="1" applyBorder="1"/>
    <xf numFmtId="164" fontId="0" fillId="0" borderId="4" xfId="0" applyNumberFormat="1" applyBorder="1"/>
    <xf numFmtId="164" fontId="0" fillId="0" borderId="7" xfId="1" applyNumberFormat="1" applyFont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14" fontId="4" fillId="0" borderId="0" xfId="1" applyNumberFormat="1" applyFont="1" applyAlignment="1">
      <alignment horizontal="center"/>
    </xf>
    <xf numFmtId="164" fontId="4" fillId="0" borderId="7" xfId="1" applyNumberFormat="1" applyFont="1" applyBorder="1"/>
    <xf numFmtId="164" fontId="4" fillId="0" borderId="9" xfId="0" applyNumberFormat="1" applyFont="1" applyBorder="1"/>
    <xf numFmtId="164" fontId="4" fillId="0" borderId="0" xfId="1" applyNumberFormat="1" applyFont="1"/>
    <xf numFmtId="0" fontId="2" fillId="0" borderId="0" xfId="0" applyFont="1" applyAlignment="1">
      <alignment horizontal="left"/>
    </xf>
    <xf numFmtId="166" fontId="0" fillId="0" borderId="0" xfId="3" applyNumberFormat="1" applyFont="1"/>
    <xf numFmtId="167" fontId="0" fillId="0" borderId="0" xfId="0" applyNumberFormat="1"/>
    <xf numFmtId="8" fontId="0" fillId="0" borderId="0" xfId="0" applyNumberFormat="1"/>
    <xf numFmtId="167" fontId="4" fillId="0" borderId="0" xfId="0" applyNumberFormat="1" applyFont="1"/>
    <xf numFmtId="8" fontId="0" fillId="0" borderId="4" xfId="0" applyNumberFormat="1" applyBorder="1"/>
    <xf numFmtId="167" fontId="0" fillId="0" borderId="4" xfId="0" applyNumberFormat="1" applyBorder="1"/>
    <xf numFmtId="0" fontId="4" fillId="0" borderId="4" xfId="0" applyFont="1" applyBorder="1" applyAlignment="1">
      <alignment horizontal="center"/>
    </xf>
    <xf numFmtId="164" fontId="4" fillId="0" borderId="0" xfId="1" applyNumberFormat="1" applyFont="1" applyBorder="1"/>
    <xf numFmtId="0" fontId="12" fillId="0" borderId="0" xfId="4" applyAlignment="1">
      <alignment horizontal="center"/>
    </xf>
    <xf numFmtId="164" fontId="4" fillId="0" borderId="1" xfId="1" applyNumberFormat="1" applyFont="1" applyBorder="1"/>
    <xf numFmtId="0" fontId="13" fillId="0" borderId="0" xfId="0" applyFont="1"/>
    <xf numFmtId="0" fontId="4" fillId="2" borderId="0" xfId="0" applyFont="1" applyFill="1"/>
    <xf numFmtId="164" fontId="0" fillId="2" borderId="0" xfId="1" applyNumberFormat="1" applyFont="1" applyFill="1"/>
    <xf numFmtId="0" fontId="12" fillId="0" borderId="0" xfId="4"/>
    <xf numFmtId="0" fontId="4" fillId="0" borderId="0" xfId="0" applyFont="1" applyAlignment="1">
      <alignment horizontal="left"/>
    </xf>
    <xf numFmtId="44" fontId="0" fillId="0" borderId="0" xfId="0" applyNumberFormat="1"/>
    <xf numFmtId="0" fontId="0" fillId="0" borderId="4" xfId="0" applyBorder="1"/>
    <xf numFmtId="164" fontId="0" fillId="0" borderId="9" xfId="0" applyNumberFormat="1" applyBorder="1"/>
    <xf numFmtId="0" fontId="15" fillId="0" borderId="0" xfId="0" applyFont="1"/>
    <xf numFmtId="0" fontId="4" fillId="0" borderId="10" xfId="0" quotePrefix="1" applyFont="1" applyBorder="1"/>
    <xf numFmtId="0" fontId="4" fillId="0" borderId="11" xfId="0" applyFont="1" applyBorder="1" applyAlignment="1">
      <alignment horizontal="center"/>
    </xf>
    <xf numFmtId="0" fontId="0" fillId="0" borderId="10" xfId="0" applyBorder="1"/>
    <xf numFmtId="164" fontId="0" fillId="0" borderId="10" xfId="1" applyNumberFormat="1" applyFont="1" applyBorder="1"/>
    <xf numFmtId="164" fontId="0" fillId="0" borderId="11" xfId="1" applyNumberFormat="1" applyFont="1" applyBorder="1"/>
    <xf numFmtId="164" fontId="4" fillId="0" borderId="12" xfId="1" applyNumberFormat="1" applyFont="1" applyBorder="1"/>
    <xf numFmtId="164" fontId="4" fillId="0" borderId="10" xfId="1" applyNumberFormat="1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164" fontId="4" fillId="0" borderId="15" xfId="1" applyNumberFormat="1" applyFont="1" applyBorder="1"/>
    <xf numFmtId="164" fontId="4" fillId="0" borderId="13" xfId="1" applyNumberFormat="1" applyFont="1" applyBorder="1"/>
    <xf numFmtId="0" fontId="4" fillId="0" borderId="10" xfId="0" applyFont="1" applyBorder="1"/>
    <xf numFmtId="0" fontId="4" fillId="0" borderId="0" xfId="0" applyFont="1" applyAlignment="1">
      <alignment wrapText="1"/>
    </xf>
    <xf numFmtId="0" fontId="16" fillId="0" borderId="0" xfId="0" applyFont="1"/>
    <xf numFmtId="164" fontId="17" fillId="0" borderId="0" xfId="1" applyNumberFormat="1" applyFont="1"/>
    <xf numFmtId="0" fontId="4" fillId="0" borderId="0" xfId="0" applyFont="1" applyAlignment="1">
      <alignment vertical="center"/>
    </xf>
    <xf numFmtId="0" fontId="12" fillId="0" borderId="0" xfId="4" applyAlignment="1">
      <alignment wrapText="1"/>
    </xf>
    <xf numFmtId="0" fontId="0" fillId="0" borderId="16" xfId="0" applyBorder="1"/>
    <xf numFmtId="9" fontId="0" fillId="0" borderId="17" xfId="3" applyFont="1" applyBorder="1"/>
    <xf numFmtId="9" fontId="0" fillId="0" borderId="18" xfId="3" applyFont="1" applyBorder="1"/>
    <xf numFmtId="0" fontId="0" fillId="0" borderId="19" xfId="0" applyBorder="1"/>
    <xf numFmtId="9" fontId="0" fillId="0" borderId="0" xfId="3" applyFont="1" applyBorder="1"/>
    <xf numFmtId="9" fontId="0" fillId="0" borderId="20" xfId="3" applyFont="1" applyBorder="1"/>
    <xf numFmtId="0" fontId="0" fillId="0" borderId="20" xfId="0" applyBorder="1"/>
    <xf numFmtId="0" fontId="9" fillId="0" borderId="19" xfId="0" applyFont="1" applyBorder="1"/>
    <xf numFmtId="164" fontId="0" fillId="0" borderId="20" xfId="0" applyNumberFormat="1" applyBorder="1"/>
    <xf numFmtId="164" fontId="0" fillId="0" borderId="21" xfId="0" applyNumberFormat="1" applyBorder="1"/>
    <xf numFmtId="0" fontId="0" fillId="0" borderId="22" xfId="0" applyBorder="1"/>
    <xf numFmtId="168" fontId="0" fillId="0" borderId="23" xfId="0" applyNumberFormat="1" applyBorder="1"/>
    <xf numFmtId="168" fontId="0" fillId="0" borderId="24" xfId="0" applyNumberFormat="1" applyBorder="1"/>
    <xf numFmtId="0" fontId="18" fillId="0" borderId="0" xfId="0" applyFont="1"/>
    <xf numFmtId="0" fontId="0" fillId="0" borderId="5" xfId="0" applyBorder="1"/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87</xdr:row>
      <xdr:rowOff>63500</xdr:rowOff>
    </xdr:from>
    <xdr:to>
      <xdr:col>5</xdr:col>
      <xdr:colOff>422275</xdr:colOff>
      <xdr:row>106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B797D31-7935-4198-A533-5380E2534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65"/>
        <a:stretch/>
      </xdr:blipFill>
      <xdr:spPr>
        <a:xfrm>
          <a:off x="349250" y="15347950"/>
          <a:ext cx="5819775" cy="3524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92075</xdr:colOff>
      <xdr:row>34</xdr:row>
      <xdr:rowOff>41275</xdr:rowOff>
    </xdr:from>
    <xdr:to>
      <xdr:col>8</xdr:col>
      <xdr:colOff>631825</xdr:colOff>
      <xdr:row>36</xdr:row>
      <xdr:rowOff>168275</xdr:rowOff>
    </xdr:to>
    <xdr:sp macro="" textlink="">
      <xdr:nvSpPr>
        <xdr:cNvPr id="2" name="Arrow: Bent 1">
          <a:extLst>
            <a:ext uri="{FF2B5EF4-FFF2-40B4-BE49-F238E27FC236}">
              <a16:creationId xmlns:a16="http://schemas.microsoft.com/office/drawing/2014/main" id="{BE024D9C-8B89-4D92-AA7A-5FC8103CEB12}"/>
            </a:ext>
          </a:extLst>
        </xdr:cNvPr>
        <xdr:cNvSpPr/>
      </xdr:nvSpPr>
      <xdr:spPr>
        <a:xfrm rot="16200000">
          <a:off x="8693150" y="6927850"/>
          <a:ext cx="495300" cy="53975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292100</xdr:colOff>
      <xdr:row>33</xdr:row>
      <xdr:rowOff>165100</xdr:rowOff>
    </xdr:from>
    <xdr:to>
      <xdr:col>5</xdr:col>
      <xdr:colOff>311150</xdr:colOff>
      <xdr:row>39</xdr:row>
      <xdr:rowOff>69850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AF25561A-E955-49AC-B6CB-4D07CA12B683}"/>
            </a:ext>
          </a:extLst>
        </xdr:cNvPr>
        <xdr:cNvSpPr/>
      </xdr:nvSpPr>
      <xdr:spPr>
        <a:xfrm>
          <a:off x="6680200" y="6584950"/>
          <a:ext cx="628650" cy="1009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107950</xdr:colOff>
      <xdr:row>14</xdr:row>
      <xdr:rowOff>44450</xdr:rowOff>
    </xdr:from>
    <xdr:to>
      <xdr:col>8</xdr:col>
      <xdr:colOff>590550</xdr:colOff>
      <xdr:row>16</xdr:row>
      <xdr:rowOff>146050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4E136A5D-393E-4470-B63B-1F19805D5B59}"/>
            </a:ext>
          </a:extLst>
        </xdr:cNvPr>
        <xdr:cNvSpPr/>
      </xdr:nvSpPr>
      <xdr:spPr>
        <a:xfrm>
          <a:off x="6115050" y="2768600"/>
          <a:ext cx="482600" cy="469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65B3D-430E-4289-A7FA-CD5B3EC0A669}">
  <dimension ref="A1:M46"/>
  <sheetViews>
    <sheetView tabSelected="1" workbookViewId="0">
      <selection activeCell="J1" sqref="J1"/>
    </sheetView>
  </sheetViews>
  <sheetFormatPr defaultRowHeight="14.5" x14ac:dyDescent="0.35"/>
  <cols>
    <col min="13" max="13" width="42.453125" customWidth="1"/>
  </cols>
  <sheetData>
    <row r="1" spans="1:13" ht="26" x14ac:dyDescent="0.6">
      <c r="A1" s="124" t="s">
        <v>548</v>
      </c>
      <c r="B1" s="1" t="s">
        <v>480</v>
      </c>
      <c r="M1" s="65" t="s">
        <v>442</v>
      </c>
    </row>
    <row r="2" spans="1:13" x14ac:dyDescent="0.35">
      <c r="M2" s="85" t="s">
        <v>443</v>
      </c>
    </row>
    <row r="3" spans="1:13" x14ac:dyDescent="0.35">
      <c r="A3" t="s">
        <v>417</v>
      </c>
      <c r="M3" s="85" t="s">
        <v>444</v>
      </c>
    </row>
    <row r="4" spans="1:13" x14ac:dyDescent="0.35">
      <c r="A4" t="s">
        <v>418</v>
      </c>
      <c r="M4" s="85" t="s">
        <v>445</v>
      </c>
    </row>
    <row r="5" spans="1:13" x14ac:dyDescent="0.35">
      <c r="A5" t="s">
        <v>479</v>
      </c>
      <c r="M5" s="85" t="s">
        <v>446</v>
      </c>
    </row>
    <row r="6" spans="1:13" x14ac:dyDescent="0.35">
      <c r="M6" s="85" t="s">
        <v>448</v>
      </c>
    </row>
    <row r="7" spans="1:13" x14ac:dyDescent="0.35">
      <c r="A7" t="s">
        <v>455</v>
      </c>
      <c r="M7" s="85" t="s">
        <v>449</v>
      </c>
    </row>
    <row r="8" spans="1:13" x14ac:dyDescent="0.35">
      <c r="A8" t="s">
        <v>0</v>
      </c>
      <c r="M8" s="85" t="s">
        <v>450</v>
      </c>
    </row>
    <row r="9" spans="1:13" x14ac:dyDescent="0.35">
      <c r="A9" t="s">
        <v>1</v>
      </c>
      <c r="M9" s="85" t="s">
        <v>451</v>
      </c>
    </row>
    <row r="10" spans="1:13" x14ac:dyDescent="0.35">
      <c r="A10" t="s">
        <v>419</v>
      </c>
      <c r="M10" s="85" t="s">
        <v>452</v>
      </c>
    </row>
    <row r="11" spans="1:13" x14ac:dyDescent="0.35">
      <c r="M11" s="85" t="s">
        <v>454</v>
      </c>
    </row>
    <row r="12" spans="1:13" x14ac:dyDescent="0.35">
      <c r="A12" t="s">
        <v>3</v>
      </c>
      <c r="M12" s="85" t="s">
        <v>478</v>
      </c>
    </row>
    <row r="13" spans="1:13" x14ac:dyDescent="0.35">
      <c r="M13" s="85" t="s">
        <v>503</v>
      </c>
    </row>
    <row r="14" spans="1:13" ht="15" thickBot="1" x14ac:dyDescent="0.4">
      <c r="A14" t="s">
        <v>2</v>
      </c>
    </row>
    <row r="15" spans="1:13" x14ac:dyDescent="0.35">
      <c r="A15" t="s">
        <v>4</v>
      </c>
      <c r="M15" s="125" t="s">
        <v>556</v>
      </c>
    </row>
    <row r="16" spans="1:13" x14ac:dyDescent="0.35">
      <c r="A16" t="s">
        <v>6</v>
      </c>
      <c r="L16" t="s">
        <v>553</v>
      </c>
      <c r="M16" s="5">
        <v>2021</v>
      </c>
    </row>
    <row r="17" spans="1:13" x14ac:dyDescent="0.35">
      <c r="A17" t="s">
        <v>11</v>
      </c>
      <c r="L17" t="s">
        <v>554</v>
      </c>
      <c r="M17" s="5">
        <v>2022</v>
      </c>
    </row>
    <row r="18" spans="1:13" x14ac:dyDescent="0.35">
      <c r="A18" t="s">
        <v>10</v>
      </c>
      <c r="L18" t="s">
        <v>555</v>
      </c>
      <c r="M18" s="5">
        <v>2023</v>
      </c>
    </row>
    <row r="20" spans="1:13" x14ac:dyDescent="0.35">
      <c r="A20" t="s">
        <v>5</v>
      </c>
    </row>
    <row r="21" spans="1:13" x14ac:dyDescent="0.35">
      <c r="A21" t="s">
        <v>12</v>
      </c>
    </row>
    <row r="22" spans="1:13" x14ac:dyDescent="0.35">
      <c r="A22" t="s">
        <v>44</v>
      </c>
    </row>
    <row r="24" spans="1:13" x14ac:dyDescent="0.35">
      <c r="A24" t="s">
        <v>45</v>
      </c>
    </row>
    <row r="25" spans="1:13" x14ac:dyDescent="0.35">
      <c r="A25" t="s">
        <v>93</v>
      </c>
    </row>
    <row r="27" spans="1:13" x14ac:dyDescent="0.35">
      <c r="A27" t="s">
        <v>46</v>
      </c>
    </row>
    <row r="28" spans="1:13" x14ac:dyDescent="0.35">
      <c r="A28" t="s">
        <v>94</v>
      </c>
    </row>
    <row r="30" spans="1:13" x14ac:dyDescent="0.35">
      <c r="A30" t="s">
        <v>47</v>
      </c>
    </row>
    <row r="31" spans="1:13" x14ac:dyDescent="0.35">
      <c r="A31" t="s">
        <v>95</v>
      </c>
    </row>
    <row r="32" spans="1:13" x14ac:dyDescent="0.35">
      <c r="A32" t="s">
        <v>96</v>
      </c>
    </row>
    <row r="34" spans="1:13" x14ac:dyDescent="0.35">
      <c r="A34" t="s">
        <v>456</v>
      </c>
    </row>
    <row r="35" spans="1:13" x14ac:dyDescent="0.35">
      <c r="A35" t="s">
        <v>457</v>
      </c>
    </row>
    <row r="36" spans="1:13" x14ac:dyDescent="0.35">
      <c r="A36" t="s">
        <v>458</v>
      </c>
    </row>
    <row r="37" spans="1:13" x14ac:dyDescent="0.35">
      <c r="A37" t="s">
        <v>481</v>
      </c>
    </row>
    <row r="39" spans="1:13" x14ac:dyDescent="0.35">
      <c r="A39" t="s">
        <v>463</v>
      </c>
    </row>
    <row r="40" spans="1:13" x14ac:dyDescent="0.35">
      <c r="A40" t="s">
        <v>464</v>
      </c>
      <c r="M40" s="85" t="s">
        <v>525</v>
      </c>
    </row>
    <row r="41" spans="1:13" x14ac:dyDescent="0.35">
      <c r="A41" t="s">
        <v>465</v>
      </c>
      <c r="M41" s="85" t="s">
        <v>526</v>
      </c>
    </row>
    <row r="44" spans="1:13" x14ac:dyDescent="0.35">
      <c r="E44" s="90" t="s">
        <v>549</v>
      </c>
    </row>
    <row r="45" spans="1:13" x14ac:dyDescent="0.35">
      <c r="E45" s="90" t="s">
        <v>550</v>
      </c>
    </row>
    <row r="46" spans="1:13" x14ac:dyDescent="0.35">
      <c r="E46" s="90" t="s">
        <v>551</v>
      </c>
    </row>
  </sheetData>
  <hyperlinks>
    <hyperlink ref="M2" location="'1 - Total Startup Costs'!A1" display="Tab 1 - Estimate Your Total Startup Costs" xr:uid="{ACBD0A90-9715-446F-9E59-841C335015AD}"/>
    <hyperlink ref="M3" location="'2 - Staffing Labor'!A1" display="Tab 2 - Estimate Your Startup Labor Costs" xr:uid="{910E3D43-C0CF-4BDA-B4B2-3A5471508D85}"/>
    <hyperlink ref="M4" location="'3 - Sales Estimate'!A1" display="Tab 3 - Estimate Your Sales for Year 1" xr:uid="{04D467F6-E5BD-467F-B4E3-7E0558458CCA}"/>
    <hyperlink ref="M5" location="'4 - Income Statement'!A1" display="Tab 4 - Compile 3 Years of Income Statements" xr:uid="{D3DBDA1D-BC8E-4EA9-A8C5-B1418FB65BF5}"/>
    <hyperlink ref="M6" location="'6 - Loan Schedule'!A1" display="Tab 6 - Loan Amortization Schedule" xr:uid="{E97DD896-5AD2-4EEC-AA38-ED54438EB750}"/>
    <hyperlink ref="M7" location="'7 - Post Transactions'!A1" display="Tab 7 - Post All Financial Transactions" xr:uid="{295DB7F3-F94B-4C9B-8BF6-CAB6D81F3424}"/>
    <hyperlink ref="M8" location="'8 - Inventory'!A1" display="Tab 8 - Reconcile Inventory Activity" xr:uid="{455F7336-72CA-42B9-A708-194742221415}"/>
    <hyperlink ref="M9" location="'9 - Cash Flow Stmts'!A1" display="Tab 9 - Compile Cash Flow Statements" xr:uid="{49DA99F5-9DD4-45A0-824E-FB00A32D45FF}"/>
    <hyperlink ref="M10" location="'10 - Balance Sheets'!A1" display="Tab 10 - Compile Balance Sheets" xr:uid="{22F6A3EB-CC2C-40D3-B00F-5BC02FF33FCC}"/>
    <hyperlink ref="M11" location="'11 - Income Stmt Summaries'!A1" display="Tab 11 - Compile Summarize Income Statements" xr:uid="{B94D4CEF-12B1-460F-A1C1-28E01A5A7D96}"/>
    <hyperlink ref="M12" location="Key_Ratios" display="Key Ratios" xr:uid="{682DB9C4-DA4C-4DDB-A923-3FA53BDEBEE9}"/>
    <hyperlink ref="M13" location="Breakeven" display="Breakeven" xr:uid="{9C650633-5B7B-4260-9AD3-8F77716D65DA}"/>
    <hyperlink ref="M40" location="Including_Accounts_Receivable_in_the_Balance_Sheet" display="Estimating Accounts Receivable" xr:uid="{9E9EEA9F-ACA9-49B3-9E1E-40063779C220}"/>
    <hyperlink ref="M41" location="Including_Accounts_Payable_in_the_Balance_Sheet" display="Estimating Accounts Payable" xr:uid="{520B00B3-2357-4A86-AEA5-ED350F3983F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F947E-1A8B-4E69-94C5-D0A786C84EFB}">
  <dimension ref="A1:L35"/>
  <sheetViews>
    <sheetView workbookViewId="0">
      <selection activeCell="H10" sqref="H10"/>
    </sheetView>
  </sheetViews>
  <sheetFormatPr defaultRowHeight="14.5" x14ac:dyDescent="0.35"/>
  <cols>
    <col min="1" max="1" width="26.453125" customWidth="1"/>
    <col min="2" max="2" width="7.6328125" customWidth="1"/>
    <col min="3" max="3" width="13.08984375" customWidth="1"/>
    <col min="4" max="6" width="13.6328125" customWidth="1"/>
    <col min="11" max="11" width="10.36328125" customWidth="1"/>
    <col min="12" max="12" width="42.1796875" customWidth="1"/>
  </cols>
  <sheetData>
    <row r="1" spans="1:12" ht="26" x14ac:dyDescent="0.6">
      <c r="C1" s="1" t="s">
        <v>385</v>
      </c>
      <c r="F1" s="85" t="s">
        <v>547</v>
      </c>
      <c r="L1" s="65" t="s">
        <v>442</v>
      </c>
    </row>
    <row r="2" spans="1:12" x14ac:dyDescent="0.35">
      <c r="L2" s="85" t="s">
        <v>443</v>
      </c>
    </row>
    <row r="3" spans="1:12" x14ac:dyDescent="0.35">
      <c r="A3" t="s">
        <v>313</v>
      </c>
      <c r="L3" s="85" t="s">
        <v>444</v>
      </c>
    </row>
    <row r="4" spans="1:12" x14ac:dyDescent="0.35">
      <c r="A4" t="s">
        <v>314</v>
      </c>
      <c r="L4" s="85" t="s">
        <v>445</v>
      </c>
    </row>
    <row r="5" spans="1:12" x14ac:dyDescent="0.35">
      <c r="A5" t="s">
        <v>315</v>
      </c>
      <c r="L5" s="85" t="s">
        <v>446</v>
      </c>
    </row>
    <row r="6" spans="1:12" x14ac:dyDescent="0.35">
      <c r="A6" t="s">
        <v>316</v>
      </c>
      <c r="L6" s="85" t="s">
        <v>447</v>
      </c>
    </row>
    <row r="7" spans="1:12" x14ac:dyDescent="0.35">
      <c r="A7" t="s">
        <v>534</v>
      </c>
      <c r="L7" s="85" t="s">
        <v>448</v>
      </c>
    </row>
    <row r="8" spans="1:12" x14ac:dyDescent="0.35">
      <c r="A8" t="s">
        <v>540</v>
      </c>
      <c r="L8" s="85" t="s">
        <v>449</v>
      </c>
    </row>
    <row r="9" spans="1:12" ht="30" x14ac:dyDescent="0.45">
      <c r="A9" s="106" t="str">
        <f>Overview!M15</f>
        <v>Supreme Dog Bites</v>
      </c>
      <c r="C9" s="107" t="s">
        <v>545</v>
      </c>
      <c r="L9" s="85" t="s">
        <v>450</v>
      </c>
    </row>
    <row r="10" spans="1:12" x14ac:dyDescent="0.35">
      <c r="B10">
        <v>-1</v>
      </c>
      <c r="C10" s="53" t="s">
        <v>535</v>
      </c>
      <c r="D10" s="53">
        <f>Overview!M16</f>
        <v>2021</v>
      </c>
      <c r="E10" s="53">
        <f>Overview!M17</f>
        <v>2022</v>
      </c>
      <c r="F10" s="53">
        <f>Overview!M18</f>
        <v>2023</v>
      </c>
      <c r="L10" s="85" t="s">
        <v>451</v>
      </c>
    </row>
    <row r="11" spans="1:12" x14ac:dyDescent="0.35">
      <c r="L11" s="85" t="s">
        <v>452</v>
      </c>
    </row>
    <row r="12" spans="1:12" x14ac:dyDescent="0.35">
      <c r="A12" t="s">
        <v>215</v>
      </c>
      <c r="D12" s="33">
        <f>'5 - Financing Needed'!D42</f>
        <v>130000</v>
      </c>
      <c r="E12" s="33">
        <f>D31</f>
        <v>17601.202290292655</v>
      </c>
      <c r="F12" s="33">
        <f>E31</f>
        <v>58689.299099439464</v>
      </c>
      <c r="L12" s="85" t="s">
        <v>454</v>
      </c>
    </row>
    <row r="13" spans="1:12" x14ac:dyDescent="0.35">
      <c r="D13" s="33"/>
      <c r="E13" s="33"/>
      <c r="F13" s="33"/>
      <c r="L13" s="85" t="s">
        <v>478</v>
      </c>
    </row>
    <row r="14" spans="1:12" x14ac:dyDescent="0.35">
      <c r="A14" t="s">
        <v>257</v>
      </c>
      <c r="C14" t="s">
        <v>536</v>
      </c>
      <c r="D14" s="33">
        <f>'4 - Income Statement'!N10</f>
        <v>487680</v>
      </c>
      <c r="E14" s="33">
        <f>'4 - Income Statement'!N74</f>
        <v>1764367.3071201271</v>
      </c>
      <c r="F14" s="33">
        <f>'4 - Income Statement'!N107</f>
        <v>2354239.2096196939</v>
      </c>
      <c r="G14" t="s">
        <v>320</v>
      </c>
      <c r="L14" s="85" t="s">
        <v>503</v>
      </c>
    </row>
    <row r="15" spans="1:12" x14ac:dyDescent="0.35">
      <c r="D15" s="33"/>
      <c r="E15" s="33"/>
      <c r="F15" s="33"/>
    </row>
    <row r="16" spans="1:12" x14ac:dyDescent="0.35">
      <c r="A16" t="s">
        <v>258</v>
      </c>
      <c r="C16" t="s">
        <v>536</v>
      </c>
      <c r="D16" s="33">
        <f>('8 - Inventory'!B21+'8 - Inventory'!B15)*B10</f>
        <v>-206066</v>
      </c>
      <c r="E16" s="33">
        <f>'8 - Inventory'!C21*B10</f>
        <v>-744543.97003137029</v>
      </c>
      <c r="F16" s="33">
        <f>'8 - Inventory'!D21*B10</f>
        <v>-990120.30060803331</v>
      </c>
      <c r="G16" t="s">
        <v>321</v>
      </c>
    </row>
    <row r="17" spans="1:7" x14ac:dyDescent="0.35">
      <c r="D17" s="33"/>
      <c r="E17" s="33"/>
      <c r="F17" s="33"/>
    </row>
    <row r="18" spans="1:7" x14ac:dyDescent="0.35">
      <c r="A18" t="s">
        <v>216</v>
      </c>
      <c r="C18" t="s">
        <v>536</v>
      </c>
      <c r="D18" s="33">
        <f>'4 - Income Statement'!N25*B10</f>
        <v>-279274.71499999997</v>
      </c>
      <c r="E18" s="33">
        <f>'4 - Income Statement'!N92*B10</f>
        <v>-549751.13000000012</v>
      </c>
      <c r="F18" s="33">
        <f>'4 - Income Statement'!N125*B10</f>
        <v>-791251.13000000012</v>
      </c>
      <c r="G18" t="s">
        <v>332</v>
      </c>
    </row>
    <row r="19" spans="1:7" x14ac:dyDescent="0.35">
      <c r="B19" s="108" t="s">
        <v>546</v>
      </c>
      <c r="E19" s="33"/>
      <c r="F19" s="33"/>
    </row>
    <row r="20" spans="1:7" x14ac:dyDescent="0.35">
      <c r="A20" t="s">
        <v>319</v>
      </c>
      <c r="C20" t="s">
        <v>537</v>
      </c>
      <c r="D20" s="33">
        <f>'6 - Loan Schedule'!G84*B10</f>
        <v>-12738.082709707382</v>
      </c>
      <c r="E20" s="33">
        <f>'6 - Loan Schedule'!G85*B10</f>
        <v>-16984.110279609842</v>
      </c>
      <c r="F20" s="33">
        <f>'6 - Loan Schedule'!G86*B10</f>
        <v>-16984.110279609842</v>
      </c>
      <c r="G20" t="s">
        <v>322</v>
      </c>
    </row>
    <row r="21" spans="1:7" x14ac:dyDescent="0.35">
      <c r="D21" s="33"/>
      <c r="E21" s="33"/>
      <c r="F21" s="33"/>
    </row>
    <row r="22" spans="1:7" x14ac:dyDescent="0.35">
      <c r="A22" t="s">
        <v>331</v>
      </c>
      <c r="C22" t="s">
        <v>538</v>
      </c>
      <c r="D22" s="33">
        <f>'1 - Total Startup Costs'!D35*B10</f>
        <v>-12000</v>
      </c>
      <c r="E22" s="33">
        <f>'4 - Income Statement'!F62*B10</f>
        <v>-42000</v>
      </c>
      <c r="F22" s="33">
        <f>'4 - Income Statement'!G62*B10</f>
        <v>-40000</v>
      </c>
      <c r="G22" t="s">
        <v>333</v>
      </c>
    </row>
    <row r="23" spans="1:7" x14ac:dyDescent="0.35">
      <c r="D23" s="48"/>
      <c r="E23" s="48"/>
      <c r="F23" s="48"/>
    </row>
    <row r="24" spans="1:7" x14ac:dyDescent="0.35">
      <c r="A24" t="s">
        <v>259</v>
      </c>
      <c r="D24" s="33">
        <f>SUM(D12:D23)</f>
        <v>107601.20229029265</v>
      </c>
      <c r="E24" s="33">
        <f>SUM(E12:E23)</f>
        <v>428689.29909943946</v>
      </c>
      <c r="F24" s="33">
        <f>SUM(F12:F23)</f>
        <v>574572.96783148998</v>
      </c>
    </row>
    <row r="25" spans="1:7" x14ac:dyDescent="0.35">
      <c r="D25" s="33" t="s">
        <v>42</v>
      </c>
      <c r="E25" s="33"/>
      <c r="F25" s="33"/>
    </row>
    <row r="26" spans="1:7" x14ac:dyDescent="0.35">
      <c r="A26" s="44" t="s">
        <v>334</v>
      </c>
      <c r="D26" s="33"/>
      <c r="E26" s="33"/>
      <c r="F26" s="33"/>
    </row>
    <row r="27" spans="1:7" x14ac:dyDescent="0.35">
      <c r="D27" s="33"/>
      <c r="E27" s="33"/>
      <c r="F27" s="33"/>
    </row>
    <row r="28" spans="1:7" x14ac:dyDescent="0.35">
      <c r="A28" t="s">
        <v>227</v>
      </c>
      <c r="C28" t="s">
        <v>537</v>
      </c>
      <c r="D28" s="33">
        <v>-60000</v>
      </c>
      <c r="E28" s="33">
        <v>-350000</v>
      </c>
      <c r="F28" s="33">
        <v>-500000</v>
      </c>
    </row>
    <row r="29" spans="1:7" x14ac:dyDescent="0.35">
      <c r="A29" t="s">
        <v>260</v>
      </c>
      <c r="C29" t="s">
        <v>537</v>
      </c>
      <c r="D29" s="33">
        <v>-30000</v>
      </c>
      <c r="E29" s="33">
        <v>-20000</v>
      </c>
      <c r="F29" s="33">
        <v>-10000</v>
      </c>
    </row>
    <row r="30" spans="1:7" x14ac:dyDescent="0.35">
      <c r="D30" s="33"/>
      <c r="E30" s="33"/>
      <c r="F30" s="33"/>
    </row>
    <row r="31" spans="1:7" ht="15" thickBot="1" x14ac:dyDescent="0.4">
      <c r="A31" t="s">
        <v>228</v>
      </c>
      <c r="D31" s="63">
        <f>SUM(D24:D30)</f>
        <v>17601.202290292655</v>
      </c>
      <c r="E31" s="63">
        <f>SUM(E24:E30)</f>
        <v>58689.299099439464</v>
      </c>
      <c r="F31" s="63">
        <f>SUM(F24:F30)</f>
        <v>64572.967831489979</v>
      </c>
      <c r="G31" t="s">
        <v>530</v>
      </c>
    </row>
    <row r="32" spans="1:7" ht="15" thickTop="1" x14ac:dyDescent="0.35">
      <c r="D32" s="33"/>
      <c r="E32" s="33"/>
      <c r="F32" s="33"/>
    </row>
    <row r="33" spans="1:4" x14ac:dyDescent="0.35">
      <c r="A33" t="s">
        <v>317</v>
      </c>
    </row>
    <row r="34" spans="1:4" x14ac:dyDescent="0.35">
      <c r="A34" t="s">
        <v>318</v>
      </c>
    </row>
    <row r="35" spans="1:4" x14ac:dyDescent="0.35">
      <c r="D35" s="45" t="s">
        <v>42</v>
      </c>
    </row>
  </sheetData>
  <hyperlinks>
    <hyperlink ref="L2" location="'1 - Total Startup Costs'!A1" display="Tab 1 - Estimate Your Total Startup Costs" xr:uid="{69987E57-3BE2-46A4-A896-4C07F7218328}"/>
    <hyperlink ref="L3" location="'2 - Staffing Labor'!A1" display="Tab 2 - Estimate Your Startup Labor Costs" xr:uid="{A7FF1D7F-B403-4526-BB4E-82D97C05291A}"/>
    <hyperlink ref="L4" location="'3 - Sales Estimate'!A1" display="Tab 3 - Estimate Your Sales for Year 1" xr:uid="{B1D3BB07-A926-4329-ADA3-629EDE896FB4}"/>
    <hyperlink ref="L5" location="'4 - Income Statement'!A1" display="Tab 4 - Compile 3 Years of Income Statements" xr:uid="{AFD712D7-ECA3-4C3D-B155-1D6704E971A3}"/>
    <hyperlink ref="L6" location="'5 - Financing Needed'!A1" display="Tab 5 - Finalize Your Startup Costs and Funding" xr:uid="{705F5BFF-57E3-4FC1-BEBC-2F3D564E7F7F}"/>
    <hyperlink ref="L7" location="'6 - Loan Schedule'!A1" display="Tab 6 - Loan Amortization Schedule" xr:uid="{1D3A5356-21CF-4F8A-8626-F25AD61FAC62}"/>
    <hyperlink ref="L8" location="'7 - Post Transactions'!A1" display="Tab 7 - Post All Financial Transactions" xr:uid="{D529038B-E20E-4EA1-834F-B78A1D64DA18}"/>
    <hyperlink ref="L9" location="'8 - Inventory'!A1" display="Tab 8 - Reconcile Inventory Activity" xr:uid="{4843F773-922C-4102-A2A5-953F2D7C9071}"/>
    <hyperlink ref="L10" location="'9 - Cash Flow Stmts'!A1" display="Tab 9 - Compile Cash Flow Statements" xr:uid="{B6877971-9A21-42DC-BA76-31A2754FA301}"/>
    <hyperlink ref="L11" location="'10 - Balance Sheets'!A1" display="Tab 10 - Compile Balance Sheets" xr:uid="{F66AA5FF-DCF1-471F-979F-F26A582CF64A}"/>
    <hyperlink ref="L12" location="'11 - Income Stmt Summaries'!A1" display="Tab 11 - Compile Summarize Income Statements" xr:uid="{85B86C49-3B9F-4A7A-9654-8F74F4A0B55D}"/>
    <hyperlink ref="L13" location="Key_Ratios" display="Key Ratios" xr:uid="{28E086B4-23FC-4546-A5BC-07B74B8D8613}"/>
    <hyperlink ref="L14" location="Breakeven" display="Breakeven" xr:uid="{CD7A2839-B8CA-4103-AABC-0246B236CDF2}"/>
    <hyperlink ref="F1" location="Cash_Flow_Statement_Summarized" display="Print Range" xr:uid="{399E2C64-F88F-4EC2-BAC7-C3A7224B4349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B93B-5EA4-4282-9701-E395EE7C0856}">
  <dimension ref="A1:G63"/>
  <sheetViews>
    <sheetView topLeftCell="A37" workbookViewId="0">
      <selection activeCell="E4" sqref="E4"/>
    </sheetView>
  </sheetViews>
  <sheetFormatPr defaultRowHeight="14.5" x14ac:dyDescent="0.35"/>
  <cols>
    <col min="1" max="1" width="30.6328125" customWidth="1"/>
    <col min="2" max="5" width="13.6328125" customWidth="1"/>
    <col min="7" max="7" width="41.81640625" customWidth="1"/>
  </cols>
  <sheetData>
    <row r="1" spans="1:7" ht="31.5" x14ac:dyDescent="0.6">
      <c r="A1" s="109" t="str">
        <f>Overview!M15</f>
        <v>Supreme Dog Bites</v>
      </c>
      <c r="B1" t="s">
        <v>42</v>
      </c>
      <c r="C1" s="1" t="s">
        <v>416</v>
      </c>
      <c r="F1" s="110" t="s">
        <v>547</v>
      </c>
      <c r="G1" s="65" t="s">
        <v>442</v>
      </c>
    </row>
    <row r="2" spans="1:7" x14ac:dyDescent="0.35">
      <c r="C2">
        <v>-1</v>
      </c>
      <c r="G2" s="85" t="s">
        <v>443</v>
      </c>
    </row>
    <row r="3" spans="1:7" x14ac:dyDescent="0.35">
      <c r="B3" s="65" t="s">
        <v>453</v>
      </c>
      <c r="C3" s="11">
        <f>Overview!M16</f>
        <v>2021</v>
      </c>
      <c r="D3" s="11">
        <f>Overview!M17</f>
        <v>2022</v>
      </c>
      <c r="E3" s="11">
        <f>Overview!M18</f>
        <v>2023</v>
      </c>
      <c r="G3" s="85" t="s">
        <v>444</v>
      </c>
    </row>
    <row r="4" spans="1:7" x14ac:dyDescent="0.35">
      <c r="B4" s="65" t="s">
        <v>273</v>
      </c>
      <c r="C4" s="65" t="s">
        <v>275</v>
      </c>
      <c r="D4" s="65" t="s">
        <v>275</v>
      </c>
      <c r="E4" s="65" t="s">
        <v>275</v>
      </c>
      <c r="G4" s="85" t="s">
        <v>445</v>
      </c>
    </row>
    <row r="5" spans="1:7" x14ac:dyDescent="0.35">
      <c r="B5" s="66" t="s">
        <v>274</v>
      </c>
      <c r="C5" s="67">
        <v>44561</v>
      </c>
      <c r="D5" s="67">
        <v>44926</v>
      </c>
      <c r="E5" s="67">
        <v>45291</v>
      </c>
      <c r="G5" s="85" t="s">
        <v>446</v>
      </c>
    </row>
    <row r="6" spans="1:7" x14ac:dyDescent="0.35">
      <c r="B6" s="12"/>
      <c r="C6" s="12"/>
      <c r="D6" s="12"/>
      <c r="E6" s="12"/>
      <c r="G6" s="85" t="s">
        <v>447</v>
      </c>
    </row>
    <row r="7" spans="1:7" x14ac:dyDescent="0.35">
      <c r="A7" t="s">
        <v>200</v>
      </c>
      <c r="B7" s="33">
        <f>'7 - Post Transactions'!C21</f>
        <v>130000</v>
      </c>
      <c r="C7" s="33">
        <f>'7 - Post Transactions'!C36</f>
        <v>17601.202290292596</v>
      </c>
      <c r="D7" s="33">
        <f>'9 - Cash Flow Stmts'!E31</f>
        <v>58689.299099439464</v>
      </c>
      <c r="E7" s="33">
        <f>'9 - Cash Flow Stmts'!F31</f>
        <v>64572.967831489979</v>
      </c>
      <c r="G7" s="85" t="s">
        <v>448</v>
      </c>
    </row>
    <row r="8" spans="1:7" x14ac:dyDescent="0.35">
      <c r="A8" t="s">
        <v>220</v>
      </c>
      <c r="B8" s="48">
        <v>0</v>
      </c>
      <c r="C8" s="48">
        <f>'7 - Post Transactions'!E36</f>
        <v>5000</v>
      </c>
      <c r="D8" s="48">
        <f>'8 - Inventory'!C23</f>
        <v>15000</v>
      </c>
      <c r="E8" s="48">
        <f>'8 - Inventory'!D23</f>
        <v>25000</v>
      </c>
      <c r="G8" s="85" t="s">
        <v>449</v>
      </c>
    </row>
    <row r="9" spans="1:7" x14ac:dyDescent="0.35">
      <c r="B9" s="33"/>
      <c r="C9" s="33"/>
      <c r="D9" s="33"/>
      <c r="E9" s="33"/>
      <c r="G9" s="85" t="s">
        <v>450</v>
      </c>
    </row>
    <row r="10" spans="1:7" x14ac:dyDescent="0.35">
      <c r="A10" s="11" t="s">
        <v>272</v>
      </c>
      <c r="B10" s="70">
        <f>SUM(B7:B9)</f>
        <v>130000</v>
      </c>
      <c r="C10" s="70">
        <f t="shared" ref="C10:E10" si="0">SUM(C7:C9)</f>
        <v>22601.202290292596</v>
      </c>
      <c r="D10" s="70">
        <f t="shared" si="0"/>
        <v>73689.299099439464</v>
      </c>
      <c r="E10" s="70">
        <f t="shared" si="0"/>
        <v>89572.967831489979</v>
      </c>
      <c r="G10" s="85" t="s">
        <v>451</v>
      </c>
    </row>
    <row r="11" spans="1:7" x14ac:dyDescent="0.35">
      <c r="B11" s="33"/>
      <c r="C11" s="33"/>
      <c r="D11" s="33"/>
      <c r="E11" s="33"/>
      <c r="G11" s="85" t="s">
        <v>452</v>
      </c>
    </row>
    <row r="12" spans="1:7" x14ac:dyDescent="0.35">
      <c r="A12" t="s">
        <v>335</v>
      </c>
      <c r="B12" s="33" t="s">
        <v>42</v>
      </c>
      <c r="C12" s="33">
        <f>'1 - Total Startup Costs'!D35</f>
        <v>12000</v>
      </c>
      <c r="D12" s="33">
        <f>C12+'4 - Income Statement'!F62</f>
        <v>54000</v>
      </c>
      <c r="E12" s="33">
        <f>D12+'4 - Income Statement'!G62</f>
        <v>94000</v>
      </c>
      <c r="G12" s="85" t="s">
        <v>454</v>
      </c>
    </row>
    <row r="13" spans="1:7" x14ac:dyDescent="0.35">
      <c r="A13" t="s">
        <v>293</v>
      </c>
      <c r="B13" s="48"/>
      <c r="C13" s="48">
        <f>'1 - Total Startup Costs'!E35*C2</f>
        <v>-2400</v>
      </c>
      <c r="D13" s="48">
        <f>C13-'4 - Income Statement'!F66</f>
        <v>-13200</v>
      </c>
      <c r="E13" s="48">
        <f>D13-'4 - Income Statement'!G66</f>
        <v>-32000</v>
      </c>
      <c r="G13" s="85" t="s">
        <v>478</v>
      </c>
    </row>
    <row r="14" spans="1:7" x14ac:dyDescent="0.35">
      <c r="A14" s="11" t="s">
        <v>294</v>
      </c>
      <c r="B14" s="33">
        <v>0</v>
      </c>
      <c r="C14" s="33">
        <f>SUM(C12:C13)</f>
        <v>9600</v>
      </c>
      <c r="D14" s="33">
        <f t="shared" ref="D14:E14" si="1">SUM(D12:D13)</f>
        <v>40800</v>
      </c>
      <c r="E14" s="33">
        <f t="shared" si="1"/>
        <v>62000</v>
      </c>
      <c r="G14" s="85" t="s">
        <v>503</v>
      </c>
    </row>
    <row r="15" spans="1:7" x14ac:dyDescent="0.35">
      <c r="B15" s="48"/>
      <c r="C15" s="48"/>
      <c r="D15" s="48"/>
      <c r="E15" s="48"/>
    </row>
    <row r="16" spans="1:7" ht="15" thickBot="1" x14ac:dyDescent="0.4">
      <c r="A16" s="11" t="s">
        <v>204</v>
      </c>
      <c r="B16" s="68">
        <f>B10+B14</f>
        <v>130000</v>
      </c>
      <c r="C16" s="68">
        <f t="shared" ref="C16:E16" si="2">C10+C14</f>
        <v>32201.202290292596</v>
      </c>
      <c r="D16" s="68">
        <f t="shared" si="2"/>
        <v>114489.29909943946</v>
      </c>
      <c r="E16" s="68">
        <f t="shared" si="2"/>
        <v>151572.96783148998</v>
      </c>
    </row>
    <row r="17" spans="1:6" ht="15" thickTop="1" x14ac:dyDescent="0.35">
      <c r="B17" s="33"/>
      <c r="C17" s="33"/>
      <c r="D17" s="33"/>
      <c r="E17" s="33"/>
    </row>
    <row r="18" spans="1:6" x14ac:dyDescent="0.35">
      <c r="B18" s="33"/>
      <c r="C18" s="33"/>
      <c r="D18" s="33"/>
      <c r="E18" s="33"/>
    </row>
    <row r="19" spans="1:6" x14ac:dyDescent="0.35">
      <c r="A19" t="s">
        <v>212</v>
      </c>
      <c r="B19" s="33">
        <f>'7 - Post Transactions'!L21</f>
        <v>75000</v>
      </c>
      <c r="C19" s="33">
        <f>B19-'6 - Loan Schedule'!F84</f>
        <v>64907.372505834588</v>
      </c>
      <c r="D19" s="33">
        <f>C19-'6 - Loan Schedule'!F85</f>
        <v>50849.370554999841</v>
      </c>
      <c r="E19" s="33">
        <f>D19-'6 - Loan Schedule'!F86</f>
        <v>36072.134543935281</v>
      </c>
    </row>
    <row r="20" spans="1:6" x14ac:dyDescent="0.35">
      <c r="B20" s="33"/>
      <c r="C20" s="33"/>
      <c r="D20" s="33"/>
      <c r="E20" s="33"/>
    </row>
    <row r="21" spans="1:6" x14ac:dyDescent="0.35">
      <c r="B21" s="33"/>
      <c r="C21" s="33"/>
      <c r="D21" s="33"/>
      <c r="E21" s="33"/>
    </row>
    <row r="22" spans="1:6" x14ac:dyDescent="0.35">
      <c r="A22" s="11" t="s">
        <v>280</v>
      </c>
      <c r="B22" s="70">
        <f>SUM(B19:B21)</f>
        <v>75000</v>
      </c>
      <c r="C22" s="70">
        <f t="shared" ref="C22:E22" si="3">SUM(C19:C21)</f>
        <v>64907.372505834588</v>
      </c>
      <c r="D22" s="70">
        <f t="shared" si="3"/>
        <v>50849.370554999841</v>
      </c>
      <c r="E22" s="70">
        <f t="shared" si="3"/>
        <v>36072.134543935281</v>
      </c>
    </row>
    <row r="23" spans="1:6" x14ac:dyDescent="0.35">
      <c r="B23" s="33"/>
      <c r="C23" s="33"/>
      <c r="D23" s="33"/>
      <c r="E23" s="33"/>
    </row>
    <row r="24" spans="1:6" x14ac:dyDescent="0.35">
      <c r="A24" t="s">
        <v>209</v>
      </c>
      <c r="B24" s="33"/>
      <c r="C24" s="33">
        <f>'4 - Income Statement'!N33</f>
        <v>2293.8297844580602</v>
      </c>
      <c r="D24" s="33">
        <f>'4 - Income Statement'!N100+C24</f>
        <v>468639.92854443967</v>
      </c>
      <c r="E24" s="33">
        <f>'4 - Income Statement'!N133+D24</f>
        <v>1030500.8332875548</v>
      </c>
      <c r="F24" s="33" t="s">
        <v>466</v>
      </c>
    </row>
    <row r="25" spans="1:6" x14ac:dyDescent="0.35">
      <c r="A25" t="s">
        <v>276</v>
      </c>
      <c r="B25" s="33">
        <f>'7 - Post Transactions'!N21</f>
        <v>35000</v>
      </c>
      <c r="C25" s="33">
        <f>'7 - Post Transactions'!N36</f>
        <v>35000</v>
      </c>
      <c r="D25" s="33">
        <f>'7 - Post Transactions'!N52</f>
        <v>35000</v>
      </c>
      <c r="E25" s="33">
        <f>'7 - Post Transactions'!N68</f>
        <v>35000</v>
      </c>
      <c r="F25" s="33"/>
    </row>
    <row r="26" spans="1:6" x14ac:dyDescent="0.35">
      <c r="A26" t="s">
        <v>376</v>
      </c>
      <c r="B26" s="33"/>
      <c r="C26" s="33">
        <f>'9 - Cash Flow Stmts'!D28</f>
        <v>-60000</v>
      </c>
      <c r="D26" s="33">
        <f>'9 - Cash Flow Stmts'!E28+C26</f>
        <v>-410000</v>
      </c>
      <c r="E26" s="33">
        <f>'9 - Cash Flow Stmts'!F28+D26</f>
        <v>-910000</v>
      </c>
      <c r="F26" s="33"/>
    </row>
    <row r="27" spans="1:6" x14ac:dyDescent="0.35">
      <c r="A27" t="s">
        <v>277</v>
      </c>
      <c r="B27" s="33">
        <f>'7 - Post Transactions'!P21</f>
        <v>20000</v>
      </c>
      <c r="C27" s="33">
        <f>'7 - Post Transactions'!P36</f>
        <v>20000</v>
      </c>
      <c r="D27" s="33">
        <f>'7 - Post Transactions'!P52</f>
        <v>20000</v>
      </c>
      <c r="E27" s="33">
        <f>'7 - Post Transactions'!P68</f>
        <v>20000</v>
      </c>
      <c r="F27" s="33"/>
    </row>
    <row r="28" spans="1:6" x14ac:dyDescent="0.35">
      <c r="A28" t="s">
        <v>377</v>
      </c>
      <c r="B28" s="33" t="s">
        <v>42</v>
      </c>
      <c r="C28" s="33">
        <f>'9 - Cash Flow Stmts'!D29</f>
        <v>-30000</v>
      </c>
      <c r="D28" s="33">
        <f>'9 - Cash Flow Stmts'!E29+C28</f>
        <v>-50000</v>
      </c>
      <c r="E28" s="33">
        <f>'9 - Cash Flow Stmts'!F29+D28</f>
        <v>-60000</v>
      </c>
      <c r="F28" s="33"/>
    </row>
    <row r="29" spans="1:6" x14ac:dyDescent="0.35">
      <c r="A29" t="s">
        <v>42</v>
      </c>
      <c r="B29" s="33"/>
      <c r="C29" s="33"/>
      <c r="D29" s="33"/>
      <c r="E29" s="33"/>
    </row>
    <row r="30" spans="1:6" x14ac:dyDescent="0.35">
      <c r="A30" s="11" t="s">
        <v>279</v>
      </c>
      <c r="B30" s="70">
        <f>SUM(B24:B29)</f>
        <v>55000</v>
      </c>
      <c r="C30" s="70">
        <f t="shared" ref="C30:E30" si="4">SUM(C24:C29)</f>
        <v>-32706.170215541941</v>
      </c>
      <c r="D30" s="70">
        <f t="shared" si="4"/>
        <v>63639.928544439666</v>
      </c>
      <c r="E30" s="70">
        <f t="shared" si="4"/>
        <v>115500.83328755479</v>
      </c>
    </row>
    <row r="31" spans="1:6" x14ac:dyDescent="0.35">
      <c r="B31" s="62"/>
      <c r="C31" s="62"/>
      <c r="D31" s="62"/>
      <c r="E31" s="62"/>
    </row>
    <row r="32" spans="1:6" ht="15" thickBot="1" x14ac:dyDescent="0.4">
      <c r="A32" s="11" t="s">
        <v>278</v>
      </c>
      <c r="B32" s="69">
        <f>B22+B30</f>
        <v>130000</v>
      </c>
      <c r="C32" s="69">
        <f t="shared" ref="C32:E32" si="5">C22+C30</f>
        <v>32201.202290292647</v>
      </c>
      <c r="D32" s="69">
        <f t="shared" si="5"/>
        <v>114489.29909943951</v>
      </c>
      <c r="E32" s="69">
        <f t="shared" si="5"/>
        <v>151572.96783149007</v>
      </c>
    </row>
    <row r="33" spans="1:6" ht="15" thickTop="1" x14ac:dyDescent="0.35"/>
    <row r="34" spans="1:6" x14ac:dyDescent="0.35">
      <c r="A34" s="11" t="s">
        <v>356</v>
      </c>
      <c r="B34" s="45">
        <f>B16-B32</f>
        <v>0</v>
      </c>
      <c r="C34" s="45">
        <f t="shared" ref="C34:E34" si="6">C16-C32</f>
        <v>-5.0931703299283981E-11</v>
      </c>
      <c r="D34" s="45">
        <f t="shared" si="6"/>
        <v>0</v>
      </c>
      <c r="E34" s="45">
        <f t="shared" si="6"/>
        <v>0</v>
      </c>
      <c r="F34" t="s">
        <v>486</v>
      </c>
    </row>
    <row r="37" spans="1:6" x14ac:dyDescent="0.35">
      <c r="A37" s="44" t="s">
        <v>509</v>
      </c>
    </row>
    <row r="38" spans="1:6" x14ac:dyDescent="0.35">
      <c r="A38" t="s">
        <v>510</v>
      </c>
    </row>
    <row r="39" spans="1:6" x14ac:dyDescent="0.35">
      <c r="A39" t="s">
        <v>527</v>
      </c>
    </row>
    <row r="40" spans="1:6" x14ac:dyDescent="0.35">
      <c r="A40" t="s">
        <v>528</v>
      </c>
    </row>
    <row r="41" spans="1:6" x14ac:dyDescent="0.35">
      <c r="A41" t="s">
        <v>511</v>
      </c>
    </row>
    <row r="43" spans="1:6" x14ac:dyDescent="0.35">
      <c r="A43" t="s">
        <v>515</v>
      </c>
      <c r="C43" s="33">
        <f>'9 - Cash Flow Stmts'!D14</f>
        <v>487680</v>
      </c>
      <c r="D43" s="33">
        <f>'9 - Cash Flow Stmts'!E14</f>
        <v>1764367.3071201271</v>
      </c>
      <c r="E43" s="33">
        <f>'9 - Cash Flow Stmts'!F14</f>
        <v>2354239.2096196939</v>
      </c>
    </row>
    <row r="44" spans="1:6" x14ac:dyDescent="0.35">
      <c r="A44" t="s">
        <v>512</v>
      </c>
      <c r="C44">
        <v>365</v>
      </c>
      <c r="D44">
        <v>365</v>
      </c>
      <c r="E44">
        <v>365</v>
      </c>
    </row>
    <row r="45" spans="1:6" x14ac:dyDescent="0.35">
      <c r="A45" t="s">
        <v>516</v>
      </c>
      <c r="C45" s="33">
        <f>C43/C44</f>
        <v>1336.1095890410959</v>
      </c>
      <c r="D45" s="33">
        <f t="shared" ref="D45:E45" si="7">D43/D44</f>
        <v>4833.8830332058278</v>
      </c>
      <c r="E45" s="33">
        <f t="shared" si="7"/>
        <v>6449.9704373142304</v>
      </c>
    </row>
    <row r="46" spans="1:6" x14ac:dyDescent="0.35">
      <c r="A46" t="s">
        <v>529</v>
      </c>
      <c r="C46" s="88">
        <v>45</v>
      </c>
      <c r="D46" s="88">
        <v>40</v>
      </c>
      <c r="E46" s="88">
        <v>35</v>
      </c>
      <c r="F46" t="s">
        <v>514</v>
      </c>
    </row>
    <row r="47" spans="1:6" ht="15" thickBot="1" x14ac:dyDescent="0.4">
      <c r="A47" t="s">
        <v>513</v>
      </c>
      <c r="C47" s="89">
        <f>C45*C46</f>
        <v>60124.931506849316</v>
      </c>
      <c r="D47" s="89">
        <f t="shared" ref="D47:E47" si="8">D45*D46</f>
        <v>193355.32132823311</v>
      </c>
      <c r="E47" s="89">
        <f t="shared" si="8"/>
        <v>225748.96530599805</v>
      </c>
    </row>
    <row r="48" spans="1:6" ht="15" thickTop="1" x14ac:dyDescent="0.35"/>
    <row r="49" spans="1:5" x14ac:dyDescent="0.35">
      <c r="A49" s="44" t="s">
        <v>517</v>
      </c>
    </row>
    <row r="50" spans="1:5" x14ac:dyDescent="0.35">
      <c r="A50" t="s">
        <v>518</v>
      </c>
    </row>
    <row r="51" spans="1:5" x14ac:dyDescent="0.35">
      <c r="A51" t="s">
        <v>519</v>
      </c>
    </row>
    <row r="52" spans="1:5" x14ac:dyDescent="0.35">
      <c r="A52" t="s">
        <v>524</v>
      </c>
    </row>
    <row r="54" spans="1:5" x14ac:dyDescent="0.35">
      <c r="A54" t="s">
        <v>24</v>
      </c>
      <c r="C54" s="33">
        <f>'4 - Income Statement'!N18</f>
        <v>5400</v>
      </c>
      <c r="D54" s="33">
        <f>'4 - Income Statement'!N82</f>
        <v>18600</v>
      </c>
      <c r="E54" s="33">
        <f>'4 - Income Statement'!N115</f>
        <v>28200</v>
      </c>
    </row>
    <row r="55" spans="1:5" x14ac:dyDescent="0.35">
      <c r="A55" t="s">
        <v>25</v>
      </c>
      <c r="C55" s="33">
        <f>'4 - Income Statement'!N19</f>
        <v>3960</v>
      </c>
      <c r="D55" s="33">
        <f>'4 - Income Statement'!N83</f>
        <v>14760</v>
      </c>
      <c r="E55" s="33">
        <f>'4 - Income Statement'!N116</f>
        <v>21960</v>
      </c>
    </row>
    <row r="56" spans="1:5" x14ac:dyDescent="0.35">
      <c r="A56" t="s">
        <v>251</v>
      </c>
      <c r="C56" s="33">
        <f>'4 - Income Statement'!N23</f>
        <v>1620</v>
      </c>
      <c r="D56" s="33">
        <f>'4 - Income Statement'!N87</f>
        <v>6420</v>
      </c>
      <c r="E56" s="33">
        <f>'4 - Income Statement'!N120</f>
        <v>11220</v>
      </c>
    </row>
    <row r="57" spans="1:5" x14ac:dyDescent="0.35">
      <c r="A57" t="s">
        <v>252</v>
      </c>
      <c r="C57" s="48">
        <f>'4 - Income Statement'!N24</f>
        <v>2100</v>
      </c>
      <c r="D57" s="48">
        <f>'4 - Income Statement'!N88</f>
        <v>9300</v>
      </c>
      <c r="E57" s="48">
        <f>'4 - Income Statement'!N121</f>
        <v>16500</v>
      </c>
    </row>
    <row r="58" spans="1:5" x14ac:dyDescent="0.35">
      <c r="A58" t="s">
        <v>520</v>
      </c>
      <c r="C58" s="33">
        <f>SUM(C54:C57)</f>
        <v>13080</v>
      </c>
      <c r="D58" s="33">
        <f t="shared" ref="D58:E58" si="9">SUM(D54:D57)</f>
        <v>49080</v>
      </c>
      <c r="E58" s="33">
        <f t="shared" si="9"/>
        <v>77880</v>
      </c>
    </row>
    <row r="59" spans="1:5" x14ac:dyDescent="0.35">
      <c r="A59" t="s">
        <v>512</v>
      </c>
      <c r="C59">
        <v>365</v>
      </c>
      <c r="D59">
        <v>365</v>
      </c>
      <c r="E59">
        <v>365</v>
      </c>
    </row>
    <row r="60" spans="1:5" x14ac:dyDescent="0.35">
      <c r="A60" t="s">
        <v>521</v>
      </c>
      <c r="C60" s="45">
        <f>C58/C59</f>
        <v>35.835616438356162</v>
      </c>
      <c r="D60" s="45">
        <f t="shared" ref="D60:E60" si="10">D58/D59</f>
        <v>134.46575342465752</v>
      </c>
      <c r="E60" s="45">
        <f t="shared" si="10"/>
        <v>213.36986301369862</v>
      </c>
    </row>
    <row r="61" spans="1:5" x14ac:dyDescent="0.35">
      <c r="A61" t="s">
        <v>522</v>
      </c>
      <c r="C61" s="88">
        <v>30</v>
      </c>
      <c r="D61" s="88">
        <v>30</v>
      </c>
      <c r="E61" s="88">
        <v>30</v>
      </c>
    </row>
    <row r="62" spans="1:5" ht="15" thickBot="1" x14ac:dyDescent="0.4">
      <c r="A62" t="s">
        <v>523</v>
      </c>
      <c r="C62" s="89">
        <f>C60*C61</f>
        <v>1075.0684931506848</v>
      </c>
      <c r="D62" s="89">
        <f t="shared" ref="D62:E62" si="11">D60*D61</f>
        <v>4033.9726027397255</v>
      </c>
      <c r="E62" s="89">
        <f t="shared" si="11"/>
        <v>6401.0958904109584</v>
      </c>
    </row>
    <row r="63" spans="1:5" ht="15" thickTop="1" x14ac:dyDescent="0.35"/>
  </sheetData>
  <hyperlinks>
    <hyperlink ref="G2" location="'1 - Total Startup Costs'!A1" display="Tab 1 - Estimate Your Total Startup Costs" xr:uid="{00022644-1DE7-4294-BE02-430E6ABF13B0}"/>
    <hyperlink ref="G3" location="'2 - Staffing Labor'!A1" display="Tab 2 - Estimate Your Startup Labor Costs" xr:uid="{E7F88E1F-FBA0-4F66-AD72-41A9B15E397D}"/>
    <hyperlink ref="G4" location="'3 - Sales Estimate'!A1" display="Tab 3 - Estimate Your Sales for Year 1" xr:uid="{96010A2E-9D81-4D35-94C9-F8C880CF5652}"/>
    <hyperlink ref="G5" location="'4 - Income Statement'!A1" display="Tab 4 - Compile 3 Years of Income Statements" xr:uid="{A439590D-27B2-4CC6-819F-A3B02AA17C66}"/>
    <hyperlink ref="G6" location="'5 - Financing Needed'!A1" display="Tab 5 - Finalize Your Startup Costs and Funding" xr:uid="{1635B37F-5EDB-4B8E-9606-BA36F841B471}"/>
    <hyperlink ref="G7" location="'6 - Loan Schedule'!A1" display="Tab 6 - Loan Amortization Schedule" xr:uid="{9D10A350-36F1-4065-BCB2-06846153D353}"/>
    <hyperlink ref="G8" location="'7 - Post Transactions'!A1" display="Tab 7 - Post All Financial Transactions" xr:uid="{D7D7D662-0692-4BE0-945A-4076CB9AAE9D}"/>
    <hyperlink ref="G9" location="'8 - Inventory'!A1" display="Tab 8 - Reconcile Inventory Activity" xr:uid="{EBD2CA9A-20BC-487A-9507-DEF2CB7D1A06}"/>
    <hyperlink ref="G10" location="'9 - Cash Flow Stmts'!A1" display="Tab 9 - Compile Cash Flow Statements" xr:uid="{51E73DD7-B561-4C32-AEDF-748D19017988}"/>
    <hyperlink ref="G11" location="'10 - Balance Sheets'!A1" display="Tab 10 - Compile Balance Sheets" xr:uid="{220A1D39-AC4C-4CE4-B241-29482F63866E}"/>
    <hyperlink ref="G12" location="'11 - Income Stmt Summaries'!A1" display="Tab 11 - Compile Summarize Income Statements" xr:uid="{BD09B53A-EF54-4A1A-9CBC-D010A7965323}"/>
    <hyperlink ref="G13" location="Key_Ratios" display="Key Ratios" xr:uid="{D9AB8CF9-3DDA-48B2-85DC-C42ADCA564CC}"/>
    <hyperlink ref="G14" location="Breakeven" display="Breakeven" xr:uid="{FEC988EA-00FD-44C2-B1F1-15C982646B0F}"/>
    <hyperlink ref="F1" location="Balance_Sheet" display="Print Range" xr:uid="{4D35F3C5-25E5-417C-8063-BBFE1678797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1A3F-C8A4-47B4-8782-312628C88F53}">
  <dimension ref="A1:G34"/>
  <sheetViews>
    <sheetView topLeftCell="A19" workbookViewId="0">
      <selection activeCell="E9" sqref="E9"/>
    </sheetView>
  </sheetViews>
  <sheetFormatPr defaultRowHeight="14.5" x14ac:dyDescent="0.35"/>
  <cols>
    <col min="1" max="1" width="34.81640625" customWidth="1"/>
    <col min="2" max="6" width="12.6328125" customWidth="1"/>
    <col min="7" max="7" width="40.36328125" customWidth="1"/>
  </cols>
  <sheetData>
    <row r="1" spans="1:7" ht="26" x14ac:dyDescent="0.6">
      <c r="A1" s="109" t="str">
        <f>Overview!M15</f>
        <v>Supreme Dog Bites</v>
      </c>
      <c r="B1" s="1" t="s">
        <v>386</v>
      </c>
      <c r="F1" s="80" t="s">
        <v>547</v>
      </c>
      <c r="G1" s="65" t="s">
        <v>442</v>
      </c>
    </row>
    <row r="2" spans="1:7" x14ac:dyDescent="0.35">
      <c r="B2" t="s">
        <v>440</v>
      </c>
      <c r="G2" s="85" t="s">
        <v>443</v>
      </c>
    </row>
    <row r="3" spans="1:7" x14ac:dyDescent="0.35">
      <c r="G3" s="85" t="s">
        <v>444</v>
      </c>
    </row>
    <row r="4" spans="1:7" x14ac:dyDescent="0.35">
      <c r="B4" s="65">
        <f>Overview!M16</f>
        <v>2021</v>
      </c>
      <c r="C4" s="65">
        <f>Overview!M17</f>
        <v>2022</v>
      </c>
      <c r="D4" s="65">
        <f>Overview!M18</f>
        <v>2023</v>
      </c>
      <c r="E4" s="86" t="s">
        <v>42</v>
      </c>
      <c r="G4" s="85" t="s">
        <v>445</v>
      </c>
    </row>
    <row r="5" spans="1:7" x14ac:dyDescent="0.35">
      <c r="G5" s="85" t="s">
        <v>446</v>
      </c>
    </row>
    <row r="6" spans="1:7" x14ac:dyDescent="0.35">
      <c r="A6" s="11" t="s">
        <v>387</v>
      </c>
      <c r="B6" s="33">
        <f>'7 - Post Transactions'!X35</f>
        <v>487680</v>
      </c>
      <c r="C6" s="33">
        <f>'7 - Post Transactions'!X42</f>
        <v>1764367.3071201271</v>
      </c>
      <c r="D6" s="33">
        <f>'7 - Post Transactions'!X67</f>
        <v>2354239.2096196939</v>
      </c>
      <c r="G6" s="85" t="s">
        <v>447</v>
      </c>
    </row>
    <row r="7" spans="1:7" x14ac:dyDescent="0.35">
      <c r="A7" s="11" t="s">
        <v>388</v>
      </c>
      <c r="B7" s="48">
        <f>'7 - Post Transactions'!Y35</f>
        <v>201066</v>
      </c>
      <c r="C7" s="48">
        <f>'7 - Post Transactions'!Y43</f>
        <v>734543.97003137029</v>
      </c>
      <c r="D7" s="48">
        <f>'7 - Post Transactions'!Y67</f>
        <v>980120.30060803331</v>
      </c>
      <c r="E7" t="s">
        <v>42</v>
      </c>
      <c r="G7" s="85" t="s">
        <v>448</v>
      </c>
    </row>
    <row r="8" spans="1:7" x14ac:dyDescent="0.35">
      <c r="A8" s="11" t="s">
        <v>161</v>
      </c>
      <c r="B8" s="33">
        <f>B6-B7</f>
        <v>286614</v>
      </c>
      <c r="C8" s="33">
        <f t="shared" ref="C8:D8" si="0">C6-C7</f>
        <v>1029823.3370887568</v>
      </c>
      <c r="D8" s="33">
        <f t="shared" si="0"/>
        <v>1374118.9090116606</v>
      </c>
      <c r="G8" s="85" t="s">
        <v>449</v>
      </c>
    </row>
    <row r="9" spans="1:7" x14ac:dyDescent="0.35">
      <c r="A9" s="11"/>
      <c r="B9" s="33"/>
      <c r="C9" s="33"/>
      <c r="D9" s="33"/>
      <c r="G9" s="85" t="s">
        <v>450</v>
      </c>
    </row>
    <row r="10" spans="1:7" x14ac:dyDescent="0.35">
      <c r="A10" s="11" t="s">
        <v>197</v>
      </c>
      <c r="B10" s="33">
        <f>'7 - Post Transactions'!AA35</f>
        <v>279274.71499999997</v>
      </c>
      <c r="C10" s="33">
        <f>'7 - Post Transactions'!AA45</f>
        <v>549751.13000000012</v>
      </c>
      <c r="D10" s="33">
        <f>'7 - Post Transactions'!AA67</f>
        <v>791251.13000000012</v>
      </c>
      <c r="E10" t="s">
        <v>42</v>
      </c>
      <c r="G10" s="85" t="s">
        <v>451</v>
      </c>
    </row>
    <row r="11" spans="1:7" x14ac:dyDescent="0.35">
      <c r="A11" s="11"/>
      <c r="B11" s="48"/>
      <c r="C11" s="48"/>
      <c r="D11" s="48"/>
      <c r="G11" s="85" t="s">
        <v>452</v>
      </c>
    </row>
    <row r="12" spans="1:7" x14ac:dyDescent="0.35">
      <c r="A12" s="11" t="s">
        <v>389</v>
      </c>
      <c r="B12" s="33">
        <f>B8-B10</f>
        <v>7339.2850000000326</v>
      </c>
      <c r="C12" s="33">
        <f t="shared" ref="C12:D12" si="1">C8-C10</f>
        <v>480072.20708875672</v>
      </c>
      <c r="D12" s="33">
        <f t="shared" si="1"/>
        <v>582867.77901166049</v>
      </c>
      <c r="E12" t="s">
        <v>42</v>
      </c>
      <c r="G12" s="85" t="s">
        <v>454</v>
      </c>
    </row>
    <row r="13" spans="1:7" x14ac:dyDescent="0.35">
      <c r="A13" s="11"/>
      <c r="B13" s="33"/>
      <c r="C13" s="33"/>
      <c r="D13" s="33"/>
      <c r="G13" s="85" t="s">
        <v>478</v>
      </c>
    </row>
    <row r="14" spans="1:7" x14ac:dyDescent="0.35">
      <c r="A14" s="11" t="s">
        <v>390</v>
      </c>
      <c r="B14" s="48">
        <f>'7 - Post Transactions'!AC35+'7 - Post Transactions'!AE35</f>
        <v>5045.4552155419724</v>
      </c>
      <c r="C14" s="48">
        <f>'7 - Post Transactions'!AC51+'7 - Post Transactions'!AE51</f>
        <v>13726.108328775093</v>
      </c>
      <c r="D14" s="48">
        <f>'7 - Post Transactions'!AC67+'7 - Post Transactions'!AE67</f>
        <v>21006.874268545282</v>
      </c>
      <c r="E14" t="s">
        <v>42</v>
      </c>
      <c r="G14" s="85" t="s">
        <v>503</v>
      </c>
    </row>
    <row r="15" spans="1:7" x14ac:dyDescent="0.35">
      <c r="A15" s="11"/>
      <c r="B15" s="33"/>
      <c r="C15" s="33"/>
      <c r="D15" s="33"/>
    </row>
    <row r="16" spans="1:7" ht="15" thickBot="1" x14ac:dyDescent="0.4">
      <c r="A16" s="11" t="s">
        <v>391</v>
      </c>
      <c r="B16" s="63">
        <f>B12-B14</f>
        <v>2293.8297844580602</v>
      </c>
      <c r="C16" s="63">
        <f t="shared" ref="C16:D16" si="2">C12-C14</f>
        <v>466346.09875998163</v>
      </c>
      <c r="D16" s="63">
        <f t="shared" si="2"/>
        <v>561860.90474311518</v>
      </c>
    </row>
    <row r="17" spans="1:5" ht="15" thickTop="1" x14ac:dyDescent="0.35">
      <c r="B17" s="33"/>
      <c r="C17" s="33"/>
      <c r="D17" s="33"/>
    </row>
    <row r="18" spans="1:5" ht="15" thickBot="1" x14ac:dyDescent="0.4">
      <c r="A18" t="s">
        <v>441</v>
      </c>
      <c r="B18" s="63">
        <f>'4 - Income Statement'!N33</f>
        <v>2293.8297844580602</v>
      </c>
      <c r="C18" s="63">
        <f>'4 - Income Statement'!N100</f>
        <v>466346.09875998163</v>
      </c>
      <c r="D18" s="63">
        <f>'4 - Income Statement'!N133</f>
        <v>561860.90474311518</v>
      </c>
    </row>
    <row r="19" spans="1:5" ht="15" thickTop="1" x14ac:dyDescent="0.35">
      <c r="B19" s="51"/>
      <c r="C19" s="51"/>
      <c r="D19" s="51"/>
    </row>
    <row r="20" spans="1:5" x14ac:dyDescent="0.35">
      <c r="A20" s="11" t="s">
        <v>487</v>
      </c>
    </row>
    <row r="21" spans="1:5" ht="15" thickBot="1" x14ac:dyDescent="0.4"/>
    <row r="22" spans="1:5" x14ac:dyDescent="0.35">
      <c r="A22" s="111" t="s">
        <v>467</v>
      </c>
      <c r="B22" s="112">
        <f>B8/B6</f>
        <v>0.58770915354330711</v>
      </c>
      <c r="C22" s="112">
        <f t="shared" ref="C22:D22" si="3">C8/C6</f>
        <v>0.58367854183927093</v>
      </c>
      <c r="D22" s="113">
        <f t="shared" si="3"/>
        <v>0.58367854183927093</v>
      </c>
      <c r="E22" t="s">
        <v>477</v>
      </c>
    </row>
    <row r="23" spans="1:5" x14ac:dyDescent="0.35">
      <c r="A23" s="114" t="s">
        <v>468</v>
      </c>
      <c r="B23" s="115">
        <f>B18/B6</f>
        <v>4.7035551682620986E-3</v>
      </c>
      <c r="C23" s="115">
        <f t="shared" ref="C23:D23" si="4">C18/C6</f>
        <v>0.26431350030009959</v>
      </c>
      <c r="D23" s="116">
        <f t="shared" si="4"/>
        <v>0.23865922479214793</v>
      </c>
      <c r="E23" t="s">
        <v>476</v>
      </c>
    </row>
    <row r="24" spans="1:5" x14ac:dyDescent="0.35">
      <c r="A24" s="114"/>
      <c r="D24" s="117"/>
    </row>
    <row r="25" spans="1:5" x14ac:dyDescent="0.35">
      <c r="A25" s="118" t="s">
        <v>469</v>
      </c>
      <c r="D25" s="117"/>
    </row>
    <row r="26" spans="1:5" x14ac:dyDescent="0.35">
      <c r="A26" s="114" t="s">
        <v>389</v>
      </c>
      <c r="B26" s="45">
        <f>B12</f>
        <v>7339.2850000000326</v>
      </c>
      <c r="C26" s="45">
        <f>C12</f>
        <v>480072.20708875672</v>
      </c>
      <c r="D26" s="119">
        <f>D12</f>
        <v>582867.77901166049</v>
      </c>
    </row>
    <row r="27" spans="1:5" x14ac:dyDescent="0.35">
      <c r="A27" s="114" t="s">
        <v>470</v>
      </c>
      <c r="B27" s="45"/>
      <c r="C27" s="45"/>
      <c r="D27" s="119"/>
    </row>
    <row r="28" spans="1:5" x14ac:dyDescent="0.35">
      <c r="A28" s="114" t="s">
        <v>471</v>
      </c>
      <c r="B28" s="45">
        <f>'4 - Income Statement'!N17</f>
        <v>42000</v>
      </c>
      <c r="C28" s="45">
        <f>'4 - Income Statement'!N81</f>
        <v>114000</v>
      </c>
      <c r="D28" s="119">
        <f>'4 - Income Statement'!N114</f>
        <v>174000</v>
      </c>
    </row>
    <row r="29" spans="1:5" x14ac:dyDescent="0.35">
      <c r="A29" s="114" t="s">
        <v>473</v>
      </c>
      <c r="B29" s="62">
        <f>'6 - Loan Schedule'!F84</f>
        <v>10092.627494165408</v>
      </c>
      <c r="C29" s="62">
        <f>'6 - Loan Schedule'!F85</f>
        <v>14058.001950834749</v>
      </c>
      <c r="D29" s="120">
        <f>'6 - Loan Schedule'!F86</f>
        <v>14777.23601106456</v>
      </c>
    </row>
    <row r="30" spans="1:5" x14ac:dyDescent="0.35">
      <c r="A30" s="114" t="s">
        <v>472</v>
      </c>
      <c r="B30" s="45">
        <f>SUM(B28:B29)</f>
        <v>52092.627494165412</v>
      </c>
      <c r="C30" s="45">
        <f t="shared" ref="C30:D30" si="5">SUM(C28:C29)</f>
        <v>128058.00195083475</v>
      </c>
      <c r="D30" s="119">
        <f t="shared" si="5"/>
        <v>188777.23601106455</v>
      </c>
    </row>
    <row r="31" spans="1:5" ht="15" thickBot="1" x14ac:dyDescent="0.4">
      <c r="A31" s="121" t="s">
        <v>474</v>
      </c>
      <c r="B31" s="122">
        <f>B26/B30</f>
        <v>0.14088913063220054</v>
      </c>
      <c r="C31" s="122">
        <f t="shared" ref="C31:D31" si="6">C26/C30</f>
        <v>3.7488653561303464</v>
      </c>
      <c r="D31" s="123">
        <f t="shared" si="6"/>
        <v>3.0875956832925429</v>
      </c>
      <c r="E31" t="s">
        <v>475</v>
      </c>
    </row>
    <row r="34" spans="1:1" x14ac:dyDescent="0.35">
      <c r="A34" t="s">
        <v>42</v>
      </c>
    </row>
  </sheetData>
  <hyperlinks>
    <hyperlink ref="G2" location="'1 - Total Startup Costs'!A1" display="Tab 1 - Estimate Your Total Startup Costs" xr:uid="{C6069BB5-49FB-4F77-B146-3EC9D8CF873B}"/>
    <hyperlink ref="G3" location="'2 - Staffing Labor'!A1" display="Tab 2 - Estimate Your Startup Labor Costs" xr:uid="{231B2379-8604-4FEF-939F-A881D5B27E7E}"/>
    <hyperlink ref="G4" location="'3 - Sales Estimate'!A1" display="Tab 3 - Estimate Your Sales for Year 1" xr:uid="{635C26B3-CD8A-45E2-BAA9-100776F2538D}"/>
    <hyperlink ref="G5" location="'4 - Income Statement'!A1" display="Tab 4 - Compile 3 Years of Income Statements" xr:uid="{7A0B5820-4775-4C20-A872-4E00023FB06C}"/>
    <hyperlink ref="G6" location="'5 - Financing Needed'!A1" display="Tab 5 - Finalize Your Startup Costs and Funding" xr:uid="{8CFACEF8-1D4B-4630-9DA1-71CC5E3FBFEB}"/>
    <hyperlink ref="G7" location="'6 - Loan Schedule'!A1" display="Tab 6 - Loan Amortization Schedule" xr:uid="{7E2FFD10-E120-4923-95E8-3D9B3F1302D1}"/>
    <hyperlink ref="G8" location="'7 - Post Transactions'!A1" display="Tab 7 - Post All Financial Transactions" xr:uid="{5F82B0B3-A2DA-4A73-886E-AFBD368D2788}"/>
    <hyperlink ref="G9" location="'8 - Inventory'!A1" display="Tab 8 - Reconcile Inventory Activity" xr:uid="{F850F3DD-C690-4487-9AA8-3F176261723E}"/>
    <hyperlink ref="G10" location="'9 - Cash Flow Stmts'!A1" display="Tab 9 - Compile Cash Flow Statements" xr:uid="{33D38393-0AD2-4372-B855-E9E8FFE4B05F}"/>
    <hyperlink ref="G11" location="'10 - Balance Sheets'!A1" display="Tab 10 - Compile Balance Sheets" xr:uid="{3A67F796-1912-49DC-9A92-7B089C6B17B2}"/>
    <hyperlink ref="G12" location="'11 - Income Stmt Summaries'!A1" display="Tab 11 - Compile Summarize Income Statements" xr:uid="{06C62CFB-751A-4162-9824-6FC4F1A4156E}"/>
    <hyperlink ref="G13" location="Key_Ratios" display="Key Ratios" xr:uid="{12F7A8D3-7620-43D3-8169-DBE607994BBD}"/>
    <hyperlink ref="G14" location="Breakeven" display="Breakeven" xr:uid="{CBA145ED-B071-4DCB-A330-73081578AC1D}"/>
    <hyperlink ref="F1" location="Summarized_Income_Statements" display="Print Range" xr:uid="{D338B9F7-D7CD-4A46-9309-29FB2122BC5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78D9E-A471-4F56-BEC8-0C894A43FA8C}">
  <dimension ref="A1:H86"/>
  <sheetViews>
    <sheetView topLeftCell="A46" workbookViewId="0"/>
  </sheetViews>
  <sheetFormatPr defaultRowHeight="14.5" x14ac:dyDescent="0.35"/>
  <cols>
    <col min="1" max="1" width="34.81640625" customWidth="1"/>
    <col min="4" max="4" width="13.7265625" customWidth="1"/>
    <col min="5" max="5" width="16.26953125" customWidth="1"/>
    <col min="6" max="6" width="13.1796875" customWidth="1"/>
    <col min="8" max="8" width="49.08984375" customWidth="1"/>
  </cols>
  <sheetData>
    <row r="1" spans="1:8" ht="26" x14ac:dyDescent="0.6">
      <c r="A1" s="106" t="str">
        <f>Overview!M15</f>
        <v>Supreme Dog Bites</v>
      </c>
      <c r="B1" s="1" t="s">
        <v>41</v>
      </c>
      <c r="H1" s="65" t="s">
        <v>442</v>
      </c>
    </row>
    <row r="2" spans="1:8" x14ac:dyDescent="0.35">
      <c r="H2" s="85" t="s">
        <v>443</v>
      </c>
    </row>
    <row r="3" spans="1:8" x14ac:dyDescent="0.35">
      <c r="A3" t="s">
        <v>101</v>
      </c>
      <c r="H3" s="85" t="s">
        <v>444</v>
      </c>
    </row>
    <row r="4" spans="1:8" x14ac:dyDescent="0.35">
      <c r="A4" t="s">
        <v>102</v>
      </c>
      <c r="H4" s="85" t="s">
        <v>445</v>
      </c>
    </row>
    <row r="5" spans="1:8" x14ac:dyDescent="0.35">
      <c r="H5" s="85" t="s">
        <v>446</v>
      </c>
    </row>
    <row r="6" spans="1:8" x14ac:dyDescent="0.35">
      <c r="A6" t="s">
        <v>7</v>
      </c>
      <c r="H6" s="85" t="s">
        <v>447</v>
      </c>
    </row>
    <row r="7" spans="1:8" x14ac:dyDescent="0.35">
      <c r="A7" t="s">
        <v>8</v>
      </c>
      <c r="H7" s="85" t="s">
        <v>448</v>
      </c>
    </row>
    <row r="8" spans="1:8" ht="14" customHeight="1" x14ac:dyDescent="0.35">
      <c r="A8" t="s">
        <v>9</v>
      </c>
      <c r="H8" s="85" t="s">
        <v>449</v>
      </c>
    </row>
    <row r="9" spans="1:8" ht="14" customHeight="1" x14ac:dyDescent="0.35">
      <c r="H9" s="85" t="s">
        <v>450</v>
      </c>
    </row>
    <row r="10" spans="1:8" x14ac:dyDescent="0.35">
      <c r="A10" t="s">
        <v>21</v>
      </c>
      <c r="H10" s="85" t="s">
        <v>451</v>
      </c>
    </row>
    <row r="11" spans="1:8" x14ac:dyDescent="0.35">
      <c r="A11" t="s">
        <v>22</v>
      </c>
      <c r="H11" s="85" t="s">
        <v>452</v>
      </c>
    </row>
    <row r="12" spans="1:8" x14ac:dyDescent="0.35">
      <c r="A12" t="s">
        <v>268</v>
      </c>
      <c r="H12" s="85" t="s">
        <v>454</v>
      </c>
    </row>
    <row r="13" spans="1:8" x14ac:dyDescent="0.35">
      <c r="A13" t="s">
        <v>269</v>
      </c>
      <c r="H13" s="85" t="s">
        <v>478</v>
      </c>
    </row>
    <row r="14" spans="1:8" x14ac:dyDescent="0.35">
      <c r="H14" s="85" t="s">
        <v>503</v>
      </c>
    </row>
    <row r="15" spans="1:8" x14ac:dyDescent="0.35">
      <c r="A15" t="s">
        <v>459</v>
      </c>
    </row>
    <row r="16" spans="1:8" x14ac:dyDescent="0.35">
      <c r="A16" t="s">
        <v>460</v>
      </c>
    </row>
    <row r="17" spans="1:7" x14ac:dyDescent="0.35">
      <c r="A17" t="s">
        <v>461</v>
      </c>
    </row>
    <row r="20" spans="1:7" ht="15.5" x14ac:dyDescent="0.35">
      <c r="A20" s="2" t="s">
        <v>145</v>
      </c>
      <c r="B20" s="3"/>
      <c r="C20" s="3"/>
      <c r="D20" s="3"/>
      <c r="E20" s="4"/>
      <c r="F20">
        <v>12</v>
      </c>
      <c r="G20" t="s">
        <v>37</v>
      </c>
    </row>
    <row r="21" spans="1:7" x14ac:dyDescent="0.35">
      <c r="A21" s="14"/>
      <c r="B21" s="14" t="s">
        <v>13</v>
      </c>
      <c r="C21" s="14"/>
      <c r="D21" s="14"/>
      <c r="E21" s="14" t="s">
        <v>33</v>
      </c>
      <c r="F21" s="14" t="s">
        <v>35</v>
      </c>
    </row>
    <row r="22" spans="1:7" x14ac:dyDescent="0.35">
      <c r="A22" s="14"/>
      <c r="B22" s="14" t="s">
        <v>14</v>
      </c>
      <c r="C22" s="14"/>
      <c r="D22" s="14" t="s">
        <v>179</v>
      </c>
      <c r="E22" s="14" t="s">
        <v>34</v>
      </c>
      <c r="F22" s="14" t="s">
        <v>34</v>
      </c>
    </row>
    <row r="23" spans="1:7" x14ac:dyDescent="0.35">
      <c r="A23" s="14" t="s">
        <v>17</v>
      </c>
      <c r="B23" s="14" t="s">
        <v>15</v>
      </c>
      <c r="C23" s="14" t="s">
        <v>18</v>
      </c>
      <c r="D23" s="14" t="s">
        <v>16</v>
      </c>
      <c r="E23" s="14" t="s">
        <v>16</v>
      </c>
      <c r="F23" s="14" t="s">
        <v>36</v>
      </c>
    </row>
    <row r="24" spans="1:7" x14ac:dyDescent="0.35">
      <c r="A24" s="5" t="s">
        <v>26</v>
      </c>
      <c r="B24" s="5">
        <v>5</v>
      </c>
      <c r="C24" s="8" t="s">
        <v>29</v>
      </c>
      <c r="D24" s="6">
        <v>2500</v>
      </c>
      <c r="E24" s="9">
        <f>D24/B24</f>
        <v>500</v>
      </c>
      <c r="F24" s="9">
        <f>E24/$F$20</f>
        <v>41.666666666666664</v>
      </c>
    </row>
    <row r="25" spans="1:7" x14ac:dyDescent="0.35">
      <c r="A25" s="5" t="s">
        <v>137</v>
      </c>
      <c r="B25" s="5">
        <v>5</v>
      </c>
      <c r="C25" s="8" t="s">
        <v>29</v>
      </c>
      <c r="D25" s="6">
        <v>1200</v>
      </c>
      <c r="E25" s="9">
        <f>D25/B25</f>
        <v>240</v>
      </c>
      <c r="F25" s="9">
        <f>E25/$F$20</f>
        <v>20</v>
      </c>
    </row>
    <row r="26" spans="1:7" x14ac:dyDescent="0.35">
      <c r="A26" s="5" t="s">
        <v>27</v>
      </c>
      <c r="B26" s="5">
        <v>5</v>
      </c>
      <c r="C26" s="8" t="s">
        <v>29</v>
      </c>
      <c r="D26" s="6">
        <v>6500</v>
      </c>
      <c r="E26" s="9">
        <f>D26/B26</f>
        <v>1300</v>
      </c>
      <c r="F26" s="9">
        <f>E26/$F$20</f>
        <v>108.33333333333333</v>
      </c>
    </row>
    <row r="27" spans="1:7" x14ac:dyDescent="0.35">
      <c r="A27" s="5" t="s">
        <v>98</v>
      </c>
      <c r="B27" s="5">
        <v>5</v>
      </c>
      <c r="C27" s="8" t="s">
        <v>29</v>
      </c>
      <c r="D27" s="6">
        <v>1800</v>
      </c>
      <c r="E27" s="9">
        <f>D27/B27</f>
        <v>360</v>
      </c>
      <c r="F27" s="9">
        <f>E27/$F$20</f>
        <v>30</v>
      </c>
    </row>
    <row r="28" spans="1:7" x14ac:dyDescent="0.35">
      <c r="A28" s="5"/>
      <c r="B28" s="5"/>
      <c r="C28" s="8"/>
      <c r="D28" s="6"/>
      <c r="E28" s="5"/>
      <c r="F28" s="5"/>
    </row>
    <row r="29" spans="1:7" x14ac:dyDescent="0.35">
      <c r="A29" s="5"/>
      <c r="B29" s="5"/>
      <c r="C29" s="8"/>
      <c r="D29" s="6"/>
      <c r="E29" s="5"/>
      <c r="F29" s="5"/>
    </row>
    <row r="30" spans="1:7" x14ac:dyDescent="0.35">
      <c r="A30" s="5"/>
      <c r="B30" s="5"/>
      <c r="C30" s="8"/>
      <c r="D30" s="6"/>
      <c r="E30" s="5"/>
      <c r="F30" s="5"/>
    </row>
    <row r="31" spans="1:7" x14ac:dyDescent="0.35">
      <c r="A31" s="5"/>
      <c r="B31" s="5"/>
      <c r="C31" s="8"/>
      <c r="D31" s="6"/>
      <c r="E31" s="5"/>
      <c r="F31" s="5"/>
    </row>
    <row r="32" spans="1:7" x14ac:dyDescent="0.35">
      <c r="A32" s="5"/>
      <c r="B32" s="5"/>
      <c r="C32" s="8"/>
      <c r="D32" s="6"/>
      <c r="E32" s="5"/>
      <c r="F32" s="5"/>
    </row>
    <row r="33" spans="1:7" x14ac:dyDescent="0.35">
      <c r="A33" s="5"/>
      <c r="B33" s="5"/>
      <c r="C33" s="8"/>
      <c r="D33" s="6"/>
      <c r="E33" s="5"/>
      <c r="F33" s="5"/>
    </row>
    <row r="34" spans="1:7" ht="15" thickBot="1" x14ac:dyDescent="0.4">
      <c r="A34" s="5"/>
      <c r="B34" s="5"/>
      <c r="C34" s="8"/>
      <c r="D34" s="7"/>
      <c r="E34" s="5"/>
      <c r="F34" s="5"/>
    </row>
    <row r="35" spans="1:7" ht="15" thickBot="1" x14ac:dyDescent="0.4">
      <c r="A35" s="11" t="s">
        <v>253</v>
      </c>
      <c r="D35" s="61">
        <f>SUM(D24:D34)</f>
        <v>12000</v>
      </c>
      <c r="E35" s="9">
        <f>SUM(E24:E34)</f>
        <v>2400</v>
      </c>
      <c r="F35" s="9">
        <f>SUM(F24:F34)</f>
        <v>200</v>
      </c>
    </row>
    <row r="37" spans="1:7" x14ac:dyDescent="0.35">
      <c r="A37" t="s">
        <v>28</v>
      </c>
    </row>
    <row r="38" spans="1:7" x14ac:dyDescent="0.35">
      <c r="A38" t="s">
        <v>48</v>
      </c>
    </row>
    <row r="41" spans="1:7" x14ac:dyDescent="0.35">
      <c r="A41" t="s">
        <v>271</v>
      </c>
    </row>
    <row r="42" spans="1:7" x14ac:dyDescent="0.35">
      <c r="A42" t="s">
        <v>270</v>
      </c>
      <c r="F42" s="5">
        <v>3</v>
      </c>
      <c r="G42" t="s">
        <v>541</v>
      </c>
    </row>
    <row r="43" spans="1:7" x14ac:dyDescent="0.35">
      <c r="A43" t="s">
        <v>42</v>
      </c>
    </row>
    <row r="44" spans="1:7" ht="15.5" x14ac:dyDescent="0.35">
      <c r="A44" s="2" t="s">
        <v>146</v>
      </c>
      <c r="B44" s="3"/>
      <c r="C44" s="3"/>
      <c r="D44" s="3"/>
      <c r="E44" s="4" t="s">
        <v>43</v>
      </c>
    </row>
    <row r="45" spans="1:7" x14ac:dyDescent="0.35">
      <c r="A45" s="4" t="s">
        <v>19</v>
      </c>
      <c r="B45" s="4" t="s">
        <v>20</v>
      </c>
      <c r="C45" s="4" t="s">
        <v>18</v>
      </c>
      <c r="D45" s="4" t="s">
        <v>16</v>
      </c>
      <c r="E45" s="4" t="s">
        <v>16</v>
      </c>
    </row>
    <row r="46" spans="1:7" x14ac:dyDescent="0.35">
      <c r="A46" s="5" t="s">
        <v>97</v>
      </c>
      <c r="B46" s="10" t="s">
        <v>39</v>
      </c>
      <c r="C46" s="8" t="s">
        <v>49</v>
      </c>
      <c r="D46" s="6">
        <f>'2 - Staffing Labor'!G55</f>
        <v>17460.691666666666</v>
      </c>
      <c r="E46" s="6">
        <f>IF(B46="M",D46*$F$42,D46)</f>
        <v>52382.074999999997</v>
      </c>
      <c r="F46" t="s">
        <v>42</v>
      </c>
    </row>
    <row r="47" spans="1:7" x14ac:dyDescent="0.35">
      <c r="A47" s="5" t="s">
        <v>23</v>
      </c>
      <c r="B47" s="10" t="s">
        <v>39</v>
      </c>
      <c r="C47" s="8" t="s">
        <v>50</v>
      </c>
      <c r="D47" s="6">
        <f>(D86*E86)/F20</f>
        <v>3500</v>
      </c>
      <c r="E47" s="6">
        <f>IF(B47="M",D47*$F$42,D47)</f>
        <v>10500</v>
      </c>
    </row>
    <row r="48" spans="1:7" x14ac:dyDescent="0.35">
      <c r="A48" s="5" t="s">
        <v>217</v>
      </c>
      <c r="B48" s="10" t="s">
        <v>39</v>
      </c>
      <c r="C48" s="8" t="s">
        <v>218</v>
      </c>
      <c r="D48" s="6">
        <v>2500</v>
      </c>
      <c r="E48" s="6">
        <f>IF(B48="M",D48*$F$42,D48)</f>
        <v>7500</v>
      </c>
    </row>
    <row r="49" spans="1:5" x14ac:dyDescent="0.35">
      <c r="A49" s="5" t="s">
        <v>24</v>
      </c>
      <c r="B49" s="10" t="s">
        <v>39</v>
      </c>
      <c r="C49" s="8"/>
      <c r="D49" s="6">
        <v>450</v>
      </c>
      <c r="E49" s="6">
        <f t="shared" ref="E49:E55" si="0">IF(B49="M",D49*$F$42,D49)</f>
        <v>1350</v>
      </c>
    </row>
    <row r="50" spans="1:5" x14ac:dyDescent="0.35">
      <c r="A50" s="5" t="s">
        <v>25</v>
      </c>
      <c r="B50" s="10" t="s">
        <v>39</v>
      </c>
      <c r="C50" s="8"/>
      <c r="D50" s="6">
        <v>330</v>
      </c>
      <c r="E50" s="6">
        <f t="shared" si="0"/>
        <v>990</v>
      </c>
    </row>
    <row r="51" spans="1:5" x14ac:dyDescent="0.35">
      <c r="A51" s="5" t="s">
        <v>30</v>
      </c>
      <c r="B51" s="10" t="s">
        <v>39</v>
      </c>
      <c r="C51" s="8"/>
      <c r="D51" s="6">
        <v>175</v>
      </c>
      <c r="E51" s="6">
        <f t="shared" si="0"/>
        <v>525</v>
      </c>
    </row>
    <row r="52" spans="1:5" x14ac:dyDescent="0.35">
      <c r="A52" s="5" t="s">
        <v>31</v>
      </c>
      <c r="B52" s="10" t="s">
        <v>40</v>
      </c>
      <c r="C52" s="8"/>
      <c r="D52" s="6">
        <v>790</v>
      </c>
      <c r="E52" s="6">
        <f t="shared" si="0"/>
        <v>790</v>
      </c>
    </row>
    <row r="53" spans="1:5" x14ac:dyDescent="0.35">
      <c r="A53" s="5" t="s">
        <v>32</v>
      </c>
      <c r="B53" s="10" t="s">
        <v>38</v>
      </c>
      <c r="C53" s="8"/>
      <c r="D53" s="6">
        <v>650</v>
      </c>
      <c r="E53" s="6">
        <f t="shared" si="0"/>
        <v>650</v>
      </c>
    </row>
    <row r="54" spans="1:5" x14ac:dyDescent="0.35">
      <c r="A54" s="5" t="s">
        <v>251</v>
      </c>
      <c r="B54" s="10" t="s">
        <v>39</v>
      </c>
      <c r="C54" s="8"/>
      <c r="D54" s="6">
        <v>135</v>
      </c>
      <c r="E54" s="6">
        <f t="shared" si="0"/>
        <v>405</v>
      </c>
    </row>
    <row r="55" spans="1:5" x14ac:dyDescent="0.35">
      <c r="A55" s="5" t="s">
        <v>252</v>
      </c>
      <c r="B55" s="10" t="s">
        <v>39</v>
      </c>
      <c r="C55" s="8"/>
      <c r="D55" s="6">
        <v>175</v>
      </c>
      <c r="E55" s="6">
        <f t="shared" si="0"/>
        <v>525</v>
      </c>
    </row>
    <row r="56" spans="1:5" x14ac:dyDescent="0.35">
      <c r="A56" s="5"/>
      <c r="B56" s="10"/>
      <c r="C56" s="8"/>
      <c r="D56" s="6"/>
      <c r="E56" s="6"/>
    </row>
    <row r="57" spans="1:5" x14ac:dyDescent="0.35">
      <c r="A57" s="5"/>
      <c r="B57" s="10"/>
      <c r="C57" s="8"/>
      <c r="D57" s="6"/>
      <c r="E57" s="6"/>
    </row>
    <row r="58" spans="1:5" x14ac:dyDescent="0.35">
      <c r="A58" s="5"/>
      <c r="B58" s="10"/>
      <c r="C58" s="8"/>
      <c r="D58" s="6"/>
      <c r="E58" s="6"/>
    </row>
    <row r="59" spans="1:5" x14ac:dyDescent="0.35">
      <c r="A59" s="5"/>
      <c r="B59" s="10"/>
      <c r="C59" s="8"/>
      <c r="D59" s="6"/>
      <c r="E59" s="6"/>
    </row>
    <row r="60" spans="1:5" x14ac:dyDescent="0.35">
      <c r="A60" s="5"/>
      <c r="B60" s="10"/>
      <c r="C60" s="8"/>
      <c r="D60" s="6"/>
      <c r="E60" s="6"/>
    </row>
    <row r="61" spans="1:5" x14ac:dyDescent="0.35">
      <c r="A61" s="5"/>
      <c r="B61" s="10"/>
      <c r="C61" s="8"/>
      <c r="D61" s="6"/>
      <c r="E61" s="6"/>
    </row>
    <row r="62" spans="1:5" x14ac:dyDescent="0.35">
      <c r="A62" s="5"/>
      <c r="B62" s="10"/>
      <c r="C62" s="8"/>
      <c r="D62" s="6"/>
      <c r="E62" s="6"/>
    </row>
    <row r="63" spans="1:5" x14ac:dyDescent="0.35">
      <c r="A63" s="5"/>
      <c r="B63" s="10"/>
      <c r="C63" s="8"/>
      <c r="D63" s="6"/>
      <c r="E63" s="6"/>
    </row>
    <row r="64" spans="1:5" x14ac:dyDescent="0.35">
      <c r="A64" s="5"/>
      <c r="B64" s="10"/>
      <c r="C64" s="8"/>
      <c r="D64" s="6"/>
      <c r="E64" s="6"/>
    </row>
    <row r="65" spans="1:7" x14ac:dyDescent="0.35">
      <c r="A65" s="5"/>
      <c r="B65" s="10"/>
      <c r="C65" s="8"/>
      <c r="D65" s="6"/>
      <c r="E65" s="6"/>
    </row>
    <row r="66" spans="1:7" x14ac:dyDescent="0.35">
      <c r="A66" s="5"/>
      <c r="B66" s="10"/>
      <c r="C66" s="8"/>
      <c r="D66" s="6"/>
      <c r="E66" s="6"/>
    </row>
    <row r="67" spans="1:7" x14ac:dyDescent="0.35">
      <c r="A67" s="5"/>
      <c r="B67" s="10"/>
      <c r="C67" s="8"/>
      <c r="D67" s="6"/>
      <c r="E67" s="6"/>
    </row>
    <row r="68" spans="1:7" x14ac:dyDescent="0.35">
      <c r="A68" s="5"/>
      <c r="B68" s="10"/>
      <c r="C68" s="8"/>
      <c r="D68" s="6"/>
      <c r="E68" s="6"/>
    </row>
    <row r="69" spans="1:7" x14ac:dyDescent="0.35">
      <c r="A69" s="5"/>
      <c r="B69" s="10"/>
      <c r="C69" s="8"/>
      <c r="D69" s="6"/>
      <c r="E69" s="6"/>
    </row>
    <row r="70" spans="1:7" x14ac:dyDescent="0.35">
      <c r="A70" s="5"/>
      <c r="B70" s="10"/>
      <c r="C70" s="8"/>
      <c r="D70" s="6"/>
      <c r="E70" s="6"/>
    </row>
    <row r="71" spans="1:7" x14ac:dyDescent="0.35">
      <c r="A71" s="5"/>
      <c r="B71" s="10"/>
      <c r="C71" s="8"/>
      <c r="D71" s="6"/>
      <c r="E71" s="6"/>
    </row>
    <row r="72" spans="1:7" ht="15" thickBot="1" x14ac:dyDescent="0.4">
      <c r="A72" s="5"/>
      <c r="B72" s="10"/>
      <c r="C72" s="8"/>
      <c r="D72" s="6"/>
      <c r="E72" s="7"/>
    </row>
    <row r="73" spans="1:7" x14ac:dyDescent="0.35">
      <c r="A73" t="s">
        <v>89</v>
      </c>
      <c r="E73" s="41">
        <f>SUM(E46:E72)</f>
        <v>75617.074999999997</v>
      </c>
    </row>
    <row r="74" spans="1:7" x14ac:dyDescent="0.35">
      <c r="B74" s="11" t="s">
        <v>182</v>
      </c>
      <c r="C74" s="11"/>
      <c r="D74" s="11"/>
      <c r="E74" s="27">
        <f>D35+E73</f>
        <v>87617.074999999997</v>
      </c>
    </row>
    <row r="75" spans="1:7" x14ac:dyDescent="0.35">
      <c r="A75" s="43" t="s">
        <v>183</v>
      </c>
      <c r="B75" s="11" t="s">
        <v>181</v>
      </c>
      <c r="C75" s="11"/>
      <c r="D75" s="11"/>
      <c r="E75" s="27">
        <f>E74*F75</f>
        <v>13142.561249999999</v>
      </c>
      <c r="F75" s="18">
        <v>0.15</v>
      </c>
      <c r="G75" t="s">
        <v>188</v>
      </c>
    </row>
    <row r="76" spans="1:7" ht="15" thickBot="1" x14ac:dyDescent="0.4">
      <c r="A76" s="43" t="s">
        <v>184</v>
      </c>
      <c r="B76" s="11" t="s">
        <v>180</v>
      </c>
      <c r="C76" s="11"/>
      <c r="D76" s="11"/>
      <c r="E76" s="42">
        <f>E74+E75</f>
        <v>100759.63625</v>
      </c>
    </row>
    <row r="77" spans="1:7" x14ac:dyDescent="0.35">
      <c r="A77" s="43" t="s">
        <v>185</v>
      </c>
      <c r="B77" s="11"/>
      <c r="C77" s="11"/>
      <c r="D77" s="11"/>
      <c r="E77" s="40"/>
    </row>
    <row r="78" spans="1:7" x14ac:dyDescent="0.35">
      <c r="B78" s="11"/>
      <c r="C78" s="11"/>
      <c r="D78" s="11"/>
      <c r="E78" s="40"/>
    </row>
    <row r="79" spans="1:7" x14ac:dyDescent="0.35">
      <c r="A79" s="43" t="s">
        <v>186</v>
      </c>
      <c r="B79" s="11"/>
      <c r="C79" s="11"/>
      <c r="D79" s="11"/>
      <c r="E79" s="40"/>
    </row>
    <row r="80" spans="1:7" x14ac:dyDescent="0.35">
      <c r="A80" s="43" t="s">
        <v>187</v>
      </c>
      <c r="B80" s="11"/>
      <c r="C80" s="11"/>
      <c r="D80" s="11"/>
      <c r="E80" s="27">
        <f>E76*F80</f>
        <v>20151.927250000001</v>
      </c>
      <c r="F80" s="18">
        <v>0.2</v>
      </c>
    </row>
    <row r="81" spans="1:6" x14ac:dyDescent="0.35">
      <c r="A81" s="43"/>
      <c r="B81" s="11" t="s">
        <v>411</v>
      </c>
      <c r="C81" s="11"/>
      <c r="D81" s="11"/>
      <c r="E81" s="27">
        <v>25000</v>
      </c>
      <c r="F81" s="18"/>
    </row>
    <row r="82" spans="1:6" x14ac:dyDescent="0.35">
      <c r="A82" s="43"/>
      <c r="B82" s="11"/>
      <c r="C82" s="11"/>
      <c r="D82" s="11"/>
      <c r="E82" s="40"/>
    </row>
    <row r="84" spans="1:6" x14ac:dyDescent="0.35">
      <c r="A84" t="s">
        <v>462</v>
      </c>
    </row>
    <row r="85" spans="1:6" x14ac:dyDescent="0.35">
      <c r="A85" t="s">
        <v>99</v>
      </c>
    </row>
    <row r="86" spans="1:6" x14ac:dyDescent="0.35">
      <c r="A86" t="s">
        <v>100</v>
      </c>
      <c r="D86" s="12">
        <v>35</v>
      </c>
      <c r="E86" s="13">
        <v>1200</v>
      </c>
    </row>
  </sheetData>
  <hyperlinks>
    <hyperlink ref="H2" location="'1 - Total Startup Costs'!A1" display="Tab 1 - Estimate Your Total Startup Costs" xr:uid="{2CC9CDE4-BFC8-4762-AE79-EF714732C79B}"/>
    <hyperlink ref="H3" location="'2 - Staffing Labor'!A1" display="Tab 2 - Estimate Your Startup Labor Costs" xr:uid="{2816C10A-FE2E-4267-A5BD-C86E4DCA7D39}"/>
    <hyperlink ref="H4" location="'3 - Sales Estimate'!A1" display="Tab 3 - Estimate Your Sales for Year 1" xr:uid="{B7E8D04B-56ED-4DC7-ABA6-E4B49F3E8E26}"/>
    <hyperlink ref="H5" location="'4 - Income Statement'!A1" display="Tab 4 - Compile 3 Years of Income Statements" xr:uid="{37E508BA-49A1-4C26-BB50-767E226D4DC7}"/>
    <hyperlink ref="H6" location="'5 - Financing Needed'!A1" display="Tab 5 - Finalize Your Startup Costs and Funding" xr:uid="{3AF4FDAF-2385-4546-9C20-7C5E190D104A}"/>
    <hyperlink ref="H7" location="'6 - Loan Schedule'!A1" display="Tab 6 - Loan Amortization Schedule" xr:uid="{37F55A47-52A5-435B-B638-0DD4647C4ED3}"/>
    <hyperlink ref="H8" location="'7 - Post Transactions'!A1" display="Tab 7 - Post All Financial Transactions" xr:uid="{7FE7AAE5-92FD-4976-835A-054646FEC9A1}"/>
    <hyperlink ref="H9" location="'8 - Inventory'!A1" display="Tab 8 - Reconcile Inventory Activity" xr:uid="{2ACBFC5A-C563-43AF-B37A-655700502E11}"/>
    <hyperlink ref="H10" location="'9 - Cash Flow Stmts'!A1" display="Tab 9 - Compile Cash Flow Statements" xr:uid="{3E31F0A2-FCF7-41A4-9CC3-AE61B562BC8E}"/>
    <hyperlink ref="H11" location="'10 - Balance Sheets'!A1" display="Tab 10 - Compile Balance Sheets" xr:uid="{56AB2827-FEF3-499B-A7C3-4E3CCFAD7010}"/>
    <hyperlink ref="H12" location="'11 - Income Stmt Summaries'!A1" display="Tab 11 - Compile Summarize Income Statements" xr:uid="{E46D2405-61BE-478D-8577-D95AAE3CABC0}"/>
    <hyperlink ref="H13" location="Key_Ratios" display="Key Ratios" xr:uid="{C4CE913E-81A8-4FE4-AF09-E635D4C68837}"/>
    <hyperlink ref="H14" location="Breakeven" display="Breakeven" xr:uid="{F5BEFA30-366A-4BCB-A6D5-6E20414662FC}"/>
  </hyperlinks>
  <pageMargins left="0.7" right="0.7" top="0.75" bottom="0.75" header="0.3" footer="0.3"/>
  <pageSetup orientation="portrait" r:id="rId1"/>
  <ignoredErrors>
    <ignoredError sqref="C24 C25:C26 C4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89F8-24C7-4C56-8C65-3E6ADD02FDD4}">
  <dimension ref="A1:I55"/>
  <sheetViews>
    <sheetView topLeftCell="A49" workbookViewId="0">
      <selection activeCell="D47" sqref="D47"/>
    </sheetView>
  </sheetViews>
  <sheetFormatPr defaultRowHeight="14.5" x14ac:dyDescent="0.35"/>
  <cols>
    <col min="1" max="1" width="34.7265625" customWidth="1"/>
    <col min="3" max="3" width="10" customWidth="1"/>
    <col min="5" max="5" width="9.36328125" customWidth="1"/>
    <col min="6" max="6" width="10.08984375" customWidth="1"/>
    <col min="7" max="7" width="12.7265625" customWidth="1"/>
    <col min="8" max="8" width="13.1796875" customWidth="1"/>
    <col min="9" max="9" width="43.7265625" customWidth="1"/>
  </cols>
  <sheetData>
    <row r="1" spans="1:9" ht="26" x14ac:dyDescent="0.6">
      <c r="A1" s="1" t="s">
        <v>51</v>
      </c>
      <c r="I1" s="65" t="s">
        <v>442</v>
      </c>
    </row>
    <row r="2" spans="1:9" x14ac:dyDescent="0.35">
      <c r="I2" s="85" t="s">
        <v>443</v>
      </c>
    </row>
    <row r="3" spans="1:9" x14ac:dyDescent="0.35">
      <c r="A3" t="s">
        <v>52</v>
      </c>
      <c r="I3" s="85" t="s">
        <v>444</v>
      </c>
    </row>
    <row r="4" spans="1:9" x14ac:dyDescent="0.35">
      <c r="A4" t="s">
        <v>53</v>
      </c>
      <c r="I4" s="85" t="s">
        <v>445</v>
      </c>
    </row>
    <row r="5" spans="1:9" x14ac:dyDescent="0.35">
      <c r="A5" t="s">
        <v>54</v>
      </c>
      <c r="I5" s="85" t="s">
        <v>446</v>
      </c>
    </row>
    <row r="6" spans="1:9" x14ac:dyDescent="0.35">
      <c r="A6" t="s">
        <v>68</v>
      </c>
      <c r="I6" s="85" t="s">
        <v>447</v>
      </c>
    </row>
    <row r="7" spans="1:9" x14ac:dyDescent="0.35">
      <c r="A7" t="s">
        <v>69</v>
      </c>
      <c r="I7" s="85" t="s">
        <v>448</v>
      </c>
    </row>
    <row r="8" spans="1:9" x14ac:dyDescent="0.35">
      <c r="I8" s="85" t="s">
        <v>449</v>
      </c>
    </row>
    <row r="9" spans="1:9" x14ac:dyDescent="0.35">
      <c r="A9" t="s">
        <v>70</v>
      </c>
      <c r="I9" s="85" t="s">
        <v>450</v>
      </c>
    </row>
    <row r="10" spans="1:9" x14ac:dyDescent="0.35">
      <c r="A10" t="s">
        <v>71</v>
      </c>
      <c r="I10" s="85" t="s">
        <v>451</v>
      </c>
    </row>
    <row r="11" spans="1:9" x14ac:dyDescent="0.35">
      <c r="A11" t="s">
        <v>72</v>
      </c>
      <c r="I11" s="85" t="s">
        <v>452</v>
      </c>
    </row>
    <row r="12" spans="1:9" x14ac:dyDescent="0.35">
      <c r="A12" t="s">
        <v>73</v>
      </c>
      <c r="I12" s="85" t="s">
        <v>454</v>
      </c>
    </row>
    <row r="13" spans="1:9" x14ac:dyDescent="0.35">
      <c r="I13" s="85" t="s">
        <v>478</v>
      </c>
    </row>
    <row r="14" spans="1:9" x14ac:dyDescent="0.35">
      <c r="A14" t="s">
        <v>56</v>
      </c>
      <c r="I14" s="85" t="s">
        <v>503</v>
      </c>
    </row>
    <row r="15" spans="1:9" x14ac:dyDescent="0.35">
      <c r="A15" t="s">
        <v>74</v>
      </c>
    </row>
    <row r="16" spans="1:9" x14ac:dyDescent="0.35">
      <c r="A16" t="s">
        <v>57</v>
      </c>
    </row>
    <row r="17" spans="1:1" x14ac:dyDescent="0.35">
      <c r="A17" t="s">
        <v>75</v>
      </c>
    </row>
    <row r="18" spans="1:1" x14ac:dyDescent="0.35">
      <c r="A18" t="s">
        <v>76</v>
      </c>
    </row>
    <row r="20" spans="1:1" x14ac:dyDescent="0.35">
      <c r="A20" t="s">
        <v>66</v>
      </c>
    </row>
    <row r="21" spans="1:1" x14ac:dyDescent="0.35">
      <c r="A21" t="s">
        <v>67</v>
      </c>
    </row>
    <row r="22" spans="1:1" x14ac:dyDescent="0.35">
      <c r="A22" t="s">
        <v>77</v>
      </c>
    </row>
    <row r="23" spans="1:1" x14ac:dyDescent="0.35">
      <c r="A23" t="s">
        <v>78</v>
      </c>
    </row>
    <row r="25" spans="1:1" x14ac:dyDescent="0.35">
      <c r="A25" t="s">
        <v>83</v>
      </c>
    </row>
    <row r="26" spans="1:1" x14ac:dyDescent="0.35">
      <c r="A26" t="s">
        <v>84</v>
      </c>
    </row>
    <row r="27" spans="1:1" x14ac:dyDescent="0.35">
      <c r="A27" t="s">
        <v>85</v>
      </c>
    </row>
    <row r="29" spans="1:1" x14ac:dyDescent="0.35">
      <c r="A29" t="s">
        <v>539</v>
      </c>
    </row>
    <row r="30" spans="1:1" x14ac:dyDescent="0.35">
      <c r="A30" t="s">
        <v>103</v>
      </c>
    </row>
    <row r="31" spans="1:1" x14ac:dyDescent="0.35">
      <c r="A31" t="s">
        <v>148</v>
      </c>
    </row>
    <row r="32" spans="1:1" x14ac:dyDescent="0.35">
      <c r="A32" t="s">
        <v>149</v>
      </c>
    </row>
    <row r="34" spans="1:8" x14ac:dyDescent="0.35">
      <c r="A34" t="s">
        <v>107</v>
      </c>
      <c r="B34" s="19">
        <v>7.6499999999999999E-2</v>
      </c>
      <c r="C34" t="s">
        <v>111</v>
      </c>
    </row>
    <row r="35" spans="1:8" x14ac:dyDescent="0.35">
      <c r="A35" t="s">
        <v>104</v>
      </c>
      <c r="B35" s="19">
        <v>0.06</v>
      </c>
      <c r="C35" t="s">
        <v>111</v>
      </c>
    </row>
    <row r="36" spans="1:8" x14ac:dyDescent="0.35">
      <c r="A36" t="s">
        <v>105</v>
      </c>
      <c r="B36" s="19">
        <v>1.9E-2</v>
      </c>
      <c r="C36" t="s">
        <v>110</v>
      </c>
    </row>
    <row r="37" spans="1:8" x14ac:dyDescent="0.35">
      <c r="A37" t="s">
        <v>106</v>
      </c>
      <c r="B37" s="20">
        <f>5000/120000</f>
        <v>4.1666666666666664E-2</v>
      </c>
      <c r="C37" t="s">
        <v>108</v>
      </c>
    </row>
    <row r="38" spans="1:8" x14ac:dyDescent="0.35">
      <c r="A38" s="11" t="s">
        <v>109</v>
      </c>
      <c r="B38" s="21">
        <f>SUM(B34:B37)</f>
        <v>0.19716666666666666</v>
      </c>
    </row>
    <row r="39" spans="1:8" x14ac:dyDescent="0.35">
      <c r="B39" s="18"/>
    </row>
    <row r="41" spans="1:8" x14ac:dyDescent="0.35">
      <c r="A41" s="26" t="s">
        <v>147</v>
      </c>
      <c r="B41" s="14" t="s">
        <v>42</v>
      </c>
      <c r="C41" s="14" t="s">
        <v>59</v>
      </c>
      <c r="D41" s="14" t="s">
        <v>64</v>
      </c>
      <c r="E41" s="14" t="s">
        <v>64</v>
      </c>
      <c r="F41" s="14" t="s">
        <v>90</v>
      </c>
      <c r="G41" s="14" t="s">
        <v>64</v>
      </c>
    </row>
    <row r="42" spans="1:8" x14ac:dyDescent="0.35">
      <c r="A42" s="14"/>
      <c r="B42" s="14" t="s">
        <v>62</v>
      </c>
      <c r="C42" s="14" t="s">
        <v>60</v>
      </c>
      <c r="D42" s="14" t="s">
        <v>63</v>
      </c>
      <c r="E42" s="14" t="s">
        <v>65</v>
      </c>
      <c r="F42" s="14" t="s">
        <v>112</v>
      </c>
      <c r="G42" s="14" t="s">
        <v>35</v>
      </c>
    </row>
    <row r="43" spans="1:8" x14ac:dyDescent="0.35">
      <c r="A43" s="14" t="s">
        <v>55</v>
      </c>
      <c r="B43" s="14" t="s">
        <v>58</v>
      </c>
      <c r="C43" s="14" t="s">
        <v>61</v>
      </c>
      <c r="D43" s="14" t="s">
        <v>61</v>
      </c>
      <c r="E43" s="14" t="s">
        <v>61</v>
      </c>
      <c r="F43" s="14" t="s">
        <v>91</v>
      </c>
      <c r="G43" s="14" t="s">
        <v>92</v>
      </c>
    </row>
    <row r="44" spans="1:8" x14ac:dyDescent="0.35">
      <c r="A44" s="5" t="s">
        <v>138</v>
      </c>
      <c r="B44" s="10" t="s">
        <v>81</v>
      </c>
      <c r="C44" s="16">
        <v>40</v>
      </c>
      <c r="D44" s="22">
        <f>B38</f>
        <v>0.19716666666666666</v>
      </c>
      <c r="E44" s="16">
        <f t="shared" ref="E44:E49" si="0">C44+(C44*D44)</f>
        <v>47.88666666666667</v>
      </c>
      <c r="F44" s="23">
        <v>160</v>
      </c>
      <c r="G44" s="6">
        <f t="shared" ref="G44:G49" si="1">E44*F44</f>
        <v>7661.8666666666668</v>
      </c>
      <c r="H44" t="s">
        <v>42</v>
      </c>
    </row>
    <row r="45" spans="1:8" x14ac:dyDescent="0.35">
      <c r="A45" s="5" t="s">
        <v>82</v>
      </c>
      <c r="B45" s="10" t="s">
        <v>81</v>
      </c>
      <c r="C45" s="16">
        <v>21</v>
      </c>
      <c r="D45" s="22">
        <f>B38</f>
        <v>0.19716666666666666</v>
      </c>
      <c r="E45" s="16">
        <f t="shared" si="0"/>
        <v>25.140499999999999</v>
      </c>
      <c r="F45" s="23">
        <v>160</v>
      </c>
      <c r="G45" s="6">
        <f t="shared" si="1"/>
        <v>4022.48</v>
      </c>
    </row>
    <row r="46" spans="1:8" x14ac:dyDescent="0.35">
      <c r="A46" s="5" t="s">
        <v>139</v>
      </c>
      <c r="B46" s="10" t="s">
        <v>80</v>
      </c>
      <c r="C46" s="16">
        <v>33</v>
      </c>
      <c r="D46" s="22">
        <f>SUM(B34:B36)</f>
        <v>0.1555</v>
      </c>
      <c r="E46" s="16">
        <f t="shared" si="0"/>
        <v>38.131500000000003</v>
      </c>
      <c r="F46" s="23">
        <v>80</v>
      </c>
      <c r="G46" s="6">
        <f t="shared" si="1"/>
        <v>3050.5200000000004</v>
      </c>
    </row>
    <row r="47" spans="1:8" x14ac:dyDescent="0.35">
      <c r="A47" s="5" t="s">
        <v>86</v>
      </c>
      <c r="B47" s="10" t="s">
        <v>79</v>
      </c>
      <c r="C47" s="16">
        <v>45</v>
      </c>
      <c r="D47" s="22">
        <f>B36</f>
        <v>1.9E-2</v>
      </c>
      <c r="E47" s="16">
        <f t="shared" si="0"/>
        <v>45.854999999999997</v>
      </c>
      <c r="F47" s="23">
        <v>20</v>
      </c>
      <c r="G47" s="6">
        <f t="shared" si="1"/>
        <v>917.09999999999991</v>
      </c>
    </row>
    <row r="48" spans="1:8" x14ac:dyDescent="0.35">
      <c r="A48" s="5" t="s">
        <v>87</v>
      </c>
      <c r="B48" s="10" t="s">
        <v>79</v>
      </c>
      <c r="C48" s="16">
        <v>35</v>
      </c>
      <c r="D48" s="22">
        <f>B36</f>
        <v>1.9E-2</v>
      </c>
      <c r="E48" s="16">
        <f t="shared" si="0"/>
        <v>35.664999999999999</v>
      </c>
      <c r="F48" s="23">
        <v>15</v>
      </c>
      <c r="G48" s="6">
        <f t="shared" si="1"/>
        <v>534.97500000000002</v>
      </c>
    </row>
    <row r="49" spans="1:7" x14ac:dyDescent="0.35">
      <c r="A49" s="5" t="s">
        <v>88</v>
      </c>
      <c r="B49" s="10" t="s">
        <v>79</v>
      </c>
      <c r="C49" s="16">
        <v>50</v>
      </c>
      <c r="D49" s="22">
        <f>B36</f>
        <v>1.9E-2</v>
      </c>
      <c r="E49" s="16">
        <f t="shared" si="0"/>
        <v>50.95</v>
      </c>
      <c r="F49" s="23">
        <v>25</v>
      </c>
      <c r="G49" s="6">
        <f t="shared" si="1"/>
        <v>1273.75</v>
      </c>
    </row>
    <row r="50" spans="1:7" x14ac:dyDescent="0.35">
      <c r="A50" s="5"/>
      <c r="B50" s="10"/>
      <c r="C50" s="16"/>
      <c r="D50" s="16"/>
      <c r="E50" s="15"/>
      <c r="F50" s="16"/>
      <c r="G50" s="5"/>
    </row>
    <row r="51" spans="1:7" x14ac:dyDescent="0.35">
      <c r="A51" s="5"/>
      <c r="B51" s="10"/>
      <c r="C51" s="16"/>
      <c r="D51" s="16"/>
      <c r="E51" s="15"/>
      <c r="F51" s="16"/>
      <c r="G51" s="5"/>
    </row>
    <row r="52" spans="1:7" x14ac:dyDescent="0.35">
      <c r="A52" s="5"/>
      <c r="B52" s="10"/>
      <c r="C52" s="16"/>
      <c r="D52" s="16"/>
      <c r="E52" s="15"/>
      <c r="F52" s="16"/>
      <c r="G52" s="5"/>
    </row>
    <row r="53" spans="1:7" x14ac:dyDescent="0.35">
      <c r="A53" s="5"/>
      <c r="B53" s="10"/>
      <c r="C53" s="16"/>
      <c r="D53" s="16"/>
      <c r="E53" s="15"/>
      <c r="F53" s="16"/>
      <c r="G53" s="5"/>
    </row>
    <row r="54" spans="1:7" ht="15" thickBot="1" x14ac:dyDescent="0.4">
      <c r="A54" s="5"/>
      <c r="B54" s="10"/>
      <c r="C54" s="16"/>
      <c r="D54" s="16"/>
      <c r="E54" s="15"/>
      <c r="F54" s="16"/>
      <c r="G54" s="24"/>
    </row>
    <row r="55" spans="1:7" ht="15" thickBot="1" x14ac:dyDescent="0.4">
      <c r="D55" s="11" t="s">
        <v>113</v>
      </c>
      <c r="E55" s="11"/>
      <c r="F55" s="11"/>
      <c r="G55" s="17">
        <f>SUM(G44:G54)</f>
        <v>17460.691666666666</v>
      </c>
    </row>
  </sheetData>
  <hyperlinks>
    <hyperlink ref="I2" location="'1 - Total Startup Costs'!A1" display="Tab 1 - Estimate Your Total Startup Costs" xr:uid="{A6769979-95F9-4BB9-9886-52945042FB05}"/>
    <hyperlink ref="I3" location="'2 - Staffing Labor'!A1" display="Tab 2 - Estimate Your Startup Labor Costs" xr:uid="{C00ED229-92AA-4493-A096-3FB77D400253}"/>
    <hyperlink ref="I4" location="'3 - Sales Estimate'!A1" display="Tab 3 - Estimate Your Sales for Year 1" xr:uid="{E27B2B89-C043-4D98-AB42-C058CC32DDED}"/>
    <hyperlink ref="I5" location="'4 - Income Statement'!A1" display="Tab 4 - Compile 3 Years of Income Statements" xr:uid="{75D7F4AF-6B34-40F3-88CB-F9F190997920}"/>
    <hyperlink ref="I6" location="'5 - Financing Needed'!A1" display="Tab 5 - Finalize Your Startup Costs and Funding" xr:uid="{2E7CD310-5721-4A48-AAD6-2F9E0D42F192}"/>
    <hyperlink ref="I7" location="'6 - Loan Schedule'!A1" display="Tab 6 - Loan Amortization Schedule" xr:uid="{ADDF1F06-738A-43B8-A0E1-0748E868E907}"/>
    <hyperlink ref="I8" location="'7 - Post Transactions'!A1" display="Tab 7 - Post All Financial Transactions" xr:uid="{9DE266EC-6724-4FBE-A8E3-F9C08301BBC9}"/>
    <hyperlink ref="I9" location="'8 - Inventory'!A1" display="Tab 8 - Reconcile Inventory Activity" xr:uid="{9F5130F9-C77B-4CAE-B603-1389D40ED1EF}"/>
    <hyperlink ref="I10" location="'9 - Cash Flow Stmts'!A1" display="Tab 9 - Compile Cash Flow Statements" xr:uid="{D62EB413-5525-4C1A-9C6E-CE5A15000F3A}"/>
    <hyperlink ref="I11" location="'10 - Balance Sheets'!A1" display="Tab 10 - Compile Balance Sheets" xr:uid="{E2CC4564-D791-4BF9-98EB-CA92FF96741C}"/>
    <hyperlink ref="I12" location="'11 - Income Stmt Summaries'!A1" display="Tab 11 - Compile Summarize Income Statements" xr:uid="{699487DD-E5F4-48B7-97EC-879D9EF64626}"/>
    <hyperlink ref="I13" location="Key_Ratios" display="Key Ratios" xr:uid="{67A9F26C-CB03-4EF4-BA86-81951B2C390B}"/>
    <hyperlink ref="I14" location="Breakeven" display="Breakeven" xr:uid="{8F17EB33-23C2-41B4-AED1-8EDB110DE882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C0AD-68E1-4135-9843-6148F1A00DFD}">
  <dimension ref="A1:N126"/>
  <sheetViews>
    <sheetView topLeftCell="A16" workbookViewId="0">
      <selection activeCell="B25" sqref="B25"/>
    </sheetView>
  </sheetViews>
  <sheetFormatPr defaultRowHeight="14.5" x14ac:dyDescent="0.35"/>
  <cols>
    <col min="1" max="1" width="34.81640625" customWidth="1"/>
    <col min="2" max="2" width="11.453125" customWidth="1"/>
    <col min="3" max="3" width="11.08984375" customWidth="1"/>
    <col min="4" max="4" width="12" customWidth="1"/>
    <col min="5" max="13" width="12.6328125" customWidth="1"/>
    <col min="14" max="14" width="12.7265625" customWidth="1"/>
  </cols>
  <sheetData>
    <row r="1" spans="1:7" ht="26" x14ac:dyDescent="0.6">
      <c r="A1" s="106" t="str">
        <f>Overview!M15</f>
        <v>Supreme Dog Bites</v>
      </c>
      <c r="B1" s="1" t="s">
        <v>398</v>
      </c>
      <c r="G1" s="65" t="s">
        <v>442</v>
      </c>
    </row>
    <row r="2" spans="1:7" x14ac:dyDescent="0.35">
      <c r="G2" s="85" t="s">
        <v>443</v>
      </c>
    </row>
    <row r="3" spans="1:7" x14ac:dyDescent="0.35">
      <c r="A3" t="s">
        <v>114</v>
      </c>
      <c r="G3" s="85" t="s">
        <v>444</v>
      </c>
    </row>
    <row r="4" spans="1:7" x14ac:dyDescent="0.35">
      <c r="A4" t="s">
        <v>115</v>
      </c>
      <c r="G4" s="85" t="s">
        <v>445</v>
      </c>
    </row>
    <row r="5" spans="1:7" x14ac:dyDescent="0.35">
      <c r="A5" t="s">
        <v>116</v>
      </c>
      <c r="G5" s="85" t="s">
        <v>446</v>
      </c>
    </row>
    <row r="6" spans="1:7" x14ac:dyDescent="0.35">
      <c r="A6" t="s">
        <v>117</v>
      </c>
      <c r="G6" s="85" t="s">
        <v>447</v>
      </c>
    </row>
    <row r="7" spans="1:7" x14ac:dyDescent="0.35">
      <c r="G7" s="85" t="s">
        <v>448</v>
      </c>
    </row>
    <row r="8" spans="1:7" x14ac:dyDescent="0.35">
      <c r="A8" s="43" t="s">
        <v>482</v>
      </c>
      <c r="G8" s="85" t="s">
        <v>449</v>
      </c>
    </row>
    <row r="9" spans="1:7" x14ac:dyDescent="0.35">
      <c r="A9" s="43" t="s">
        <v>483</v>
      </c>
      <c r="G9" s="85" t="s">
        <v>450</v>
      </c>
    </row>
    <row r="10" spans="1:7" x14ac:dyDescent="0.35">
      <c r="A10" s="43" t="s">
        <v>484</v>
      </c>
      <c r="G10" s="85" t="s">
        <v>451</v>
      </c>
    </row>
    <row r="11" spans="1:7" x14ac:dyDescent="0.35">
      <c r="A11" s="43" t="s">
        <v>485</v>
      </c>
      <c r="G11" s="85" t="s">
        <v>452</v>
      </c>
    </row>
    <row r="12" spans="1:7" x14ac:dyDescent="0.35">
      <c r="G12" s="85" t="s">
        <v>454</v>
      </c>
    </row>
    <row r="13" spans="1:7" x14ac:dyDescent="0.35">
      <c r="A13" t="s">
        <v>118</v>
      </c>
      <c r="G13" s="85" t="s">
        <v>478</v>
      </c>
    </row>
    <row r="14" spans="1:7" x14ac:dyDescent="0.35">
      <c r="A14" t="s">
        <v>119</v>
      </c>
      <c r="G14" s="85" t="s">
        <v>503</v>
      </c>
    </row>
    <row r="15" spans="1:7" x14ac:dyDescent="0.35">
      <c r="A15" t="s">
        <v>120</v>
      </c>
    </row>
    <row r="17" spans="1:5" x14ac:dyDescent="0.35">
      <c r="A17" t="s">
        <v>132</v>
      </c>
    </row>
    <row r="18" spans="1:5" x14ac:dyDescent="0.35">
      <c r="A18" t="s">
        <v>133</v>
      </c>
    </row>
    <row r="19" spans="1:5" x14ac:dyDescent="0.35">
      <c r="A19" t="s">
        <v>134</v>
      </c>
    </row>
    <row r="20" spans="1:5" x14ac:dyDescent="0.35">
      <c r="A20" t="s">
        <v>135</v>
      </c>
    </row>
    <row r="22" spans="1:5" x14ac:dyDescent="0.35">
      <c r="A22" s="26" t="s">
        <v>150</v>
      </c>
      <c r="B22" s="14" t="s">
        <v>122</v>
      </c>
      <c r="C22" s="14" t="s">
        <v>125</v>
      </c>
      <c r="D22" s="14" t="s">
        <v>127</v>
      </c>
      <c r="E22" s="14" t="s">
        <v>127</v>
      </c>
    </row>
    <row r="23" spans="1:5" x14ac:dyDescent="0.35">
      <c r="A23" s="14"/>
      <c r="B23" s="14" t="s">
        <v>123</v>
      </c>
      <c r="C23" s="14" t="s">
        <v>124</v>
      </c>
      <c r="D23" s="14" t="s">
        <v>128</v>
      </c>
      <c r="E23" s="14" t="s">
        <v>128</v>
      </c>
    </row>
    <row r="24" spans="1:5" x14ac:dyDescent="0.35">
      <c r="A24" s="14" t="s">
        <v>131</v>
      </c>
      <c r="B24" s="14" t="s">
        <v>121</v>
      </c>
      <c r="C24" s="14" t="s">
        <v>126</v>
      </c>
      <c r="D24" s="14" t="s">
        <v>129</v>
      </c>
      <c r="E24" s="14" t="s">
        <v>130</v>
      </c>
    </row>
    <row r="25" spans="1:5" x14ac:dyDescent="0.35">
      <c r="A25" s="5" t="s">
        <v>136</v>
      </c>
      <c r="B25" s="16">
        <v>6.5</v>
      </c>
      <c r="C25" s="16">
        <v>2.25</v>
      </c>
      <c r="D25" s="16">
        <f>B25-C25</f>
        <v>4.25</v>
      </c>
      <c r="E25" s="25">
        <f>D25/B25</f>
        <v>0.65384615384615385</v>
      </c>
    </row>
    <row r="26" spans="1:5" x14ac:dyDescent="0.35">
      <c r="A26" s="5" t="s">
        <v>140</v>
      </c>
      <c r="B26" s="16">
        <v>8.5</v>
      </c>
      <c r="C26" s="16">
        <v>3.9</v>
      </c>
      <c r="D26" s="16">
        <f>B26-C26</f>
        <v>4.5999999999999996</v>
      </c>
      <c r="E26" s="25">
        <f>D26/B26</f>
        <v>0.54117647058823526</v>
      </c>
    </row>
    <row r="27" spans="1:5" x14ac:dyDescent="0.35">
      <c r="A27" s="5" t="s">
        <v>141</v>
      </c>
      <c r="B27" s="16">
        <v>15.9</v>
      </c>
      <c r="C27" s="16">
        <v>7.05</v>
      </c>
      <c r="D27" s="16">
        <f>B27-C27</f>
        <v>8.8500000000000014</v>
      </c>
      <c r="E27" s="25">
        <f>D27/B27</f>
        <v>0.55660377358490576</v>
      </c>
    </row>
    <row r="28" spans="1:5" x14ac:dyDescent="0.35">
      <c r="A28" s="5"/>
      <c r="B28" s="16"/>
      <c r="C28" s="16"/>
      <c r="D28" s="16"/>
      <c r="E28" s="15"/>
    </row>
    <row r="29" spans="1:5" x14ac:dyDescent="0.35">
      <c r="A29" s="5"/>
      <c r="B29" s="16"/>
      <c r="C29" s="16"/>
      <c r="D29" s="16"/>
      <c r="E29" s="15"/>
    </row>
    <row r="30" spans="1:5" x14ac:dyDescent="0.35">
      <c r="A30" s="5"/>
      <c r="B30" s="16"/>
      <c r="C30" s="16"/>
      <c r="D30" s="16"/>
      <c r="E30" s="15"/>
    </row>
    <row r="31" spans="1:5" x14ac:dyDescent="0.35">
      <c r="A31" s="5"/>
      <c r="B31" s="16"/>
      <c r="C31" s="16"/>
      <c r="D31" s="16"/>
      <c r="E31" s="15"/>
    </row>
    <row r="32" spans="1:5" x14ac:dyDescent="0.35">
      <c r="A32" s="5"/>
      <c r="B32" s="16"/>
      <c r="C32" s="16"/>
      <c r="D32" s="16"/>
      <c r="E32" s="15"/>
    </row>
    <row r="33" spans="1:9" x14ac:dyDescent="0.35">
      <c r="A33" s="5"/>
      <c r="B33" s="16"/>
      <c r="C33" s="16"/>
      <c r="D33" s="16"/>
      <c r="E33" s="15"/>
    </row>
    <row r="34" spans="1:9" x14ac:dyDescent="0.35">
      <c r="A34" s="5"/>
      <c r="B34" s="16"/>
      <c r="C34" s="16"/>
      <c r="D34" s="16"/>
      <c r="E34" s="15"/>
    </row>
    <row r="35" spans="1:9" x14ac:dyDescent="0.35">
      <c r="A35" s="5"/>
      <c r="B35" s="16"/>
      <c r="C35" s="16"/>
      <c r="D35" s="16"/>
      <c r="E35" s="15"/>
    </row>
    <row r="36" spans="1:9" x14ac:dyDescent="0.35">
      <c r="A36" s="5"/>
      <c r="B36" s="16"/>
      <c r="C36" s="16"/>
      <c r="D36" s="16"/>
      <c r="E36" s="15"/>
    </row>
    <row r="37" spans="1:9" x14ac:dyDescent="0.35">
      <c r="A37" s="5"/>
      <c r="B37" s="16"/>
      <c r="C37" s="16"/>
      <c r="D37" s="16"/>
      <c r="E37" s="15"/>
    </row>
    <row r="38" spans="1:9" x14ac:dyDescent="0.35">
      <c r="A38" s="5"/>
      <c r="B38" s="16"/>
      <c r="C38" s="16"/>
      <c r="D38" s="16"/>
      <c r="E38" s="15"/>
    </row>
    <row r="39" spans="1:9" x14ac:dyDescent="0.35">
      <c r="A39" s="5"/>
      <c r="B39" s="16"/>
      <c r="C39" s="16"/>
      <c r="D39" s="16"/>
      <c r="E39" s="15"/>
    </row>
    <row r="40" spans="1:9" x14ac:dyDescent="0.35">
      <c r="A40" s="5"/>
      <c r="B40" s="16"/>
      <c r="C40" s="16"/>
      <c r="D40" s="16"/>
      <c r="E40" s="15"/>
    </row>
    <row r="41" spans="1:9" x14ac:dyDescent="0.35">
      <c r="A41" s="5"/>
      <c r="B41" s="16"/>
      <c r="C41" s="16"/>
      <c r="D41" s="16"/>
      <c r="E41" s="15"/>
    </row>
    <row r="42" spans="1:9" x14ac:dyDescent="0.35">
      <c r="A42" s="5"/>
      <c r="B42" s="16"/>
      <c r="C42" s="16"/>
      <c r="D42" s="16"/>
      <c r="E42" s="15"/>
    </row>
    <row r="43" spans="1:9" x14ac:dyDescent="0.35">
      <c r="A43" s="5"/>
      <c r="B43" s="16"/>
      <c r="C43" s="16"/>
      <c r="D43" s="16"/>
      <c r="E43" s="15"/>
      <c r="I43" t="s">
        <v>42</v>
      </c>
    </row>
    <row r="44" spans="1:9" x14ac:dyDescent="0.35">
      <c r="A44" s="5" t="s">
        <v>490</v>
      </c>
      <c r="B44" s="16">
        <f>AVERAGE(B25:B43)</f>
        <v>10.299999999999999</v>
      </c>
      <c r="C44" s="16">
        <f>AVERAGE(C25:C43)</f>
        <v>4.3999999999999995</v>
      </c>
      <c r="D44" s="16">
        <f>AVERAGE(D25:D43)</f>
        <v>5.9000000000000012</v>
      </c>
      <c r="E44" s="15">
        <f>AVERAGE(E25:E43)</f>
        <v>0.58387546600643159</v>
      </c>
      <c r="F44" t="s">
        <v>506</v>
      </c>
    </row>
    <row r="46" spans="1:9" x14ac:dyDescent="0.35">
      <c r="A46" t="s">
        <v>142</v>
      </c>
      <c r="F46" t="s">
        <v>42</v>
      </c>
      <c r="H46" s="31" t="s">
        <v>42</v>
      </c>
      <c r="I46" s="31" t="s">
        <v>42</v>
      </c>
    </row>
    <row r="47" spans="1:9" x14ac:dyDescent="0.35">
      <c r="A47" t="s">
        <v>143</v>
      </c>
      <c r="F47" s="11" t="s">
        <v>42</v>
      </c>
      <c r="G47" t="s">
        <v>42</v>
      </c>
      <c r="H47" t="s">
        <v>552</v>
      </c>
    </row>
    <row r="49" spans="1:13" x14ac:dyDescent="0.35">
      <c r="A49" s="26" t="s">
        <v>151</v>
      </c>
      <c r="B49" s="14" t="s">
        <v>164</v>
      </c>
      <c r="C49" s="14" t="s">
        <v>165</v>
      </c>
      <c r="D49" s="14" t="s">
        <v>166</v>
      </c>
      <c r="E49" s="14" t="s">
        <v>167</v>
      </c>
      <c r="F49" s="14" t="s">
        <v>168</v>
      </c>
      <c r="G49" s="14" t="s">
        <v>169</v>
      </c>
      <c r="H49" s="14" t="s">
        <v>170</v>
      </c>
      <c r="I49" s="14" t="s">
        <v>171</v>
      </c>
      <c r="J49" s="14" t="s">
        <v>172</v>
      </c>
      <c r="K49" s="14" t="s">
        <v>173</v>
      </c>
      <c r="L49" s="14" t="s">
        <v>174</v>
      </c>
      <c r="M49" s="14" t="s">
        <v>175</v>
      </c>
    </row>
    <row r="50" spans="1:13" x14ac:dyDescent="0.35">
      <c r="A50" s="14" t="s">
        <v>131</v>
      </c>
      <c r="B50" s="14">
        <f>Overview!$M$16</f>
        <v>2021</v>
      </c>
      <c r="C50" s="14">
        <f>Overview!$M$16</f>
        <v>2021</v>
      </c>
      <c r="D50" s="14">
        <f>Overview!$M$16</f>
        <v>2021</v>
      </c>
      <c r="E50" s="14">
        <f>Overview!$M$16</f>
        <v>2021</v>
      </c>
      <c r="F50" s="14">
        <f>Overview!$M$16</f>
        <v>2021</v>
      </c>
      <c r="G50" s="14">
        <f>Overview!$M$16</f>
        <v>2021</v>
      </c>
      <c r="H50" s="14">
        <f>Overview!$M$16</f>
        <v>2021</v>
      </c>
      <c r="I50" s="14">
        <f>Overview!$M$16</f>
        <v>2021</v>
      </c>
      <c r="J50" s="14">
        <f>Overview!$M$16</f>
        <v>2021</v>
      </c>
      <c r="K50" s="14">
        <f>Overview!$M$16</f>
        <v>2021</v>
      </c>
      <c r="L50" s="14">
        <f>Overview!$M$16</f>
        <v>2021</v>
      </c>
      <c r="M50" s="14">
        <f>Overview!$M$16</f>
        <v>2021</v>
      </c>
    </row>
    <row r="51" spans="1:13" x14ac:dyDescent="0.35">
      <c r="A51" s="5" t="str">
        <f>A25</f>
        <v>Pre - Packaged Dough Kits</v>
      </c>
      <c r="B51" s="5">
        <v>0</v>
      </c>
      <c r="C51" s="5">
        <v>150</v>
      </c>
      <c r="D51" s="5">
        <v>400</v>
      </c>
      <c r="E51" s="5">
        <v>750</v>
      </c>
      <c r="F51" s="5">
        <v>1390</v>
      </c>
      <c r="G51" s="5">
        <v>1900</v>
      </c>
      <c r="H51" s="5">
        <v>2250</v>
      </c>
      <c r="I51" s="5">
        <v>2800</v>
      </c>
      <c r="J51" s="5">
        <v>3400</v>
      </c>
      <c r="K51" s="5">
        <v>4100</v>
      </c>
      <c r="L51" s="5">
        <v>5100</v>
      </c>
      <c r="M51" s="5">
        <v>6000</v>
      </c>
    </row>
    <row r="52" spans="1:13" x14ac:dyDescent="0.35">
      <c r="A52" s="5" t="str">
        <f>A26</f>
        <v>Ready to Eat 6 Pack</v>
      </c>
      <c r="B52" s="5">
        <v>0</v>
      </c>
      <c r="C52" s="5">
        <v>0</v>
      </c>
      <c r="D52" s="5">
        <v>0</v>
      </c>
      <c r="E52" s="5">
        <v>500</v>
      </c>
      <c r="F52" s="5">
        <v>900</v>
      </c>
      <c r="G52" s="5">
        <v>1350</v>
      </c>
      <c r="H52" s="5">
        <v>1890</v>
      </c>
      <c r="I52" s="5">
        <v>2200</v>
      </c>
      <c r="J52" s="5">
        <v>2900</v>
      </c>
      <c r="K52" s="5">
        <v>3200</v>
      </c>
      <c r="L52" s="5">
        <v>3500</v>
      </c>
      <c r="M52" s="5">
        <v>4000</v>
      </c>
    </row>
    <row r="53" spans="1:13" x14ac:dyDescent="0.35">
      <c r="A53" s="5" t="str">
        <f>A27</f>
        <v>Ready to Eat 12 Pack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250</v>
      </c>
      <c r="I53" s="5">
        <v>600</v>
      </c>
      <c r="J53" s="5">
        <v>950</v>
      </c>
      <c r="K53" s="5">
        <v>1400</v>
      </c>
      <c r="L53" s="5">
        <v>2000</v>
      </c>
      <c r="M53" s="5">
        <v>3000</v>
      </c>
    </row>
    <row r="54" spans="1:13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4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4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4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4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3" spans="1:14" x14ac:dyDescent="0.35">
      <c r="A73" s="28" t="s">
        <v>155</v>
      </c>
    </row>
    <row r="74" spans="1:14" x14ac:dyDescent="0.35">
      <c r="A74" s="26" t="s">
        <v>152</v>
      </c>
      <c r="B74" s="14" t="str">
        <f t="shared" ref="B74:M74" si="0">B49</f>
        <v>Jan</v>
      </c>
      <c r="C74" s="14" t="str">
        <f t="shared" si="0"/>
        <v>Feb</v>
      </c>
      <c r="D74" s="14" t="str">
        <f t="shared" si="0"/>
        <v>Mar</v>
      </c>
      <c r="E74" s="14" t="str">
        <f t="shared" si="0"/>
        <v>Apr</v>
      </c>
      <c r="F74" s="14" t="str">
        <f t="shared" si="0"/>
        <v>May</v>
      </c>
      <c r="G74" s="14" t="str">
        <f t="shared" si="0"/>
        <v>June</v>
      </c>
      <c r="H74" s="14" t="str">
        <f t="shared" si="0"/>
        <v>July</v>
      </c>
      <c r="I74" s="14" t="str">
        <f t="shared" si="0"/>
        <v>Aug</v>
      </c>
      <c r="J74" s="14" t="str">
        <f t="shared" si="0"/>
        <v>Sept</v>
      </c>
      <c r="K74" s="14" t="str">
        <f t="shared" si="0"/>
        <v>Oct</v>
      </c>
      <c r="L74" s="14" t="str">
        <f t="shared" si="0"/>
        <v>Nov</v>
      </c>
      <c r="M74" s="14" t="str">
        <f t="shared" si="0"/>
        <v>Dec</v>
      </c>
      <c r="N74" s="14" t="s">
        <v>144</v>
      </c>
    </row>
    <row r="75" spans="1:14" x14ac:dyDescent="0.35">
      <c r="A75" s="14" t="s">
        <v>131</v>
      </c>
      <c r="B75" s="14">
        <f t="shared" ref="B75:M75" si="1">B50</f>
        <v>2021</v>
      </c>
      <c r="C75" s="14">
        <f t="shared" si="1"/>
        <v>2021</v>
      </c>
      <c r="D75" s="14">
        <f t="shared" si="1"/>
        <v>2021</v>
      </c>
      <c r="E75" s="14">
        <f t="shared" si="1"/>
        <v>2021</v>
      </c>
      <c r="F75" s="14">
        <f t="shared" si="1"/>
        <v>2021</v>
      </c>
      <c r="G75" s="14">
        <f t="shared" si="1"/>
        <v>2021</v>
      </c>
      <c r="H75" s="14">
        <f t="shared" si="1"/>
        <v>2021</v>
      </c>
      <c r="I75" s="14">
        <f t="shared" si="1"/>
        <v>2021</v>
      </c>
      <c r="J75" s="14">
        <f t="shared" si="1"/>
        <v>2021</v>
      </c>
      <c r="K75" s="14">
        <f t="shared" si="1"/>
        <v>2021</v>
      </c>
      <c r="L75" s="14">
        <f t="shared" si="1"/>
        <v>2021</v>
      </c>
      <c r="M75" s="14">
        <f t="shared" si="1"/>
        <v>2021</v>
      </c>
      <c r="N75" s="14" t="s">
        <v>153</v>
      </c>
    </row>
    <row r="76" spans="1:14" x14ac:dyDescent="0.35">
      <c r="A76" s="5" t="str">
        <f>A51</f>
        <v>Pre - Packaged Dough Kits</v>
      </c>
      <c r="B76" s="6">
        <f>$B$25*B51</f>
        <v>0</v>
      </c>
      <c r="C76" s="6">
        <f t="shared" ref="C76:M76" si="2">$B$25*C51</f>
        <v>975</v>
      </c>
      <c r="D76" s="6">
        <f t="shared" si="2"/>
        <v>2600</v>
      </c>
      <c r="E76" s="6">
        <f t="shared" si="2"/>
        <v>4875</v>
      </c>
      <c r="F76" s="6">
        <f t="shared" si="2"/>
        <v>9035</v>
      </c>
      <c r="G76" s="6">
        <f t="shared" si="2"/>
        <v>12350</v>
      </c>
      <c r="H76" s="6">
        <f t="shared" si="2"/>
        <v>14625</v>
      </c>
      <c r="I76" s="6">
        <f t="shared" si="2"/>
        <v>18200</v>
      </c>
      <c r="J76" s="6">
        <f t="shared" si="2"/>
        <v>22100</v>
      </c>
      <c r="K76" s="6">
        <f t="shared" si="2"/>
        <v>26650</v>
      </c>
      <c r="L76" s="6">
        <f t="shared" si="2"/>
        <v>33150</v>
      </c>
      <c r="M76" s="6">
        <f t="shared" si="2"/>
        <v>39000</v>
      </c>
      <c r="N76" s="9">
        <f>SUM(B76:M76)</f>
        <v>183560</v>
      </c>
    </row>
    <row r="77" spans="1:14" x14ac:dyDescent="0.35">
      <c r="A77" s="5" t="str">
        <f>A52</f>
        <v>Ready to Eat 6 Pack</v>
      </c>
      <c r="B77" s="6">
        <f>$B$26*B52</f>
        <v>0</v>
      </c>
      <c r="C77" s="6">
        <f t="shared" ref="C77:M77" si="3">$B$26*C52</f>
        <v>0</v>
      </c>
      <c r="D77" s="6">
        <f t="shared" si="3"/>
        <v>0</v>
      </c>
      <c r="E77" s="6">
        <f t="shared" si="3"/>
        <v>4250</v>
      </c>
      <c r="F77" s="6">
        <f t="shared" si="3"/>
        <v>7650</v>
      </c>
      <c r="G77" s="6">
        <f t="shared" si="3"/>
        <v>11475</v>
      </c>
      <c r="H77" s="6">
        <f t="shared" si="3"/>
        <v>16065</v>
      </c>
      <c r="I77" s="6">
        <f t="shared" si="3"/>
        <v>18700</v>
      </c>
      <c r="J77" s="6">
        <f t="shared" si="3"/>
        <v>24650</v>
      </c>
      <c r="K77" s="6">
        <f t="shared" si="3"/>
        <v>27200</v>
      </c>
      <c r="L77" s="6">
        <f t="shared" si="3"/>
        <v>29750</v>
      </c>
      <c r="M77" s="6">
        <f t="shared" si="3"/>
        <v>34000</v>
      </c>
      <c r="N77" s="9">
        <f>SUM(B77:M77)</f>
        <v>173740</v>
      </c>
    </row>
    <row r="78" spans="1:14" x14ac:dyDescent="0.35">
      <c r="A78" s="5" t="str">
        <f>A53</f>
        <v>Ready to Eat 12 Pack</v>
      </c>
      <c r="B78" s="6">
        <f>$B$27*B53</f>
        <v>0</v>
      </c>
      <c r="C78" s="6">
        <f t="shared" ref="C78:M78" si="4">$B$27*C53</f>
        <v>0</v>
      </c>
      <c r="D78" s="6">
        <f t="shared" si="4"/>
        <v>0</v>
      </c>
      <c r="E78" s="6">
        <f t="shared" si="4"/>
        <v>0</v>
      </c>
      <c r="F78" s="6">
        <f t="shared" si="4"/>
        <v>0</v>
      </c>
      <c r="G78" s="6">
        <f t="shared" si="4"/>
        <v>0</v>
      </c>
      <c r="H78" s="6">
        <f t="shared" si="4"/>
        <v>3975</v>
      </c>
      <c r="I78" s="6">
        <f t="shared" si="4"/>
        <v>9540</v>
      </c>
      <c r="J78" s="6">
        <f t="shared" si="4"/>
        <v>15105</v>
      </c>
      <c r="K78" s="6">
        <f t="shared" si="4"/>
        <v>22260</v>
      </c>
      <c r="L78" s="6">
        <f t="shared" si="4"/>
        <v>31800</v>
      </c>
      <c r="M78" s="6">
        <f t="shared" si="4"/>
        <v>47700</v>
      </c>
      <c r="N78" s="9">
        <f>SUM(B78:M78)</f>
        <v>130380</v>
      </c>
    </row>
    <row r="79" spans="1:14" x14ac:dyDescent="0.3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5"/>
    </row>
    <row r="80" spans="1:14" x14ac:dyDescent="0.3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5"/>
    </row>
    <row r="81" spans="1:14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5"/>
    </row>
    <row r="82" spans="1:14" x14ac:dyDescent="0.3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5"/>
    </row>
    <row r="83" spans="1:14" x14ac:dyDescent="0.3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5"/>
    </row>
    <row r="84" spans="1:14" x14ac:dyDescent="0.3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5"/>
    </row>
    <row r="85" spans="1:14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5"/>
    </row>
    <row r="86" spans="1:14" x14ac:dyDescent="0.3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5"/>
    </row>
    <row r="87" spans="1:14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5"/>
    </row>
    <row r="88" spans="1:14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5"/>
    </row>
    <row r="89" spans="1:14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5"/>
    </row>
    <row r="90" spans="1:14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5"/>
    </row>
    <row r="91" spans="1:14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5"/>
    </row>
    <row r="92" spans="1:14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5"/>
    </row>
    <row r="93" spans="1:14" x14ac:dyDescent="0.3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5"/>
    </row>
    <row r="94" spans="1:14" x14ac:dyDescent="0.3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5"/>
    </row>
    <row r="95" spans="1:14" x14ac:dyDescent="0.3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5"/>
    </row>
    <row r="96" spans="1:14" x14ac:dyDescent="0.35">
      <c r="A96" s="11" t="s">
        <v>154</v>
      </c>
      <c r="B96" s="27">
        <f>SUM(B76:B95)</f>
        <v>0</v>
      </c>
      <c r="C96" s="27">
        <f t="shared" ref="C96:K96" si="5">SUM(C76:C95)</f>
        <v>975</v>
      </c>
      <c r="D96" s="27">
        <f t="shared" si="5"/>
        <v>2600</v>
      </c>
      <c r="E96" s="27">
        <f t="shared" si="5"/>
        <v>9125</v>
      </c>
      <c r="F96" s="27">
        <f t="shared" si="5"/>
        <v>16685</v>
      </c>
      <c r="G96" s="27">
        <f t="shared" si="5"/>
        <v>23825</v>
      </c>
      <c r="H96" s="27">
        <f t="shared" si="5"/>
        <v>34665</v>
      </c>
      <c r="I96" s="27">
        <f t="shared" si="5"/>
        <v>46440</v>
      </c>
      <c r="J96" s="27">
        <f t="shared" si="5"/>
        <v>61855</v>
      </c>
      <c r="K96" s="27">
        <f t="shared" si="5"/>
        <v>76110</v>
      </c>
      <c r="L96" s="27">
        <f>SUM(L76:L95)</f>
        <v>94700</v>
      </c>
      <c r="M96" s="27">
        <f>SUM(M76:M95)</f>
        <v>120700</v>
      </c>
      <c r="N96" s="27">
        <f>SUM(N76:N95)</f>
        <v>487680</v>
      </c>
    </row>
    <row r="99" spans="1:14" x14ac:dyDescent="0.35">
      <c r="A99" s="28" t="s">
        <v>157</v>
      </c>
    </row>
    <row r="100" spans="1:14" x14ac:dyDescent="0.35">
      <c r="A100" s="26" t="s">
        <v>156</v>
      </c>
      <c r="B100" s="14" t="str">
        <f t="shared" ref="B100:M100" si="6">B74</f>
        <v>Jan</v>
      </c>
      <c r="C100" s="14" t="str">
        <f t="shared" si="6"/>
        <v>Feb</v>
      </c>
      <c r="D100" s="14" t="str">
        <f t="shared" si="6"/>
        <v>Mar</v>
      </c>
      <c r="E100" s="14" t="str">
        <f t="shared" si="6"/>
        <v>Apr</v>
      </c>
      <c r="F100" s="14" t="str">
        <f t="shared" si="6"/>
        <v>May</v>
      </c>
      <c r="G100" s="14" t="str">
        <f t="shared" si="6"/>
        <v>June</v>
      </c>
      <c r="H100" s="14" t="str">
        <f t="shared" si="6"/>
        <v>July</v>
      </c>
      <c r="I100" s="14" t="str">
        <f t="shared" si="6"/>
        <v>Aug</v>
      </c>
      <c r="J100" s="14" t="str">
        <f t="shared" si="6"/>
        <v>Sept</v>
      </c>
      <c r="K100" s="14" t="str">
        <f t="shared" si="6"/>
        <v>Oct</v>
      </c>
      <c r="L100" s="14" t="str">
        <f t="shared" si="6"/>
        <v>Nov</v>
      </c>
      <c r="M100" s="14" t="str">
        <f t="shared" si="6"/>
        <v>Dec</v>
      </c>
      <c r="N100" s="14" t="s">
        <v>144</v>
      </c>
    </row>
    <row r="101" spans="1:14" x14ac:dyDescent="0.35">
      <c r="A101" s="14" t="s">
        <v>131</v>
      </c>
      <c r="B101" s="14">
        <f t="shared" ref="B101:M101" si="7">B75</f>
        <v>2021</v>
      </c>
      <c r="C101" s="14">
        <f t="shared" si="7"/>
        <v>2021</v>
      </c>
      <c r="D101" s="14">
        <f t="shared" si="7"/>
        <v>2021</v>
      </c>
      <c r="E101" s="14">
        <f t="shared" si="7"/>
        <v>2021</v>
      </c>
      <c r="F101" s="14">
        <f t="shared" si="7"/>
        <v>2021</v>
      </c>
      <c r="G101" s="14">
        <f t="shared" si="7"/>
        <v>2021</v>
      </c>
      <c r="H101" s="14">
        <f t="shared" si="7"/>
        <v>2021</v>
      </c>
      <c r="I101" s="14">
        <f t="shared" si="7"/>
        <v>2021</v>
      </c>
      <c r="J101" s="14">
        <f t="shared" si="7"/>
        <v>2021</v>
      </c>
      <c r="K101" s="14">
        <f t="shared" si="7"/>
        <v>2021</v>
      </c>
      <c r="L101" s="14">
        <f t="shared" si="7"/>
        <v>2021</v>
      </c>
      <c r="M101" s="14">
        <f t="shared" si="7"/>
        <v>2021</v>
      </c>
      <c r="N101" s="14" t="s">
        <v>159</v>
      </c>
    </row>
    <row r="102" spans="1:14" x14ac:dyDescent="0.35">
      <c r="A102" s="5" t="str">
        <f>A76</f>
        <v>Pre - Packaged Dough Kits</v>
      </c>
      <c r="B102" s="6">
        <f>$C$25*B51</f>
        <v>0</v>
      </c>
      <c r="C102" s="6">
        <f t="shared" ref="C102:M102" si="8">$C$25*C51</f>
        <v>337.5</v>
      </c>
      <c r="D102" s="6">
        <f t="shared" si="8"/>
        <v>900</v>
      </c>
      <c r="E102" s="6">
        <f t="shared" si="8"/>
        <v>1687.5</v>
      </c>
      <c r="F102" s="6">
        <f t="shared" si="8"/>
        <v>3127.5</v>
      </c>
      <c r="G102" s="6">
        <f t="shared" si="8"/>
        <v>4275</v>
      </c>
      <c r="H102" s="6">
        <f t="shared" si="8"/>
        <v>5062.5</v>
      </c>
      <c r="I102" s="6">
        <f t="shared" si="8"/>
        <v>6300</v>
      </c>
      <c r="J102" s="6">
        <f t="shared" si="8"/>
        <v>7650</v>
      </c>
      <c r="K102" s="6">
        <f t="shared" si="8"/>
        <v>9225</v>
      </c>
      <c r="L102" s="6">
        <f t="shared" si="8"/>
        <v>11475</v>
      </c>
      <c r="M102" s="6">
        <f t="shared" si="8"/>
        <v>13500</v>
      </c>
      <c r="N102" s="9">
        <f>SUM(B102:M102)</f>
        <v>63540</v>
      </c>
    </row>
    <row r="103" spans="1:14" x14ac:dyDescent="0.35">
      <c r="A103" s="5" t="str">
        <f>A77</f>
        <v>Ready to Eat 6 Pack</v>
      </c>
      <c r="B103" s="6">
        <f>$C$26*B52</f>
        <v>0</v>
      </c>
      <c r="C103" s="6">
        <f t="shared" ref="C103:M103" si="9">$C$26*C52</f>
        <v>0</v>
      </c>
      <c r="D103" s="6">
        <f t="shared" si="9"/>
        <v>0</v>
      </c>
      <c r="E103" s="6">
        <f t="shared" si="9"/>
        <v>1950</v>
      </c>
      <c r="F103" s="6">
        <f t="shared" si="9"/>
        <v>3510</v>
      </c>
      <c r="G103" s="6">
        <f t="shared" si="9"/>
        <v>5265</v>
      </c>
      <c r="H103" s="6">
        <f t="shared" si="9"/>
        <v>7371</v>
      </c>
      <c r="I103" s="6">
        <f t="shared" si="9"/>
        <v>8580</v>
      </c>
      <c r="J103" s="6">
        <f t="shared" si="9"/>
        <v>11310</v>
      </c>
      <c r="K103" s="6">
        <f t="shared" si="9"/>
        <v>12480</v>
      </c>
      <c r="L103" s="6">
        <f t="shared" si="9"/>
        <v>13650</v>
      </c>
      <c r="M103" s="6">
        <f t="shared" si="9"/>
        <v>15600</v>
      </c>
      <c r="N103" s="9">
        <f>SUM(B103:M103)</f>
        <v>79716</v>
      </c>
    </row>
    <row r="104" spans="1:14" x14ac:dyDescent="0.35">
      <c r="A104" s="5" t="str">
        <f>A78</f>
        <v>Ready to Eat 12 Pack</v>
      </c>
      <c r="B104" s="6">
        <f>$C$27*B53</f>
        <v>0</v>
      </c>
      <c r="C104" s="6">
        <f t="shared" ref="C104:M104" si="10">$C$27*C53</f>
        <v>0</v>
      </c>
      <c r="D104" s="6">
        <f t="shared" si="10"/>
        <v>0</v>
      </c>
      <c r="E104" s="6">
        <f t="shared" si="10"/>
        <v>0</v>
      </c>
      <c r="F104" s="6">
        <f t="shared" si="10"/>
        <v>0</v>
      </c>
      <c r="G104" s="6">
        <f t="shared" si="10"/>
        <v>0</v>
      </c>
      <c r="H104" s="6">
        <f t="shared" si="10"/>
        <v>1762.5</v>
      </c>
      <c r="I104" s="6">
        <f t="shared" si="10"/>
        <v>4230</v>
      </c>
      <c r="J104" s="6">
        <f t="shared" si="10"/>
        <v>6697.5</v>
      </c>
      <c r="K104" s="6">
        <f t="shared" si="10"/>
        <v>9870</v>
      </c>
      <c r="L104" s="6">
        <f t="shared" si="10"/>
        <v>14100</v>
      </c>
      <c r="M104" s="6">
        <f t="shared" si="10"/>
        <v>21150</v>
      </c>
      <c r="N104" s="9">
        <f>SUM(B104:M104)</f>
        <v>57810</v>
      </c>
    </row>
    <row r="105" spans="1:14" x14ac:dyDescent="0.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5"/>
    </row>
    <row r="106" spans="1:14" x14ac:dyDescent="0.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5"/>
    </row>
    <row r="107" spans="1:14" x14ac:dyDescent="0.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5"/>
    </row>
    <row r="108" spans="1:14" x14ac:dyDescent="0.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5"/>
    </row>
    <row r="109" spans="1:14" x14ac:dyDescent="0.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5"/>
    </row>
    <row r="110" spans="1:14" x14ac:dyDescent="0.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5"/>
    </row>
    <row r="111" spans="1:14" x14ac:dyDescent="0.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5"/>
    </row>
    <row r="112" spans="1:14" x14ac:dyDescent="0.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5"/>
    </row>
    <row r="113" spans="1:14" x14ac:dyDescent="0.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5"/>
    </row>
    <row r="114" spans="1:14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5"/>
    </row>
    <row r="115" spans="1:14" x14ac:dyDescent="0.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5"/>
    </row>
    <row r="116" spans="1:14" x14ac:dyDescent="0.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5"/>
    </row>
    <row r="117" spans="1:14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5"/>
    </row>
    <row r="118" spans="1:14" x14ac:dyDescent="0.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5"/>
    </row>
    <row r="119" spans="1:14" x14ac:dyDescent="0.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5"/>
    </row>
    <row r="120" spans="1:14" x14ac:dyDescent="0.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5"/>
    </row>
    <row r="121" spans="1:14" x14ac:dyDescent="0.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5"/>
    </row>
    <row r="122" spans="1:14" x14ac:dyDescent="0.35">
      <c r="A122" s="11" t="s">
        <v>158</v>
      </c>
      <c r="B122" s="27">
        <f>SUM(B102:B121)</f>
        <v>0</v>
      </c>
      <c r="C122" s="27">
        <f t="shared" ref="C122:K122" si="11">SUM(C102:C121)</f>
        <v>337.5</v>
      </c>
      <c r="D122" s="27">
        <f t="shared" si="11"/>
        <v>900</v>
      </c>
      <c r="E122" s="27">
        <f t="shared" si="11"/>
        <v>3637.5</v>
      </c>
      <c r="F122" s="27">
        <f t="shared" si="11"/>
        <v>6637.5</v>
      </c>
      <c r="G122" s="27">
        <f t="shared" si="11"/>
        <v>9540</v>
      </c>
      <c r="H122" s="27">
        <f t="shared" si="11"/>
        <v>14196</v>
      </c>
      <c r="I122" s="27">
        <f t="shared" si="11"/>
        <v>19110</v>
      </c>
      <c r="J122" s="27">
        <f t="shared" si="11"/>
        <v>25657.5</v>
      </c>
      <c r="K122" s="27">
        <f t="shared" si="11"/>
        <v>31575</v>
      </c>
      <c r="L122" s="27">
        <f>SUM(L102:L121)</f>
        <v>39225</v>
      </c>
      <c r="M122" s="27">
        <f>SUM(M102:M121)</f>
        <v>50250</v>
      </c>
      <c r="N122" s="27">
        <f>SUM(N102:N121)</f>
        <v>201066</v>
      </c>
    </row>
    <row r="125" spans="1:14" x14ac:dyDescent="0.35">
      <c r="A125" t="s">
        <v>399</v>
      </c>
    </row>
    <row r="126" spans="1:14" x14ac:dyDescent="0.35">
      <c r="A126" s="80" t="s">
        <v>400</v>
      </c>
    </row>
  </sheetData>
  <hyperlinks>
    <hyperlink ref="A126" location="Out_Year_Assumptions" display="Out Year Assumptions" xr:uid="{5BEFB1A5-208C-4FBC-9771-4B5D3AF3396C}"/>
    <hyperlink ref="G2" location="'1 - Total Startup Costs'!A1" display="Tab 1 - Estimate Your Total Startup Costs" xr:uid="{A2083AE1-D4ED-4D03-B78C-61F84789B1EF}"/>
    <hyperlink ref="G3" location="'2 - Staffing Labor'!A1" display="Tab 2 - Estimate Your Startup Labor Costs" xr:uid="{14181651-672C-4160-9560-A4A40FFDFEF0}"/>
    <hyperlink ref="G4" location="'3 - Sales Estimate'!A1" display="Tab 3 - Estimate Your Sales for Year 1" xr:uid="{BBB057D0-8675-446E-B68B-1EDAE489E0D5}"/>
    <hyperlink ref="G5" location="'4 - Income Statement'!A1" display="Tab 4 - Compile 3 Years of Income Statements" xr:uid="{D39210C9-5AB7-4495-B1C7-AECCD09EA1FC}"/>
    <hyperlink ref="G6" location="'5 - Financing Needed'!A1" display="Tab 5 - Finalize Your Startup Costs and Funding" xr:uid="{18D8DE37-0641-44A3-A691-5909B20E02C5}"/>
    <hyperlink ref="G7" location="'6 - Loan Schedule'!A1" display="Tab 6 - Loan Amortization Schedule" xr:uid="{4991522A-A902-4137-8B07-9FDB44EA25CB}"/>
    <hyperlink ref="G8" location="'7 - Post Transactions'!A1" display="Tab 7 - Post All Financial Transactions" xr:uid="{FBA21D36-C3D9-45E7-B71B-08C391C2D12A}"/>
    <hyperlink ref="G9" location="'8 - Inventory'!A1" display="Tab 8 - Reconcile Inventory Activity" xr:uid="{F5C584AB-7572-435A-90C4-661F3896A847}"/>
    <hyperlink ref="G10" location="'9 - Cash Flow Stmts'!A1" display="Tab 9 - Compile Cash Flow Statements" xr:uid="{9313F8CB-740F-44EC-B211-89D7C1545EEF}"/>
    <hyperlink ref="G11" location="'10 - Balance Sheets'!A1" display="Tab 10 - Compile Balance Sheets" xr:uid="{91EBDC96-23BE-458C-8B0F-7F84094717CF}"/>
    <hyperlink ref="G12" location="'11 - Income Stmt Summaries'!A1" display="Tab 11 - Compile Summarize Income Statements" xr:uid="{9FBCCC11-4253-447D-9AFD-1FF447DE174B}"/>
    <hyperlink ref="G13" location="Key_Ratios" display="Key Ratios" xr:uid="{19E20F5B-3101-4ABB-853F-672E49B5C6F1}"/>
    <hyperlink ref="G14" location="Breakeven" display="Breakeven" xr:uid="{567C7FDF-F11F-4FB9-B3C9-03E4E66CA14E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5669-2EAF-4EA2-83E3-E44A7D9C2C5D}">
  <sheetPr>
    <pageSetUpPr fitToPage="1"/>
  </sheetPr>
  <dimension ref="A1:P134"/>
  <sheetViews>
    <sheetView topLeftCell="A97" workbookViewId="0">
      <selection activeCell="A14" sqref="A14"/>
    </sheetView>
  </sheetViews>
  <sheetFormatPr defaultRowHeight="14.5" x14ac:dyDescent="0.35"/>
  <cols>
    <col min="1" max="1" width="34.36328125" customWidth="1"/>
    <col min="2" max="15" width="12.6328125" customWidth="1"/>
    <col min="16" max="16" width="45.7265625" customWidth="1"/>
  </cols>
  <sheetData>
    <row r="1" spans="1:16" ht="26" x14ac:dyDescent="0.6">
      <c r="A1" s="106" t="str">
        <f>Overview!M15</f>
        <v>Supreme Dog Bites</v>
      </c>
      <c r="D1" s="1" t="s">
        <v>401</v>
      </c>
      <c r="I1" s="85" t="s">
        <v>542</v>
      </c>
      <c r="J1" s="85" t="s">
        <v>543</v>
      </c>
      <c r="K1" s="85" t="s">
        <v>544</v>
      </c>
      <c r="P1" s="65" t="s">
        <v>442</v>
      </c>
    </row>
    <row r="2" spans="1:16" ht="26" x14ac:dyDescent="0.6">
      <c r="D2" s="1" t="s">
        <v>402</v>
      </c>
      <c r="P2" s="85" t="s">
        <v>443</v>
      </c>
    </row>
    <row r="3" spans="1:16" x14ac:dyDescent="0.35">
      <c r="A3" t="s">
        <v>163</v>
      </c>
      <c r="P3" s="85" t="s">
        <v>444</v>
      </c>
    </row>
    <row r="4" spans="1:16" x14ac:dyDescent="0.35">
      <c r="A4" t="s">
        <v>190</v>
      </c>
      <c r="P4" s="85" t="s">
        <v>445</v>
      </c>
    </row>
    <row r="5" spans="1:16" x14ac:dyDescent="0.35">
      <c r="P5" s="85" t="s">
        <v>446</v>
      </c>
    </row>
    <row r="6" spans="1:16" ht="15.5" x14ac:dyDescent="0.35">
      <c r="A6" s="34" t="s">
        <v>403</v>
      </c>
      <c r="P6" s="85" t="s">
        <v>447</v>
      </c>
    </row>
    <row r="7" spans="1:16" ht="15.5" x14ac:dyDescent="0.35">
      <c r="A7" s="34"/>
      <c r="B7" s="34" t="str">
        <f>'3 - Sales Estimate'!B49</f>
        <v>Jan</v>
      </c>
      <c r="C7" s="34" t="str">
        <f>'3 - Sales Estimate'!C49</f>
        <v>Feb</v>
      </c>
      <c r="D7" s="34" t="str">
        <f>'3 - Sales Estimate'!D49</f>
        <v>Mar</v>
      </c>
      <c r="E7" s="34" t="str">
        <f>'3 - Sales Estimate'!E49</f>
        <v>Apr</v>
      </c>
      <c r="F7" s="34" t="str">
        <f>'3 - Sales Estimate'!F49</f>
        <v>May</v>
      </c>
      <c r="G7" s="34" t="str">
        <f>'3 - Sales Estimate'!G49</f>
        <v>June</v>
      </c>
      <c r="H7" s="34" t="str">
        <f>'3 - Sales Estimate'!H49</f>
        <v>July</v>
      </c>
      <c r="I7" s="34" t="str">
        <f>'3 - Sales Estimate'!I49</f>
        <v>Aug</v>
      </c>
      <c r="J7" s="34" t="str">
        <f>'3 - Sales Estimate'!J49</f>
        <v>Sept</v>
      </c>
      <c r="K7" s="34" t="str">
        <f>'3 - Sales Estimate'!K49</f>
        <v>Oct</v>
      </c>
      <c r="L7" s="34" t="str">
        <f>'3 - Sales Estimate'!L49</f>
        <v>Nov</v>
      </c>
      <c r="M7" s="34" t="str">
        <f>'3 - Sales Estimate'!M49</f>
        <v>Dec</v>
      </c>
      <c r="N7" s="34"/>
      <c r="P7" s="85" t="s">
        <v>448</v>
      </c>
    </row>
    <row r="8" spans="1:16" ht="15.5" x14ac:dyDescent="0.35">
      <c r="A8" s="34"/>
      <c r="B8" s="34">
        <f>'3 - Sales Estimate'!B50</f>
        <v>2021</v>
      </c>
      <c r="C8" s="34">
        <f>'3 - Sales Estimate'!C50</f>
        <v>2021</v>
      </c>
      <c r="D8" s="34">
        <f>'3 - Sales Estimate'!D50</f>
        <v>2021</v>
      </c>
      <c r="E8" s="34">
        <f>'3 - Sales Estimate'!E50</f>
        <v>2021</v>
      </c>
      <c r="F8" s="34">
        <f>'3 - Sales Estimate'!F50</f>
        <v>2021</v>
      </c>
      <c r="G8" s="34">
        <f>'3 - Sales Estimate'!G50</f>
        <v>2021</v>
      </c>
      <c r="H8" s="34">
        <f>'3 - Sales Estimate'!H50</f>
        <v>2021</v>
      </c>
      <c r="I8" s="34">
        <f>'3 - Sales Estimate'!I50</f>
        <v>2021</v>
      </c>
      <c r="J8" s="34">
        <f>'3 - Sales Estimate'!J50</f>
        <v>2021</v>
      </c>
      <c r="K8" s="34">
        <f>'3 - Sales Estimate'!K50</f>
        <v>2021</v>
      </c>
      <c r="L8" s="34">
        <f>'3 - Sales Estimate'!L50</f>
        <v>2021</v>
      </c>
      <c r="M8" s="34">
        <f>'3 - Sales Estimate'!M50</f>
        <v>2021</v>
      </c>
      <c r="N8" s="34" t="s">
        <v>176</v>
      </c>
      <c r="P8" s="85" t="s">
        <v>449</v>
      </c>
    </row>
    <row r="9" spans="1:16" x14ac:dyDescent="0.35">
      <c r="P9" s="85" t="s">
        <v>450</v>
      </c>
    </row>
    <row r="10" spans="1:16" ht="15.5" x14ac:dyDescent="0.35">
      <c r="A10" s="36" t="s">
        <v>162</v>
      </c>
      <c r="B10" s="32">
        <f>'3 - Sales Estimate'!B96</f>
        <v>0</v>
      </c>
      <c r="C10" s="32">
        <f>'3 - Sales Estimate'!C96</f>
        <v>975</v>
      </c>
      <c r="D10" s="32">
        <f>'3 - Sales Estimate'!D96</f>
        <v>2600</v>
      </c>
      <c r="E10" s="32">
        <f>'3 - Sales Estimate'!E96</f>
        <v>9125</v>
      </c>
      <c r="F10" s="32">
        <f>'3 - Sales Estimate'!F96</f>
        <v>16685</v>
      </c>
      <c r="G10" s="32">
        <f>'3 - Sales Estimate'!G96</f>
        <v>23825</v>
      </c>
      <c r="H10" s="32">
        <f>'3 - Sales Estimate'!H96</f>
        <v>34665</v>
      </c>
      <c r="I10" s="32">
        <f>'3 - Sales Estimate'!I96</f>
        <v>46440</v>
      </c>
      <c r="J10" s="32">
        <f>'3 - Sales Estimate'!J96</f>
        <v>61855</v>
      </c>
      <c r="K10" s="32">
        <f>'3 - Sales Estimate'!K96</f>
        <v>76110</v>
      </c>
      <c r="L10" s="32">
        <f>'3 - Sales Estimate'!L96</f>
        <v>94700</v>
      </c>
      <c r="M10" s="32">
        <f>'3 - Sales Estimate'!M96</f>
        <v>120700</v>
      </c>
      <c r="N10" s="32">
        <f>SUM(B10:M10)</f>
        <v>487680</v>
      </c>
      <c r="P10" s="85" t="s">
        <v>451</v>
      </c>
    </row>
    <row r="11" spans="1:16" ht="15.5" x14ac:dyDescent="0.35">
      <c r="A11" s="36" t="s">
        <v>160</v>
      </c>
      <c r="B11" s="37">
        <f>'3 - Sales Estimate'!B122</f>
        <v>0</v>
      </c>
      <c r="C11" s="37">
        <f>'3 - Sales Estimate'!C122</f>
        <v>337.5</v>
      </c>
      <c r="D11" s="37">
        <f>'3 - Sales Estimate'!D122</f>
        <v>900</v>
      </c>
      <c r="E11" s="37">
        <f>'3 - Sales Estimate'!E122</f>
        <v>3637.5</v>
      </c>
      <c r="F11" s="37">
        <f>'3 - Sales Estimate'!F122</f>
        <v>6637.5</v>
      </c>
      <c r="G11" s="37">
        <f>'3 - Sales Estimate'!G122</f>
        <v>9540</v>
      </c>
      <c r="H11" s="37">
        <f>'3 - Sales Estimate'!H122</f>
        <v>14196</v>
      </c>
      <c r="I11" s="37">
        <f>'3 - Sales Estimate'!I122</f>
        <v>19110</v>
      </c>
      <c r="J11" s="37">
        <f>'3 - Sales Estimate'!J122</f>
        <v>25657.5</v>
      </c>
      <c r="K11" s="37">
        <f>'3 - Sales Estimate'!K122</f>
        <v>31575</v>
      </c>
      <c r="L11" s="37">
        <f>'3 - Sales Estimate'!L122</f>
        <v>39225</v>
      </c>
      <c r="M11" s="37">
        <f>'3 - Sales Estimate'!M122</f>
        <v>50250</v>
      </c>
      <c r="N11" s="37">
        <f>SUM(B11:M11)</f>
        <v>201066</v>
      </c>
      <c r="P11" s="85" t="s">
        <v>452</v>
      </c>
    </row>
    <row r="12" spans="1:16" ht="15.5" x14ac:dyDescent="0.35">
      <c r="A12" s="36" t="s">
        <v>161</v>
      </c>
      <c r="B12" s="32">
        <f>B10-B11</f>
        <v>0</v>
      </c>
      <c r="C12" s="32">
        <f t="shared" ref="C12:K12" si="0">C10-C11</f>
        <v>637.5</v>
      </c>
      <c r="D12" s="32">
        <f t="shared" si="0"/>
        <v>1700</v>
      </c>
      <c r="E12" s="32">
        <f t="shared" si="0"/>
        <v>5487.5</v>
      </c>
      <c r="F12" s="32">
        <f t="shared" si="0"/>
        <v>10047.5</v>
      </c>
      <c r="G12" s="32">
        <f t="shared" si="0"/>
        <v>14285</v>
      </c>
      <c r="H12" s="32">
        <f t="shared" si="0"/>
        <v>20469</v>
      </c>
      <c r="I12" s="32">
        <f t="shared" si="0"/>
        <v>27330</v>
      </c>
      <c r="J12" s="32">
        <f t="shared" si="0"/>
        <v>36197.5</v>
      </c>
      <c r="K12" s="32">
        <f t="shared" si="0"/>
        <v>44535</v>
      </c>
      <c r="L12" s="32">
        <f>L10-L11</f>
        <v>55475</v>
      </c>
      <c r="M12" s="32">
        <f>M10-M11</f>
        <v>70450</v>
      </c>
      <c r="N12" s="32">
        <f>SUM(B12:M12)</f>
        <v>286614</v>
      </c>
      <c r="P12" s="85" t="s">
        <v>454</v>
      </c>
    </row>
    <row r="13" spans="1:16" ht="15.5" x14ac:dyDescent="0.35">
      <c r="A13" s="29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P13" s="85" t="s">
        <v>478</v>
      </c>
    </row>
    <row r="14" spans="1:16" ht="15.5" x14ac:dyDescent="0.35">
      <c r="A14" s="35" t="s">
        <v>177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P14" s="85" t="s">
        <v>503</v>
      </c>
    </row>
    <row r="15" spans="1:16" ht="15.5" x14ac:dyDescent="0.35">
      <c r="A15" s="29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6" ht="15.5" x14ac:dyDescent="0.35">
      <c r="A16" s="36" t="str">
        <f>'1 - Total Startup Costs'!$A$46</f>
        <v>Labor - Payroll / Contractors</v>
      </c>
      <c r="B16" s="32">
        <f>'1 - Total Startup Costs'!$D$46</f>
        <v>17460.691666666666</v>
      </c>
      <c r="C16" s="32">
        <f>'1 - Total Startup Costs'!$D$46</f>
        <v>17460.691666666666</v>
      </c>
      <c r="D16" s="32">
        <f>'1 - Total Startup Costs'!$D$46</f>
        <v>17460.691666666666</v>
      </c>
      <c r="E16" s="32">
        <f>'1 - Total Startup Costs'!$D$46</f>
        <v>17460.691666666666</v>
      </c>
      <c r="F16" s="32">
        <f>'1 - Total Startup Costs'!$D$46</f>
        <v>17460.691666666666</v>
      </c>
      <c r="G16" s="32">
        <f>'1 - Total Startup Costs'!$D$46</f>
        <v>17460.691666666666</v>
      </c>
      <c r="H16" s="32">
        <f>G16*(E43+B48)</f>
        <v>19206.760833333334</v>
      </c>
      <c r="I16" s="32">
        <f>H16</f>
        <v>19206.760833333334</v>
      </c>
      <c r="J16" s="32">
        <f>I16</f>
        <v>19206.760833333334</v>
      </c>
      <c r="K16" s="32">
        <f>J16</f>
        <v>19206.760833333334</v>
      </c>
      <c r="L16" s="32">
        <f>K16</f>
        <v>19206.760833333334</v>
      </c>
      <c r="M16" s="32">
        <f>K16</f>
        <v>19206.760833333334</v>
      </c>
      <c r="N16" s="32">
        <f t="shared" ref="N16:N23" si="1">SUM(B16:M16)</f>
        <v>220004.715</v>
      </c>
    </row>
    <row r="17" spans="1:15" ht="15.5" x14ac:dyDescent="0.35">
      <c r="A17" s="36" t="str">
        <f>'1 - Total Startup Costs'!$A$47</f>
        <v>Office Rent</v>
      </c>
      <c r="B17" s="32">
        <f>'1 - Total Startup Costs'!$D$47</f>
        <v>3500</v>
      </c>
      <c r="C17" s="32">
        <f>'1 - Total Startup Costs'!$D$47</f>
        <v>3500</v>
      </c>
      <c r="D17" s="32">
        <f>'1 - Total Startup Costs'!$D$47</f>
        <v>3500</v>
      </c>
      <c r="E17" s="32">
        <f>'1 - Total Startup Costs'!$D$47</f>
        <v>3500</v>
      </c>
      <c r="F17" s="32">
        <f>'1 - Total Startup Costs'!$D$47</f>
        <v>3500</v>
      </c>
      <c r="G17" s="32">
        <f>'1 - Total Startup Costs'!$D$47</f>
        <v>3500</v>
      </c>
      <c r="H17" s="32">
        <f>'1 - Total Startup Costs'!$D$47</f>
        <v>3500</v>
      </c>
      <c r="I17" s="32">
        <f>'1 - Total Startup Costs'!$D$47</f>
        <v>3500</v>
      </c>
      <c r="J17" s="32">
        <f>'1 - Total Startup Costs'!$D$47</f>
        <v>3500</v>
      </c>
      <c r="K17" s="32">
        <f>'1 - Total Startup Costs'!$D$47</f>
        <v>3500</v>
      </c>
      <c r="L17" s="32">
        <f>'1 - Total Startup Costs'!$D$47</f>
        <v>3500</v>
      </c>
      <c r="M17" s="32">
        <f>'1 - Total Startup Costs'!$D$47</f>
        <v>3500</v>
      </c>
      <c r="N17" s="32">
        <f t="shared" si="1"/>
        <v>42000</v>
      </c>
    </row>
    <row r="18" spans="1:15" ht="15.5" x14ac:dyDescent="0.35">
      <c r="A18" s="36" t="str">
        <f>'1 - Total Startup Costs'!$A$49</f>
        <v>Utilities - Water, Gas and Electric</v>
      </c>
      <c r="B18" s="32">
        <f>'1 - Total Startup Costs'!$D$49</f>
        <v>450</v>
      </c>
      <c r="C18" s="32">
        <f>'1 - Total Startup Costs'!$D$49</f>
        <v>450</v>
      </c>
      <c r="D18" s="32">
        <f>'1 - Total Startup Costs'!$D$49</f>
        <v>450</v>
      </c>
      <c r="E18" s="32">
        <f>'1 - Total Startup Costs'!$D$49</f>
        <v>450</v>
      </c>
      <c r="F18" s="32">
        <f>'1 - Total Startup Costs'!$D$49</f>
        <v>450</v>
      </c>
      <c r="G18" s="32">
        <f>'1 - Total Startup Costs'!$D$49</f>
        <v>450</v>
      </c>
      <c r="H18" s="32">
        <f>'1 - Total Startup Costs'!$D$49</f>
        <v>450</v>
      </c>
      <c r="I18" s="32">
        <f>'1 - Total Startup Costs'!$D$49</f>
        <v>450</v>
      </c>
      <c r="J18" s="32">
        <f>'1 - Total Startup Costs'!$D$49</f>
        <v>450</v>
      </c>
      <c r="K18" s="32">
        <f>'1 - Total Startup Costs'!$D$49</f>
        <v>450</v>
      </c>
      <c r="L18" s="32">
        <f>'1 - Total Startup Costs'!$D$49</f>
        <v>450</v>
      </c>
      <c r="M18" s="32">
        <f>'1 - Total Startup Costs'!$D$49</f>
        <v>450</v>
      </c>
      <c r="N18" s="32">
        <f t="shared" si="1"/>
        <v>5400</v>
      </c>
    </row>
    <row r="19" spans="1:15" ht="15.5" x14ac:dyDescent="0.35">
      <c r="A19" s="36" t="str">
        <f>'1 - Total Startup Costs'!$A$50</f>
        <v>Cleaning Service</v>
      </c>
      <c r="B19" s="32">
        <f>'1 - Total Startup Costs'!$D$50</f>
        <v>330</v>
      </c>
      <c r="C19" s="32">
        <f>'1 - Total Startup Costs'!$D$50</f>
        <v>330</v>
      </c>
      <c r="D19" s="32">
        <f>'1 - Total Startup Costs'!$D$50</f>
        <v>330</v>
      </c>
      <c r="E19" s="32">
        <f>'1 - Total Startup Costs'!$D$50</f>
        <v>330</v>
      </c>
      <c r="F19" s="32">
        <f>'1 - Total Startup Costs'!$D$50</f>
        <v>330</v>
      </c>
      <c r="G19" s="32">
        <f>'1 - Total Startup Costs'!$D$50</f>
        <v>330</v>
      </c>
      <c r="H19" s="32">
        <f>'1 - Total Startup Costs'!$D$50</f>
        <v>330</v>
      </c>
      <c r="I19" s="32">
        <f>'1 - Total Startup Costs'!$D$50</f>
        <v>330</v>
      </c>
      <c r="J19" s="32">
        <f>'1 - Total Startup Costs'!$D$50</f>
        <v>330</v>
      </c>
      <c r="K19" s="32">
        <f>'1 - Total Startup Costs'!$D$50</f>
        <v>330</v>
      </c>
      <c r="L19" s="32">
        <f>'1 - Total Startup Costs'!$D$50</f>
        <v>330</v>
      </c>
      <c r="M19" s="32">
        <f>'1 - Total Startup Costs'!$D$50</f>
        <v>330</v>
      </c>
      <c r="N19" s="32">
        <f t="shared" si="1"/>
        <v>3960</v>
      </c>
    </row>
    <row r="20" spans="1:15" ht="15.5" x14ac:dyDescent="0.35">
      <c r="A20" s="36" t="str">
        <f>'1 - Total Startup Costs'!$A$51</f>
        <v xml:space="preserve">Web Site and Social Media </v>
      </c>
      <c r="B20" s="32">
        <f>'1 - Total Startup Costs'!$D$51</f>
        <v>175</v>
      </c>
      <c r="C20" s="32">
        <f>'1 - Total Startup Costs'!$D$51</f>
        <v>175</v>
      </c>
      <c r="D20" s="32">
        <f>'1 - Total Startup Costs'!$D$51</f>
        <v>175</v>
      </c>
      <c r="E20" s="32">
        <f>'1 - Total Startup Costs'!$D$51</f>
        <v>175</v>
      </c>
      <c r="F20" s="32">
        <f>'1 - Total Startup Costs'!$D$51</f>
        <v>175</v>
      </c>
      <c r="G20" s="32">
        <f>'1 - Total Startup Costs'!$D$51</f>
        <v>175</v>
      </c>
      <c r="H20" s="32">
        <f>'1 - Total Startup Costs'!$D$51</f>
        <v>175</v>
      </c>
      <c r="I20" s="32">
        <f>'1 - Total Startup Costs'!$D$51</f>
        <v>175</v>
      </c>
      <c r="J20" s="32">
        <f>'1 - Total Startup Costs'!$D$51</f>
        <v>175</v>
      </c>
      <c r="K20" s="32">
        <f>'1 - Total Startup Costs'!$D$51</f>
        <v>175</v>
      </c>
      <c r="L20" s="32">
        <f>'1 - Total Startup Costs'!$D$51</f>
        <v>175</v>
      </c>
      <c r="M20" s="32">
        <f>'1 - Total Startup Costs'!$D$51</f>
        <v>175</v>
      </c>
      <c r="N20" s="32">
        <f t="shared" si="1"/>
        <v>2100</v>
      </c>
    </row>
    <row r="21" spans="1:15" ht="15.5" x14ac:dyDescent="0.35">
      <c r="A21" s="36" t="str">
        <f>'1 - Total Startup Costs'!$A$52</f>
        <v xml:space="preserve">Business Insurance - annual </v>
      </c>
      <c r="B21" s="32">
        <f>'1 - Total Startup Costs'!D52</f>
        <v>790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f t="shared" si="1"/>
        <v>790</v>
      </c>
    </row>
    <row r="22" spans="1:15" ht="15.5" x14ac:dyDescent="0.35">
      <c r="A22" s="36" t="str">
        <f>'1 - Total Startup Costs'!$A$53</f>
        <v>Vehicle Insurance - every 6 months</v>
      </c>
      <c r="B22" s="32">
        <f>'1 - Total Startup Costs'!D53</f>
        <v>650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f>B22</f>
        <v>650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f t="shared" si="1"/>
        <v>1300</v>
      </c>
    </row>
    <row r="23" spans="1:15" ht="15.5" x14ac:dyDescent="0.35">
      <c r="A23" s="36" t="str">
        <f>'1 - Total Startup Costs'!$A$54</f>
        <v>Outside Legal Support</v>
      </c>
      <c r="B23" s="32">
        <f>'1 - Total Startup Costs'!$D$54</f>
        <v>135</v>
      </c>
      <c r="C23" s="32">
        <f>'1 - Total Startup Costs'!$D$54</f>
        <v>135</v>
      </c>
      <c r="D23" s="32">
        <f>'1 - Total Startup Costs'!$D$54</f>
        <v>135</v>
      </c>
      <c r="E23" s="32">
        <f>'1 - Total Startup Costs'!$D$54</f>
        <v>135</v>
      </c>
      <c r="F23" s="32">
        <f>'1 - Total Startup Costs'!$D$54</f>
        <v>135</v>
      </c>
      <c r="G23" s="32">
        <f>'1 - Total Startup Costs'!$D$54</f>
        <v>135</v>
      </c>
      <c r="H23" s="32">
        <f>'1 - Total Startup Costs'!$D$54</f>
        <v>135</v>
      </c>
      <c r="I23" s="32">
        <f>'1 - Total Startup Costs'!$D$54</f>
        <v>135</v>
      </c>
      <c r="J23" s="32">
        <f>'1 - Total Startup Costs'!$D$54</f>
        <v>135</v>
      </c>
      <c r="K23" s="32">
        <f>'1 - Total Startup Costs'!$D$54</f>
        <v>135</v>
      </c>
      <c r="L23" s="32">
        <f>'1 - Total Startup Costs'!$D$54</f>
        <v>135</v>
      </c>
      <c r="M23" s="32">
        <f>'1 - Total Startup Costs'!$D$54</f>
        <v>135</v>
      </c>
      <c r="N23" s="32">
        <f t="shared" si="1"/>
        <v>1620</v>
      </c>
    </row>
    <row r="24" spans="1:15" ht="15.5" x14ac:dyDescent="0.35">
      <c r="A24" s="36" t="str">
        <f>'1 - Total Startup Costs'!$A$55</f>
        <v>CPA / Tax Support</v>
      </c>
      <c r="B24" s="37">
        <f>'1 - Total Startup Costs'!$D$55</f>
        <v>175</v>
      </c>
      <c r="C24" s="37">
        <f>'1 - Total Startup Costs'!$D$55</f>
        <v>175</v>
      </c>
      <c r="D24" s="37">
        <f>'1 - Total Startup Costs'!$D$55</f>
        <v>175</v>
      </c>
      <c r="E24" s="37">
        <f>'1 - Total Startup Costs'!$D$55</f>
        <v>175</v>
      </c>
      <c r="F24" s="37">
        <f>'1 - Total Startup Costs'!$D$55</f>
        <v>175</v>
      </c>
      <c r="G24" s="37">
        <f>'1 - Total Startup Costs'!$D$55</f>
        <v>175</v>
      </c>
      <c r="H24" s="37">
        <f>'1 - Total Startup Costs'!$D$55</f>
        <v>175</v>
      </c>
      <c r="I24" s="37">
        <f>'1 - Total Startup Costs'!$D$55</f>
        <v>175</v>
      </c>
      <c r="J24" s="37">
        <f>'1 - Total Startup Costs'!$D$55</f>
        <v>175</v>
      </c>
      <c r="K24" s="37">
        <f>'1 - Total Startup Costs'!$D$55</f>
        <v>175</v>
      </c>
      <c r="L24" s="37">
        <f>'1 - Total Startup Costs'!$D$55</f>
        <v>175</v>
      </c>
      <c r="M24" s="37">
        <f>'1 - Total Startup Costs'!$D$55</f>
        <v>175</v>
      </c>
      <c r="N24" s="37">
        <f>SUM(B24:M24)</f>
        <v>2100</v>
      </c>
    </row>
    <row r="25" spans="1:15" ht="15.5" x14ac:dyDescent="0.35">
      <c r="A25" s="39" t="s">
        <v>178</v>
      </c>
      <c r="B25" s="38">
        <f>SUM(B16:B24)</f>
        <v>23665.691666666666</v>
      </c>
      <c r="C25" s="38">
        <f t="shared" ref="C25:K25" si="2">SUM(C16:C24)</f>
        <v>22225.691666666666</v>
      </c>
      <c r="D25" s="38">
        <f t="shared" si="2"/>
        <v>22225.691666666666</v>
      </c>
      <c r="E25" s="38">
        <f t="shared" si="2"/>
        <v>22225.691666666666</v>
      </c>
      <c r="F25" s="38">
        <f t="shared" si="2"/>
        <v>22225.691666666666</v>
      </c>
      <c r="G25" s="38">
        <f t="shared" si="2"/>
        <v>22225.691666666666</v>
      </c>
      <c r="H25" s="38">
        <f t="shared" si="2"/>
        <v>24621.760833333334</v>
      </c>
      <c r="I25" s="38">
        <f t="shared" si="2"/>
        <v>23971.760833333334</v>
      </c>
      <c r="J25" s="38">
        <f t="shared" si="2"/>
        <v>23971.760833333334</v>
      </c>
      <c r="K25" s="38">
        <f t="shared" si="2"/>
        <v>23971.760833333334</v>
      </c>
      <c r="L25" s="38">
        <f>SUM(L16:L24)</f>
        <v>23971.760833333334</v>
      </c>
      <c r="M25" s="38">
        <f>SUM(M16:M24)</f>
        <v>23971.760833333334</v>
      </c>
      <c r="N25" s="38">
        <f>SUM(N16:N24)</f>
        <v>279274.71499999997</v>
      </c>
    </row>
    <row r="26" spans="1:15" ht="15.5" x14ac:dyDescent="0.35">
      <c r="A26" s="3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1:15" ht="15.5" x14ac:dyDescent="0.35">
      <c r="A27" s="35" t="s">
        <v>288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5" ht="15.5" x14ac:dyDescent="0.35">
      <c r="A28" s="71" t="s">
        <v>287</v>
      </c>
      <c r="B28" s="32">
        <v>0</v>
      </c>
      <c r="C28" s="32">
        <v>0</v>
      </c>
      <c r="D28" s="32">
        <v>0</v>
      </c>
      <c r="E28" s="32">
        <f>'6 - Loan Schedule'!E22</f>
        <v>312.5</v>
      </c>
      <c r="F28" s="32">
        <f>'6 - Loan Schedule'!$E23</f>
        <v>307.90482281957986</v>
      </c>
      <c r="G28" s="32">
        <f>'6 - Loan Schedule'!$E24</f>
        <v>303.29049906757473</v>
      </c>
      <c r="H28" s="32">
        <f>'6 - Loan Schedule'!$E25</f>
        <v>298.6569489666029</v>
      </c>
      <c r="I28" s="32">
        <f>'6 - Loan Schedule'!$E26</f>
        <v>294.00409240687702</v>
      </c>
      <c r="J28" s="32">
        <f>'6 - Loan Schedule'!$E27</f>
        <v>289.33184894481883</v>
      </c>
      <c r="K28" s="32">
        <f>'6 - Loan Schedule'!$E28</f>
        <v>284.64013780166886</v>
      </c>
      <c r="L28" s="32">
        <f>'6 - Loan Schedule'!$E29</f>
        <v>279.92887786208911</v>
      </c>
      <c r="M28" s="32">
        <f>'6 - Loan Schedule'!$E30</f>
        <v>275.19798767276103</v>
      </c>
      <c r="N28" s="32">
        <f>SUM(B28:M28)</f>
        <v>2645.4552155419724</v>
      </c>
      <c r="O28" s="32">
        <f>'6 - Loan Schedule'!E84</f>
        <v>2645.4552155419724</v>
      </c>
    </row>
    <row r="29" spans="1:15" ht="15.5" x14ac:dyDescent="0.35">
      <c r="A29" s="3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5" ht="15.5" x14ac:dyDescent="0.35">
      <c r="A30" s="35" t="s">
        <v>202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5" ht="15.5" x14ac:dyDescent="0.35">
      <c r="A31" s="36" t="s">
        <v>203</v>
      </c>
      <c r="B31" s="32">
        <f>'1 - Total Startup Costs'!$F$35</f>
        <v>200</v>
      </c>
      <c r="C31" s="32">
        <f>'1 - Total Startup Costs'!$F$35</f>
        <v>200</v>
      </c>
      <c r="D31" s="32">
        <f>'1 - Total Startup Costs'!$F$35</f>
        <v>200</v>
      </c>
      <c r="E31" s="32">
        <f>'1 - Total Startup Costs'!$F$35</f>
        <v>200</v>
      </c>
      <c r="F31" s="32">
        <f>'1 - Total Startup Costs'!$F$35</f>
        <v>200</v>
      </c>
      <c r="G31" s="32">
        <f>'1 - Total Startup Costs'!$F$35</f>
        <v>200</v>
      </c>
      <c r="H31" s="32">
        <f>'1 - Total Startup Costs'!$F$35</f>
        <v>200</v>
      </c>
      <c r="I31" s="32">
        <f>'1 - Total Startup Costs'!$F$35</f>
        <v>200</v>
      </c>
      <c r="J31" s="32">
        <f>'1 - Total Startup Costs'!$F$35</f>
        <v>200</v>
      </c>
      <c r="K31" s="32">
        <f>'1 - Total Startup Costs'!$F$35</f>
        <v>200</v>
      </c>
      <c r="L31" s="32">
        <f>'1 - Total Startup Costs'!$F$35</f>
        <v>200</v>
      </c>
      <c r="M31" s="32">
        <f>'1 - Total Startup Costs'!$F$35</f>
        <v>200</v>
      </c>
      <c r="N31" s="32">
        <f>SUM(B31:M31)</f>
        <v>2400</v>
      </c>
      <c r="O31" s="32">
        <f>'1 - Total Startup Costs'!E35</f>
        <v>2400</v>
      </c>
    </row>
    <row r="32" spans="1:15" ht="15.5" x14ac:dyDescent="0.35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spans="1:14" ht="16" thickBot="1" x14ac:dyDescent="0.4">
      <c r="A33" s="36" t="s">
        <v>189</v>
      </c>
      <c r="B33" s="49">
        <f>B12-B25-B28-B31</f>
        <v>-23865.691666666666</v>
      </c>
      <c r="C33" s="49">
        <f t="shared" ref="C33:N33" si="3">C12-C25-C28-C31</f>
        <v>-21788.191666666666</v>
      </c>
      <c r="D33" s="49">
        <f t="shared" si="3"/>
        <v>-20725.691666666666</v>
      </c>
      <c r="E33" s="49">
        <f t="shared" si="3"/>
        <v>-17250.691666666666</v>
      </c>
      <c r="F33" s="49">
        <f>F12-F25-F28-F31</f>
        <v>-12686.096489486246</v>
      </c>
      <c r="G33" s="49">
        <f t="shared" si="3"/>
        <v>-8443.98216573424</v>
      </c>
      <c r="H33" s="49">
        <f t="shared" si="3"/>
        <v>-4651.4177822999363</v>
      </c>
      <c r="I33" s="49">
        <f t="shared" si="3"/>
        <v>2864.2350742597891</v>
      </c>
      <c r="J33" s="49">
        <f>J12-J25-J28-J31</f>
        <v>11736.407317721847</v>
      </c>
      <c r="K33" s="49">
        <f t="shared" si="3"/>
        <v>20078.599028864999</v>
      </c>
      <c r="L33" s="49">
        <f t="shared" si="3"/>
        <v>31023.310288804576</v>
      </c>
      <c r="M33" s="49">
        <f t="shared" si="3"/>
        <v>46003.041178993903</v>
      </c>
      <c r="N33" s="49">
        <f t="shared" si="3"/>
        <v>2293.8297844580602</v>
      </c>
    </row>
    <row r="34" spans="1:14" ht="15" thickTop="1" x14ac:dyDescent="0.35"/>
    <row r="35" spans="1:14" x14ac:dyDescent="0.35">
      <c r="A35" s="54" t="s">
        <v>237</v>
      </c>
    </row>
    <row r="36" spans="1:14" ht="15.5" x14ac:dyDescent="0.35">
      <c r="J36" s="36" t="s">
        <v>503</v>
      </c>
    </row>
    <row r="37" spans="1:14" x14ac:dyDescent="0.35">
      <c r="A37" t="s">
        <v>239</v>
      </c>
      <c r="J37" t="s">
        <v>488</v>
      </c>
    </row>
    <row r="38" spans="1:14" x14ac:dyDescent="0.35">
      <c r="A38" t="s">
        <v>240</v>
      </c>
      <c r="J38" t="s">
        <v>489</v>
      </c>
    </row>
    <row r="39" spans="1:14" x14ac:dyDescent="0.35">
      <c r="A39" t="s">
        <v>241</v>
      </c>
      <c r="J39" t="s">
        <v>497</v>
      </c>
    </row>
    <row r="40" spans="1:14" x14ac:dyDescent="0.35">
      <c r="J40" t="s">
        <v>498</v>
      </c>
    </row>
    <row r="41" spans="1:14" x14ac:dyDescent="0.35">
      <c r="J41" t="s">
        <v>499</v>
      </c>
    </row>
    <row r="42" spans="1:14" x14ac:dyDescent="0.35">
      <c r="A42" s="44" t="s">
        <v>238</v>
      </c>
    </row>
    <row r="43" spans="1:14" x14ac:dyDescent="0.35">
      <c r="B43" s="43" t="s">
        <v>192</v>
      </c>
      <c r="E43">
        <v>1</v>
      </c>
      <c r="J43" s="44" t="s">
        <v>495</v>
      </c>
    </row>
    <row r="44" spans="1:14" x14ac:dyDescent="0.35">
      <c r="B44" s="30" t="s">
        <v>193</v>
      </c>
      <c r="C44" s="30">
        <v>2022</v>
      </c>
      <c r="D44" s="30">
        <v>2023</v>
      </c>
      <c r="J44" t="s">
        <v>496</v>
      </c>
    </row>
    <row r="45" spans="1:14" x14ac:dyDescent="0.35">
      <c r="A45" t="s">
        <v>191</v>
      </c>
      <c r="B45" s="15"/>
      <c r="C45" s="15">
        <v>0.03</v>
      </c>
      <c r="D45" s="15">
        <v>0.02</v>
      </c>
      <c r="J45" t="s">
        <v>493</v>
      </c>
    </row>
    <row r="46" spans="1:14" x14ac:dyDescent="0.35">
      <c r="A46" t="s">
        <v>196</v>
      </c>
      <c r="C46" t="s">
        <v>194</v>
      </c>
      <c r="D46" t="s">
        <v>35</v>
      </c>
      <c r="J46" s="12">
        <f>'3 - Sales Estimate'!D44</f>
        <v>5.9000000000000012</v>
      </c>
      <c r="K46" t="s">
        <v>494</v>
      </c>
    </row>
    <row r="48" spans="1:14" x14ac:dyDescent="0.35">
      <c r="A48" t="s">
        <v>197</v>
      </c>
      <c r="B48" s="15">
        <v>0.1</v>
      </c>
      <c r="C48" s="15">
        <v>0.15</v>
      </c>
      <c r="D48" s="15">
        <v>0.2</v>
      </c>
      <c r="J48" s="44" t="s">
        <v>491</v>
      </c>
    </row>
    <row r="49" spans="1:11" x14ac:dyDescent="0.35">
      <c r="A49" t="s">
        <v>196</v>
      </c>
      <c r="B49" t="s">
        <v>195</v>
      </c>
      <c r="C49" t="s">
        <v>195</v>
      </c>
      <c r="D49" t="s">
        <v>195</v>
      </c>
    </row>
    <row r="50" spans="1:11" x14ac:dyDescent="0.35">
      <c r="J50" s="45">
        <f>N25+N28+N31</f>
        <v>284320.17021554196</v>
      </c>
      <c r="K50" t="s">
        <v>492</v>
      </c>
    </row>
    <row r="51" spans="1:11" x14ac:dyDescent="0.35">
      <c r="A51" s="44" t="s">
        <v>255</v>
      </c>
    </row>
    <row r="52" spans="1:11" x14ac:dyDescent="0.35">
      <c r="E52" s="30" t="s">
        <v>36</v>
      </c>
      <c r="J52" s="44" t="s">
        <v>500</v>
      </c>
    </row>
    <row r="53" spans="1:11" x14ac:dyDescent="0.35">
      <c r="B53" s="55" t="s">
        <v>20</v>
      </c>
      <c r="C53" s="55">
        <v>2022</v>
      </c>
      <c r="D53" s="55">
        <v>2023</v>
      </c>
      <c r="E53" s="55" t="s">
        <v>58</v>
      </c>
      <c r="J53" s="13">
        <f>J50/J46</f>
        <v>48189.859358566428</v>
      </c>
      <c r="K53" t="s">
        <v>501</v>
      </c>
    </row>
    <row r="54" spans="1:11" x14ac:dyDescent="0.35">
      <c r="C54" s="57" t="s">
        <v>254</v>
      </c>
      <c r="D54" s="30"/>
    </row>
    <row r="55" spans="1:11" x14ac:dyDescent="0.35">
      <c r="A55" t="s">
        <v>243</v>
      </c>
      <c r="B55" t="s">
        <v>35</v>
      </c>
      <c r="C55" s="56">
        <v>10000</v>
      </c>
      <c r="D55" s="56">
        <v>15000</v>
      </c>
      <c r="E55" t="s">
        <v>323</v>
      </c>
      <c r="J55" s="45">
        <f>J53*'3 - Sales Estimate'!B44</f>
        <v>496355.55139323417</v>
      </c>
      <c r="K55" t="s">
        <v>502</v>
      </c>
    </row>
    <row r="56" spans="1:11" x14ac:dyDescent="0.35">
      <c r="A56" t="s">
        <v>244</v>
      </c>
      <c r="B56" t="s">
        <v>35</v>
      </c>
      <c r="C56" s="56">
        <v>6000</v>
      </c>
      <c r="D56" s="56">
        <v>5000</v>
      </c>
      <c r="E56" t="s">
        <v>323</v>
      </c>
      <c r="J56" s="45">
        <f>J50/(('3 - Sales Estimate'!B44-'3 - Sales Estimate'!C44)/'3 - Sales Estimate'!B44)</f>
        <v>496355.55139323429</v>
      </c>
      <c r="K56" t="s">
        <v>504</v>
      </c>
    </row>
    <row r="57" spans="1:11" x14ac:dyDescent="0.35">
      <c r="A57" t="s">
        <v>265</v>
      </c>
      <c r="B57" t="s">
        <v>35</v>
      </c>
      <c r="C57" s="56">
        <v>1100</v>
      </c>
      <c r="D57" s="56">
        <v>800</v>
      </c>
      <c r="E57" t="s">
        <v>323</v>
      </c>
      <c r="F57" t="s">
        <v>325</v>
      </c>
      <c r="J57" s="13">
        <f>J55/'3 - Sales Estimate'!B44</f>
        <v>48189.859358566428</v>
      </c>
      <c r="K57" t="s">
        <v>505</v>
      </c>
    </row>
    <row r="58" spans="1:11" x14ac:dyDescent="0.35">
      <c r="A58" t="s">
        <v>256</v>
      </c>
      <c r="B58" t="s">
        <v>35</v>
      </c>
      <c r="C58" s="56">
        <v>900</v>
      </c>
      <c r="D58" s="56">
        <v>600</v>
      </c>
      <c r="E58" t="s">
        <v>323</v>
      </c>
      <c r="F58" t="s">
        <v>326</v>
      </c>
      <c r="J58" s="87" t="s">
        <v>42</v>
      </c>
    </row>
    <row r="59" spans="1:11" x14ac:dyDescent="0.35">
      <c r="A59" t="s">
        <v>246</v>
      </c>
      <c r="B59" t="s">
        <v>35</v>
      </c>
      <c r="C59" s="56">
        <v>500</v>
      </c>
      <c r="D59" s="56">
        <v>1500</v>
      </c>
      <c r="E59" t="s">
        <v>323</v>
      </c>
      <c r="F59" s="55">
        <v>2022</v>
      </c>
      <c r="G59" s="55">
        <v>2023</v>
      </c>
    </row>
    <row r="60" spans="1:11" x14ac:dyDescent="0.35">
      <c r="A60" t="s">
        <v>242</v>
      </c>
      <c r="B60" t="s">
        <v>195</v>
      </c>
      <c r="C60" s="56">
        <v>12000</v>
      </c>
      <c r="D60" s="56">
        <v>20000</v>
      </c>
      <c r="E60" t="s">
        <v>324</v>
      </c>
      <c r="F60" s="45">
        <f>C60</f>
        <v>12000</v>
      </c>
      <c r="G60" s="45">
        <f>D60</f>
        <v>20000</v>
      </c>
    </row>
    <row r="61" spans="1:11" x14ac:dyDescent="0.35">
      <c r="A61" t="s">
        <v>26</v>
      </c>
      <c r="B61" t="s">
        <v>195</v>
      </c>
      <c r="C61" s="56">
        <v>30000</v>
      </c>
      <c r="D61" s="56">
        <v>20000</v>
      </c>
      <c r="E61" t="s">
        <v>324</v>
      </c>
      <c r="F61" s="62">
        <f>C61</f>
        <v>30000</v>
      </c>
      <c r="G61" s="62">
        <f>D61</f>
        <v>20000</v>
      </c>
    </row>
    <row r="62" spans="1:11" x14ac:dyDescent="0.35">
      <c r="A62" t="s">
        <v>247</v>
      </c>
      <c r="B62" t="s">
        <v>250</v>
      </c>
      <c r="C62" s="56">
        <v>1000</v>
      </c>
      <c r="D62" s="56">
        <v>4500</v>
      </c>
      <c r="E62" t="s">
        <v>323</v>
      </c>
      <c r="F62" s="45">
        <f>SUM(F60:F61)</f>
        <v>42000</v>
      </c>
      <c r="G62" s="45">
        <f>SUM(G60:G61)</f>
        <v>40000</v>
      </c>
    </row>
    <row r="63" spans="1:11" x14ac:dyDescent="0.35">
      <c r="A63" t="s">
        <v>266</v>
      </c>
      <c r="B63" t="s">
        <v>35</v>
      </c>
      <c r="C63" s="56">
        <v>400</v>
      </c>
      <c r="D63" s="56">
        <v>800</v>
      </c>
      <c r="E63" t="s">
        <v>323</v>
      </c>
      <c r="F63">
        <v>5</v>
      </c>
      <c r="G63">
        <v>5</v>
      </c>
      <c r="H63" t="s">
        <v>327</v>
      </c>
    </row>
    <row r="64" spans="1:11" x14ac:dyDescent="0.35">
      <c r="A64" t="s">
        <v>267</v>
      </c>
      <c r="B64" t="s">
        <v>35</v>
      </c>
      <c r="C64" s="33">
        <v>600</v>
      </c>
      <c r="D64" s="33">
        <v>800</v>
      </c>
      <c r="E64" t="s">
        <v>323</v>
      </c>
      <c r="F64" s="45">
        <f>F62/F63</f>
        <v>8400</v>
      </c>
      <c r="G64" s="45">
        <f>G62/G63</f>
        <v>8000</v>
      </c>
      <c r="H64" t="s">
        <v>328</v>
      </c>
    </row>
    <row r="65" spans="1:14" x14ac:dyDescent="0.35">
      <c r="A65" t="s">
        <v>245</v>
      </c>
      <c r="B65" t="s">
        <v>195</v>
      </c>
      <c r="C65" s="33">
        <v>10000</v>
      </c>
      <c r="D65" s="33">
        <v>5000</v>
      </c>
      <c r="E65" t="s">
        <v>323</v>
      </c>
      <c r="F65" s="62">
        <f>'1 - Total Startup Costs'!E35</f>
        <v>2400</v>
      </c>
      <c r="G65" s="62">
        <f>F66</f>
        <v>10800</v>
      </c>
      <c r="H65" t="s">
        <v>394</v>
      </c>
    </row>
    <row r="66" spans="1:14" x14ac:dyDescent="0.35">
      <c r="A66" t="s">
        <v>248</v>
      </c>
      <c r="B66" t="s">
        <v>35</v>
      </c>
      <c r="C66" s="33">
        <v>2000</v>
      </c>
      <c r="D66" s="33">
        <v>1500</v>
      </c>
      <c r="E66" t="s">
        <v>323</v>
      </c>
      <c r="F66" s="45">
        <f>SUM(F64:F65)</f>
        <v>10800</v>
      </c>
      <c r="G66" s="45">
        <f>SUM(G64:G65)</f>
        <v>18800</v>
      </c>
      <c r="H66" t="s">
        <v>395</v>
      </c>
    </row>
    <row r="67" spans="1:14" x14ac:dyDescent="0.35">
      <c r="A67" t="s">
        <v>249</v>
      </c>
      <c r="B67" t="s">
        <v>250</v>
      </c>
      <c r="C67" s="33">
        <v>2000</v>
      </c>
      <c r="D67" s="33">
        <v>5000</v>
      </c>
      <c r="E67" t="s">
        <v>323</v>
      </c>
      <c r="F67">
        <v>12</v>
      </c>
      <c r="G67">
        <v>12</v>
      </c>
      <c r="H67" t="s">
        <v>329</v>
      </c>
    </row>
    <row r="68" spans="1:14" x14ac:dyDescent="0.35">
      <c r="F68" s="45">
        <f>F66/F67</f>
        <v>900</v>
      </c>
      <c r="G68" s="45">
        <f>G66/G67</f>
        <v>1566.6666666666667</v>
      </c>
      <c r="H68" t="s">
        <v>330</v>
      </c>
    </row>
    <row r="70" spans="1:14" ht="15.5" x14ac:dyDescent="0.35">
      <c r="A70" s="34" t="s">
        <v>404</v>
      </c>
    </row>
    <row r="71" spans="1:14" ht="15.5" x14ac:dyDescent="0.35">
      <c r="A71" s="34"/>
      <c r="B71" s="34" t="str">
        <f t="shared" ref="B71:M71" si="4">B7</f>
        <v>Jan</v>
      </c>
      <c r="C71" s="34" t="str">
        <f t="shared" si="4"/>
        <v>Feb</v>
      </c>
      <c r="D71" s="34" t="str">
        <f t="shared" si="4"/>
        <v>Mar</v>
      </c>
      <c r="E71" s="34" t="str">
        <f t="shared" si="4"/>
        <v>Apr</v>
      </c>
      <c r="F71" s="34" t="str">
        <f t="shared" si="4"/>
        <v>May</v>
      </c>
      <c r="G71" s="34" t="str">
        <f t="shared" si="4"/>
        <v>June</v>
      </c>
      <c r="H71" s="34" t="str">
        <f t="shared" si="4"/>
        <v>July</v>
      </c>
      <c r="I71" s="34" t="str">
        <f t="shared" si="4"/>
        <v>Aug</v>
      </c>
      <c r="J71" s="34" t="str">
        <f t="shared" si="4"/>
        <v>Sept</v>
      </c>
      <c r="K71" s="34" t="str">
        <f t="shared" si="4"/>
        <v>Oct</v>
      </c>
      <c r="L71" s="34" t="str">
        <f t="shared" si="4"/>
        <v>Nov</v>
      </c>
      <c r="M71" s="34" t="str">
        <f t="shared" si="4"/>
        <v>Dec</v>
      </c>
      <c r="N71" s="34"/>
    </row>
    <row r="72" spans="1:14" ht="15.5" x14ac:dyDescent="0.35">
      <c r="A72" s="34"/>
      <c r="B72" s="34">
        <f>Overview!$M$17</f>
        <v>2022</v>
      </c>
      <c r="C72" s="34">
        <f>Overview!$M$17</f>
        <v>2022</v>
      </c>
      <c r="D72" s="34">
        <f>Overview!$M$17</f>
        <v>2022</v>
      </c>
      <c r="E72" s="34">
        <f>Overview!$M$17</f>
        <v>2022</v>
      </c>
      <c r="F72" s="34">
        <f>Overview!$M$17</f>
        <v>2022</v>
      </c>
      <c r="G72" s="34">
        <f>Overview!$M$17</f>
        <v>2022</v>
      </c>
      <c r="H72" s="34">
        <f>Overview!$M$17</f>
        <v>2022</v>
      </c>
      <c r="I72" s="34">
        <f>Overview!$M$17</f>
        <v>2022</v>
      </c>
      <c r="J72" s="34">
        <f>Overview!$M$17</f>
        <v>2022</v>
      </c>
      <c r="K72" s="34">
        <f>Overview!$M$17</f>
        <v>2022</v>
      </c>
      <c r="L72" s="34">
        <f>Overview!$M$17</f>
        <v>2022</v>
      </c>
      <c r="M72" s="34">
        <f>Overview!$M$17</f>
        <v>2022</v>
      </c>
      <c r="N72" s="34" t="s">
        <v>176</v>
      </c>
    </row>
    <row r="74" spans="1:14" ht="15.5" x14ac:dyDescent="0.35">
      <c r="A74" s="36" t="s">
        <v>162</v>
      </c>
      <c r="B74" s="46">
        <f>M10*(E43+C45)</f>
        <v>124321</v>
      </c>
      <c r="C74" s="46">
        <f>B74*($E$43+$C$45)</f>
        <v>128050.63</v>
      </c>
      <c r="D74" s="46">
        <f>C74*($E$43+$C$45)</f>
        <v>131892.1489</v>
      </c>
      <c r="E74" s="46">
        <f t="shared" ref="E74:M74" si="5">D74*($E$43+$C$45)</f>
        <v>135848.913367</v>
      </c>
      <c r="F74" s="46">
        <f t="shared" si="5"/>
        <v>139924.38076801001</v>
      </c>
      <c r="G74" s="46">
        <f t="shared" si="5"/>
        <v>144122.11219105031</v>
      </c>
      <c r="H74" s="46">
        <f t="shared" si="5"/>
        <v>148445.77555678182</v>
      </c>
      <c r="I74" s="46">
        <f t="shared" si="5"/>
        <v>152899.14882348527</v>
      </c>
      <c r="J74" s="46">
        <f t="shared" si="5"/>
        <v>157486.12328818985</v>
      </c>
      <c r="K74" s="46">
        <f t="shared" si="5"/>
        <v>162210.70698683555</v>
      </c>
      <c r="L74" s="46">
        <f t="shared" si="5"/>
        <v>167077.02819644063</v>
      </c>
      <c r="M74" s="46">
        <f t="shared" si="5"/>
        <v>172089.33904233386</v>
      </c>
      <c r="N74" s="46">
        <f>SUM(B74:M74)</f>
        <v>1764367.3071201271</v>
      </c>
    </row>
    <row r="75" spans="1:14" ht="15.5" x14ac:dyDescent="0.35">
      <c r="A75" s="36" t="s">
        <v>160</v>
      </c>
      <c r="B75" s="47">
        <f>M11*($E$43+$C$45)</f>
        <v>51757.5</v>
      </c>
      <c r="C75" s="47">
        <f>B75*($E$43+$C$45)</f>
        <v>53310.224999999999</v>
      </c>
      <c r="D75" s="47">
        <f t="shared" ref="D75:M75" si="6">C75*($E$43+$C$45)</f>
        <v>54909.531750000002</v>
      </c>
      <c r="E75" s="47">
        <f t="shared" si="6"/>
        <v>56556.817702500004</v>
      </c>
      <c r="F75" s="47">
        <f t="shared" si="6"/>
        <v>58253.522233575008</v>
      </c>
      <c r="G75" s="47">
        <f t="shared" si="6"/>
        <v>60001.127900582258</v>
      </c>
      <c r="H75" s="47">
        <f t="shared" si="6"/>
        <v>61801.16173759973</v>
      </c>
      <c r="I75" s="47">
        <f t="shared" si="6"/>
        <v>63655.196589727726</v>
      </c>
      <c r="J75" s="47">
        <f t="shared" si="6"/>
        <v>65564.852487419557</v>
      </c>
      <c r="K75" s="47">
        <f t="shared" si="6"/>
        <v>67531.798062042144</v>
      </c>
      <c r="L75" s="47">
        <f t="shared" si="6"/>
        <v>69557.752003903413</v>
      </c>
      <c r="M75" s="47">
        <f t="shared" si="6"/>
        <v>71644.484564020517</v>
      </c>
      <c r="N75" s="47">
        <f>SUM(B75:M75)</f>
        <v>734543.97003137029</v>
      </c>
    </row>
    <row r="76" spans="1:14" ht="15.5" x14ac:dyDescent="0.35">
      <c r="A76" s="36" t="s">
        <v>161</v>
      </c>
      <c r="B76" s="45">
        <f>B74-B75</f>
        <v>72563.5</v>
      </c>
      <c r="C76" s="45">
        <f t="shared" ref="C76:K76" si="7">C74-C75</f>
        <v>74740.404999999999</v>
      </c>
      <c r="D76" s="45">
        <f t="shared" si="7"/>
        <v>76982.617150000005</v>
      </c>
      <c r="E76" s="45">
        <f t="shared" si="7"/>
        <v>79292.095664499997</v>
      </c>
      <c r="F76" s="45">
        <f t="shared" si="7"/>
        <v>81670.858534435014</v>
      </c>
      <c r="G76" s="45">
        <f t="shared" si="7"/>
        <v>84120.984290468055</v>
      </c>
      <c r="H76" s="45">
        <f t="shared" si="7"/>
        <v>86644.613819182094</v>
      </c>
      <c r="I76" s="45">
        <f t="shared" si="7"/>
        <v>89243.952233757547</v>
      </c>
      <c r="J76" s="45">
        <f t="shared" si="7"/>
        <v>91921.270800770289</v>
      </c>
      <c r="K76" s="45">
        <f t="shared" si="7"/>
        <v>94678.908924793403</v>
      </c>
      <c r="L76" s="45">
        <f>L74-L75</f>
        <v>97519.276192537218</v>
      </c>
      <c r="M76" s="45">
        <f>M74-M75</f>
        <v>100444.85447831334</v>
      </c>
      <c r="N76" s="45">
        <f>N74-N75</f>
        <v>1029823.3370887568</v>
      </c>
    </row>
    <row r="77" spans="1:14" ht="15.5" x14ac:dyDescent="0.35">
      <c r="A77" s="29"/>
    </row>
    <row r="78" spans="1:14" ht="15.5" x14ac:dyDescent="0.35">
      <c r="A78" s="35" t="s">
        <v>177</v>
      </c>
    </row>
    <row r="79" spans="1:14" ht="15.5" x14ac:dyDescent="0.35">
      <c r="A79" s="29"/>
    </row>
    <row r="80" spans="1:14" ht="15.5" x14ac:dyDescent="0.35">
      <c r="A80" s="36" t="str">
        <f>'1 - Total Startup Costs'!$A$46</f>
        <v>Labor - Payroll / Contractors</v>
      </c>
      <c r="B80" s="45">
        <f>M16+C55</f>
        <v>29206.760833333334</v>
      </c>
      <c r="C80" s="45">
        <f>B80</f>
        <v>29206.760833333334</v>
      </c>
      <c r="D80" s="45">
        <f>C80</f>
        <v>29206.760833333334</v>
      </c>
      <c r="E80" s="45">
        <f t="shared" ref="E80:M83" si="8">D80</f>
        <v>29206.760833333334</v>
      </c>
      <c r="F80" s="45">
        <f t="shared" si="8"/>
        <v>29206.760833333334</v>
      </c>
      <c r="G80" s="45">
        <f t="shared" si="8"/>
        <v>29206.760833333334</v>
      </c>
      <c r="H80" s="45">
        <f t="shared" si="8"/>
        <v>29206.760833333334</v>
      </c>
      <c r="I80" s="45">
        <f t="shared" si="8"/>
        <v>29206.760833333334</v>
      </c>
      <c r="J80" s="45">
        <f t="shared" si="8"/>
        <v>29206.760833333334</v>
      </c>
      <c r="K80" s="45">
        <f t="shared" si="8"/>
        <v>29206.760833333334</v>
      </c>
      <c r="L80" s="45">
        <f t="shared" si="8"/>
        <v>29206.760833333334</v>
      </c>
      <c r="M80" s="45">
        <f t="shared" si="8"/>
        <v>29206.760833333334</v>
      </c>
      <c r="N80" s="46">
        <f>SUM(B80:M80)</f>
        <v>350481.13000000012</v>
      </c>
    </row>
    <row r="81" spans="1:14" ht="15.5" x14ac:dyDescent="0.35">
      <c r="A81" s="36" t="str">
        <f>'1 - Total Startup Costs'!$A$47</f>
        <v>Office Rent</v>
      </c>
      <c r="B81" s="45">
        <f>M17+C56</f>
        <v>9500</v>
      </c>
      <c r="C81" s="45">
        <f>B81</f>
        <v>9500</v>
      </c>
      <c r="D81" s="45">
        <f t="shared" ref="D81:K83" si="9">C81</f>
        <v>9500</v>
      </c>
      <c r="E81" s="45">
        <f t="shared" si="9"/>
        <v>9500</v>
      </c>
      <c r="F81" s="45">
        <f t="shared" si="9"/>
        <v>9500</v>
      </c>
      <c r="G81" s="45">
        <f t="shared" si="9"/>
        <v>9500</v>
      </c>
      <c r="H81" s="45">
        <f t="shared" si="9"/>
        <v>9500</v>
      </c>
      <c r="I81" s="45">
        <f t="shared" si="9"/>
        <v>9500</v>
      </c>
      <c r="J81" s="45">
        <f t="shared" si="9"/>
        <v>9500</v>
      </c>
      <c r="K81" s="45">
        <f t="shared" si="9"/>
        <v>9500</v>
      </c>
      <c r="L81" s="45">
        <f t="shared" si="8"/>
        <v>9500</v>
      </c>
      <c r="M81" s="45">
        <f t="shared" si="8"/>
        <v>9500</v>
      </c>
      <c r="N81" s="46">
        <f t="shared" ref="N81:N90" si="10">SUM(B81:M81)</f>
        <v>114000</v>
      </c>
    </row>
    <row r="82" spans="1:14" ht="15.5" x14ac:dyDescent="0.35">
      <c r="A82" s="36" t="str">
        <f>'1 - Total Startup Costs'!$A$49</f>
        <v>Utilities - Water, Gas and Electric</v>
      </c>
      <c r="B82" s="45">
        <f>M18+C57</f>
        <v>1550</v>
      </c>
      <c r="C82" s="45">
        <f>B82</f>
        <v>1550</v>
      </c>
      <c r="D82" s="45">
        <f>C82</f>
        <v>1550</v>
      </c>
      <c r="E82" s="45">
        <f t="shared" si="9"/>
        <v>1550</v>
      </c>
      <c r="F82" s="45">
        <f t="shared" si="9"/>
        <v>1550</v>
      </c>
      <c r="G82" s="45">
        <f t="shared" si="9"/>
        <v>1550</v>
      </c>
      <c r="H82" s="45">
        <f t="shared" si="9"/>
        <v>1550</v>
      </c>
      <c r="I82" s="45">
        <f t="shared" si="9"/>
        <v>1550</v>
      </c>
      <c r="J82" s="45">
        <f t="shared" si="9"/>
        <v>1550</v>
      </c>
      <c r="K82" s="45">
        <f t="shared" si="9"/>
        <v>1550</v>
      </c>
      <c r="L82" s="45">
        <f t="shared" si="8"/>
        <v>1550</v>
      </c>
      <c r="M82" s="45">
        <f t="shared" si="8"/>
        <v>1550</v>
      </c>
      <c r="N82" s="46">
        <f t="shared" si="10"/>
        <v>18600</v>
      </c>
    </row>
    <row r="83" spans="1:14" ht="15.5" x14ac:dyDescent="0.35">
      <c r="A83" s="36" t="str">
        <f>'1 - Total Startup Costs'!$A$50</f>
        <v>Cleaning Service</v>
      </c>
      <c r="B83" s="45">
        <f>M19+C58</f>
        <v>1230</v>
      </c>
      <c r="C83" s="45">
        <f>B83</f>
        <v>1230</v>
      </c>
      <c r="D83" s="45">
        <f>C83</f>
        <v>1230</v>
      </c>
      <c r="E83" s="45">
        <f t="shared" si="9"/>
        <v>1230</v>
      </c>
      <c r="F83" s="45">
        <f t="shared" si="9"/>
        <v>1230</v>
      </c>
      <c r="G83" s="45">
        <f t="shared" si="9"/>
        <v>1230</v>
      </c>
      <c r="H83" s="45">
        <f t="shared" si="9"/>
        <v>1230</v>
      </c>
      <c r="I83" s="45">
        <f t="shared" si="9"/>
        <v>1230</v>
      </c>
      <c r="J83" s="45">
        <f t="shared" si="9"/>
        <v>1230</v>
      </c>
      <c r="K83" s="45">
        <f t="shared" ref="K83" si="11">J83</f>
        <v>1230</v>
      </c>
      <c r="L83" s="45">
        <f t="shared" si="8"/>
        <v>1230</v>
      </c>
      <c r="M83" s="45">
        <f t="shared" si="8"/>
        <v>1230</v>
      </c>
      <c r="N83" s="46">
        <f t="shared" si="10"/>
        <v>14760</v>
      </c>
    </row>
    <row r="84" spans="1:14" ht="15.5" x14ac:dyDescent="0.35">
      <c r="A84" s="36" t="str">
        <f>'1 - Total Startup Costs'!$A$51</f>
        <v xml:space="preserve">Web Site and Social Media </v>
      </c>
      <c r="B84" s="45">
        <f>M20+C59</f>
        <v>675</v>
      </c>
      <c r="C84" s="45">
        <f>B84</f>
        <v>675</v>
      </c>
      <c r="D84" s="45">
        <f>C84</f>
        <v>675</v>
      </c>
      <c r="E84" s="45">
        <f t="shared" ref="E84:M84" si="12">D84</f>
        <v>675</v>
      </c>
      <c r="F84" s="45">
        <f t="shared" si="12"/>
        <v>675</v>
      </c>
      <c r="G84" s="45">
        <f t="shared" si="12"/>
        <v>675</v>
      </c>
      <c r="H84" s="45">
        <f t="shared" si="12"/>
        <v>675</v>
      </c>
      <c r="I84" s="45">
        <f t="shared" si="12"/>
        <v>675</v>
      </c>
      <c r="J84" s="45">
        <f t="shared" si="12"/>
        <v>675</v>
      </c>
      <c r="K84" s="45">
        <f t="shared" si="12"/>
        <v>675</v>
      </c>
      <c r="L84" s="45">
        <f t="shared" si="12"/>
        <v>675</v>
      </c>
      <c r="M84" s="45">
        <f t="shared" si="12"/>
        <v>675</v>
      </c>
      <c r="N84" s="46">
        <f t="shared" si="10"/>
        <v>8100</v>
      </c>
    </row>
    <row r="85" spans="1:14" ht="15.5" x14ac:dyDescent="0.35">
      <c r="A85" s="36" t="str">
        <f>'1 - Total Startup Costs'!$A$52</f>
        <v xml:space="preserve">Business Insurance - annual </v>
      </c>
      <c r="B85" s="45">
        <f>B21</f>
        <v>790</v>
      </c>
      <c r="C85" s="45">
        <v>0</v>
      </c>
      <c r="D85" s="45">
        <f>C85</f>
        <v>0</v>
      </c>
      <c r="E85" s="45">
        <f t="shared" ref="E85:M85" si="13">D85</f>
        <v>0</v>
      </c>
      <c r="F85" s="45">
        <f t="shared" si="13"/>
        <v>0</v>
      </c>
      <c r="G85" s="45">
        <f t="shared" si="13"/>
        <v>0</v>
      </c>
      <c r="H85" s="45">
        <f t="shared" si="13"/>
        <v>0</v>
      </c>
      <c r="I85" s="45">
        <f t="shared" si="13"/>
        <v>0</v>
      </c>
      <c r="J85" s="45">
        <f t="shared" si="13"/>
        <v>0</v>
      </c>
      <c r="K85" s="45">
        <f t="shared" si="13"/>
        <v>0</v>
      </c>
      <c r="L85" s="45">
        <f t="shared" si="13"/>
        <v>0</v>
      </c>
      <c r="M85" s="45">
        <f t="shared" si="13"/>
        <v>0</v>
      </c>
      <c r="N85" s="46">
        <f t="shared" si="10"/>
        <v>790</v>
      </c>
    </row>
    <row r="86" spans="1:14" ht="15.5" x14ac:dyDescent="0.35">
      <c r="A86" s="36" t="str">
        <f>'1 - Total Startup Costs'!$A$53</f>
        <v>Vehicle Insurance - every 6 months</v>
      </c>
      <c r="B86" s="45">
        <f>B22+C62</f>
        <v>1650</v>
      </c>
      <c r="C86" s="45">
        <v>0</v>
      </c>
      <c r="D86" s="45">
        <f>C86</f>
        <v>0</v>
      </c>
      <c r="E86" s="45">
        <f t="shared" ref="E86:G91" si="14">D86</f>
        <v>0</v>
      </c>
      <c r="F86" s="45">
        <f t="shared" si="14"/>
        <v>0</v>
      </c>
      <c r="G86" s="45">
        <f t="shared" si="14"/>
        <v>0</v>
      </c>
      <c r="H86" s="45">
        <f>B86</f>
        <v>1650</v>
      </c>
      <c r="I86" s="45">
        <v>0</v>
      </c>
      <c r="J86" s="45">
        <f>I86</f>
        <v>0</v>
      </c>
      <c r="K86" s="45">
        <f t="shared" ref="K86:M88" si="15">J86</f>
        <v>0</v>
      </c>
      <c r="L86" s="45">
        <f t="shared" si="15"/>
        <v>0</v>
      </c>
      <c r="M86" s="45">
        <f t="shared" si="15"/>
        <v>0</v>
      </c>
      <c r="N86" s="46">
        <f t="shared" si="10"/>
        <v>3300</v>
      </c>
    </row>
    <row r="87" spans="1:14" ht="15.5" x14ac:dyDescent="0.35">
      <c r="A87" s="36" t="str">
        <f>'1 - Total Startup Costs'!$A$54</f>
        <v>Outside Legal Support</v>
      </c>
      <c r="B87" s="45">
        <f>M23+C63</f>
        <v>535</v>
      </c>
      <c r="C87" s="45">
        <f>B87</f>
        <v>535</v>
      </c>
      <c r="D87" s="45">
        <f t="shared" ref="D87" si="16">C87</f>
        <v>535</v>
      </c>
      <c r="E87" s="45">
        <f t="shared" si="14"/>
        <v>535</v>
      </c>
      <c r="F87" s="45">
        <f t="shared" si="14"/>
        <v>535</v>
      </c>
      <c r="G87" s="45">
        <f t="shared" si="14"/>
        <v>535</v>
      </c>
      <c r="H87" s="45">
        <f t="shared" ref="H87:J88" si="17">G87</f>
        <v>535</v>
      </c>
      <c r="I87" s="45">
        <f t="shared" si="17"/>
        <v>535</v>
      </c>
      <c r="J87" s="45">
        <f t="shared" si="17"/>
        <v>535</v>
      </c>
      <c r="K87" s="45">
        <f t="shared" si="15"/>
        <v>535</v>
      </c>
      <c r="L87" s="45">
        <f t="shared" ref="L87:L90" si="18">K87</f>
        <v>535</v>
      </c>
      <c r="M87" s="45">
        <f t="shared" ref="M87:M90" si="19">L87</f>
        <v>535</v>
      </c>
      <c r="N87" s="46">
        <f t="shared" si="10"/>
        <v>6420</v>
      </c>
    </row>
    <row r="88" spans="1:14" ht="15.5" x14ac:dyDescent="0.35">
      <c r="A88" s="36" t="str">
        <f>'1 - Total Startup Costs'!$A$55</f>
        <v>CPA / Tax Support</v>
      </c>
      <c r="B88" s="45">
        <f>M24+C64</f>
        <v>775</v>
      </c>
      <c r="C88" s="45">
        <f>B88</f>
        <v>775</v>
      </c>
      <c r="D88" s="45">
        <f t="shared" ref="D88" si="20">C88</f>
        <v>775</v>
      </c>
      <c r="E88" s="45">
        <f t="shared" si="14"/>
        <v>775</v>
      </c>
      <c r="F88" s="45">
        <f t="shared" si="14"/>
        <v>775</v>
      </c>
      <c r="G88" s="45">
        <f t="shared" ref="G88" si="21">F88</f>
        <v>775</v>
      </c>
      <c r="H88" s="45">
        <f t="shared" si="17"/>
        <v>775</v>
      </c>
      <c r="I88" s="45">
        <f t="shared" si="17"/>
        <v>775</v>
      </c>
      <c r="J88" s="45">
        <f t="shared" si="17"/>
        <v>775</v>
      </c>
      <c r="K88" s="45">
        <f t="shared" si="15"/>
        <v>775</v>
      </c>
      <c r="L88" s="45">
        <f t="shared" si="18"/>
        <v>775</v>
      </c>
      <c r="M88" s="45">
        <f t="shared" si="19"/>
        <v>775</v>
      </c>
      <c r="N88" s="46">
        <f t="shared" si="10"/>
        <v>9300</v>
      </c>
    </row>
    <row r="89" spans="1:14" ht="15.5" x14ac:dyDescent="0.35">
      <c r="A89" s="36" t="str">
        <f>A65</f>
        <v>New Software Systems</v>
      </c>
      <c r="B89" s="45">
        <f>C65</f>
        <v>10000</v>
      </c>
      <c r="C89" s="45">
        <v>0</v>
      </c>
      <c r="D89" s="45">
        <f>C89</f>
        <v>0</v>
      </c>
      <c r="E89" s="45">
        <f t="shared" si="14"/>
        <v>0</v>
      </c>
      <c r="F89" s="45">
        <f t="shared" si="14"/>
        <v>0</v>
      </c>
      <c r="G89" s="45">
        <f t="shared" ref="G89" si="22">F89</f>
        <v>0</v>
      </c>
      <c r="H89" s="45">
        <f t="shared" ref="H89:H90" si="23">G89</f>
        <v>0</v>
      </c>
      <c r="I89" s="45">
        <f t="shared" ref="I89:I90" si="24">H89</f>
        <v>0</v>
      </c>
      <c r="J89" s="45">
        <f t="shared" ref="J89:J90" si="25">I89</f>
        <v>0</v>
      </c>
      <c r="K89" s="45">
        <f t="shared" ref="K89:K90" si="26">J89</f>
        <v>0</v>
      </c>
      <c r="L89" s="45">
        <f t="shared" si="18"/>
        <v>0</v>
      </c>
      <c r="M89" s="45">
        <f t="shared" si="19"/>
        <v>0</v>
      </c>
      <c r="N89" s="46">
        <f t="shared" si="10"/>
        <v>10000</v>
      </c>
    </row>
    <row r="90" spans="1:14" ht="15.5" x14ac:dyDescent="0.35">
      <c r="A90" s="36" t="str">
        <f>A66</f>
        <v>New Marketing Programs</v>
      </c>
      <c r="B90" s="45">
        <v>0</v>
      </c>
      <c r="C90" s="45">
        <v>0</v>
      </c>
      <c r="D90" s="45">
        <v>0</v>
      </c>
      <c r="E90" s="45">
        <f t="shared" si="14"/>
        <v>0</v>
      </c>
      <c r="F90" s="45">
        <f t="shared" si="14"/>
        <v>0</v>
      </c>
      <c r="G90" s="45">
        <f>C66</f>
        <v>2000</v>
      </c>
      <c r="H90" s="45">
        <f t="shared" si="23"/>
        <v>2000</v>
      </c>
      <c r="I90" s="45">
        <f t="shared" si="24"/>
        <v>2000</v>
      </c>
      <c r="J90" s="45">
        <f t="shared" si="25"/>
        <v>2000</v>
      </c>
      <c r="K90" s="45">
        <f t="shared" si="26"/>
        <v>2000</v>
      </c>
      <c r="L90" s="45">
        <f t="shared" si="18"/>
        <v>2000</v>
      </c>
      <c r="M90" s="45">
        <f t="shared" si="19"/>
        <v>2000</v>
      </c>
      <c r="N90" s="46">
        <f t="shared" si="10"/>
        <v>14000</v>
      </c>
    </row>
    <row r="91" spans="1:14" x14ac:dyDescent="0.35">
      <c r="A91" s="11" t="str">
        <f>A67</f>
        <v>New Product Development</v>
      </c>
      <c r="B91" s="59">
        <v>0</v>
      </c>
      <c r="C91" s="59">
        <f>B91</f>
        <v>0</v>
      </c>
      <c r="D91" s="59">
        <v>0</v>
      </c>
      <c r="E91" s="59">
        <v>0</v>
      </c>
      <c r="F91" s="59">
        <f t="shared" si="14"/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>
        <v>0</v>
      </c>
      <c r="M91" s="59">
        <v>0</v>
      </c>
      <c r="N91" s="60">
        <f>SUM(B91:M91)</f>
        <v>0</v>
      </c>
    </row>
    <row r="92" spans="1:14" ht="15.5" x14ac:dyDescent="0.35">
      <c r="A92" s="39" t="s">
        <v>178</v>
      </c>
      <c r="B92" s="45">
        <f>SUM(B80:B91)</f>
        <v>55911.760833333334</v>
      </c>
      <c r="C92" s="45">
        <f t="shared" ref="C92:N92" si="27">SUM(C80:C91)</f>
        <v>43471.760833333334</v>
      </c>
      <c r="D92" s="45">
        <f t="shared" si="27"/>
        <v>43471.760833333334</v>
      </c>
      <c r="E92" s="45">
        <f t="shared" si="27"/>
        <v>43471.760833333334</v>
      </c>
      <c r="F92" s="45">
        <f t="shared" si="27"/>
        <v>43471.760833333334</v>
      </c>
      <c r="G92" s="45">
        <f t="shared" si="27"/>
        <v>45471.760833333334</v>
      </c>
      <c r="H92" s="45">
        <f t="shared" si="27"/>
        <v>47121.760833333334</v>
      </c>
      <c r="I92" s="45">
        <f t="shared" si="27"/>
        <v>45471.760833333334</v>
      </c>
      <c r="J92" s="45">
        <f t="shared" si="27"/>
        <v>45471.760833333334</v>
      </c>
      <c r="K92" s="45">
        <f t="shared" si="27"/>
        <v>45471.760833333334</v>
      </c>
      <c r="L92" s="45">
        <f t="shared" si="27"/>
        <v>45471.760833333334</v>
      </c>
      <c r="M92" s="45">
        <f t="shared" si="27"/>
        <v>45471.760833333334</v>
      </c>
      <c r="N92" s="40">
        <f t="shared" si="27"/>
        <v>549751.13000000012</v>
      </c>
    </row>
    <row r="93" spans="1:14" ht="15.5" x14ac:dyDescent="0.35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</row>
    <row r="94" spans="1:14" ht="15.5" x14ac:dyDescent="0.35">
      <c r="A94" s="35" t="s">
        <v>288</v>
      </c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1:14" ht="15.5" x14ac:dyDescent="0.35">
      <c r="A95" s="71" t="s">
        <v>287</v>
      </c>
      <c r="B95" s="32">
        <f>'6 - Loan Schedule'!E31</f>
        <v>270.44738544097743</v>
      </c>
      <c r="C95" s="32">
        <f>'6 - Loan Schedule'!E32</f>
        <v>265.67698903322815</v>
      </c>
      <c r="D95" s="32">
        <f>'6 - Loan Schedule'!$E33</f>
        <v>260.88671597377981</v>
      </c>
      <c r="E95" s="32">
        <f>'6 - Loan Schedule'!$E34</f>
        <v>256.07648344325048</v>
      </c>
      <c r="F95" s="32">
        <f>'6 - Loan Schedule'!$E35</f>
        <v>251.24620827717726</v>
      </c>
      <c r="G95" s="32">
        <f>'6 - Loan Schedule'!$E36</f>
        <v>246.39580696457878</v>
      </c>
      <c r="H95" s="32">
        <f>'6 - Loan Schedule'!$E37</f>
        <v>241.52519564651107</v>
      </c>
      <c r="I95" s="32">
        <f>'6 - Loan Schedule'!$E38</f>
        <v>236.63429011461812</v>
      </c>
      <c r="J95" s="32">
        <f>'6 - Loan Schedule'!$E39</f>
        <v>231.72300580967564</v>
      </c>
      <c r="K95" s="32">
        <f>'6 - Loan Schedule'!$E40</f>
        <v>226.79125782012918</v>
      </c>
      <c r="L95" s="32">
        <f>'6 - Loan Schedule'!$E41</f>
        <v>221.83896088062636</v>
      </c>
      <c r="M95" s="32">
        <f>'6 - Loan Schedule'!$E42</f>
        <v>216.86602937054215</v>
      </c>
      <c r="N95" s="32">
        <f>SUM(B95:M95)</f>
        <v>2926.1083287750939</v>
      </c>
    </row>
    <row r="97" spans="1:14" ht="15.5" x14ac:dyDescent="0.35">
      <c r="A97" s="35" t="s">
        <v>286</v>
      </c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</row>
    <row r="98" spans="1:14" ht="15.5" x14ac:dyDescent="0.35">
      <c r="A98" s="36" t="s">
        <v>203</v>
      </c>
      <c r="B98" s="32">
        <f>F68</f>
        <v>900</v>
      </c>
      <c r="C98" s="32">
        <f>B98</f>
        <v>900</v>
      </c>
      <c r="D98" s="32">
        <f t="shared" ref="D98:M98" si="28">C98</f>
        <v>900</v>
      </c>
      <c r="E98" s="32">
        <f t="shared" si="28"/>
        <v>900</v>
      </c>
      <c r="F98" s="32">
        <f t="shared" si="28"/>
        <v>900</v>
      </c>
      <c r="G98" s="32">
        <f t="shared" si="28"/>
        <v>900</v>
      </c>
      <c r="H98" s="32">
        <f t="shared" si="28"/>
        <v>900</v>
      </c>
      <c r="I98" s="32">
        <f t="shared" si="28"/>
        <v>900</v>
      </c>
      <c r="J98" s="32">
        <f t="shared" si="28"/>
        <v>900</v>
      </c>
      <c r="K98" s="32">
        <f t="shared" si="28"/>
        <v>900</v>
      </c>
      <c r="L98" s="32">
        <f t="shared" si="28"/>
        <v>900</v>
      </c>
      <c r="M98" s="32">
        <f t="shared" si="28"/>
        <v>900</v>
      </c>
      <c r="N98" s="32">
        <f>SUM(B98:M98)</f>
        <v>10800</v>
      </c>
    </row>
    <row r="100" spans="1:14" ht="15" thickBot="1" x14ac:dyDescent="0.4">
      <c r="A100" s="11" t="s">
        <v>189</v>
      </c>
      <c r="B100" s="58">
        <f>B76-B92-B95-B98</f>
        <v>15481.291781225689</v>
      </c>
      <c r="C100" s="58">
        <f t="shared" ref="C100:N100" si="29">C76-C92-C95-C98</f>
        <v>30102.967177633436</v>
      </c>
      <c r="D100" s="58">
        <f t="shared" si="29"/>
        <v>32349.969600692893</v>
      </c>
      <c r="E100" s="58">
        <f t="shared" si="29"/>
        <v>34664.258347723415</v>
      </c>
      <c r="F100" s="58">
        <f t="shared" si="29"/>
        <v>37047.851492824506</v>
      </c>
      <c r="G100" s="58">
        <f t="shared" si="29"/>
        <v>37502.82765017014</v>
      </c>
      <c r="H100" s="58">
        <f t="shared" si="29"/>
        <v>38381.327790202246</v>
      </c>
      <c r="I100" s="58">
        <f t="shared" si="29"/>
        <v>42635.557110309594</v>
      </c>
      <c r="J100" s="58">
        <f t="shared" si="29"/>
        <v>45317.78696162728</v>
      </c>
      <c r="K100" s="58">
        <f t="shared" si="29"/>
        <v>48080.35683363994</v>
      </c>
      <c r="L100" s="58">
        <f t="shared" si="29"/>
        <v>50925.676398323259</v>
      </c>
      <c r="M100" s="58">
        <f t="shared" si="29"/>
        <v>53856.227615609467</v>
      </c>
      <c r="N100" s="58">
        <f t="shared" si="29"/>
        <v>466346.09875998163</v>
      </c>
    </row>
    <row r="101" spans="1:14" ht="15" thickTop="1" x14ac:dyDescent="0.35">
      <c r="A101" s="1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</row>
    <row r="103" spans="1:14" ht="15.5" x14ac:dyDescent="0.35">
      <c r="A103" s="34" t="s">
        <v>405</v>
      </c>
    </row>
    <row r="104" spans="1:14" ht="15.5" x14ac:dyDescent="0.35">
      <c r="A104" s="34"/>
      <c r="B104" s="34" t="str">
        <f t="shared" ref="B104:M104" si="30">B7</f>
        <v>Jan</v>
      </c>
      <c r="C104" s="34" t="str">
        <f t="shared" si="30"/>
        <v>Feb</v>
      </c>
      <c r="D104" s="34" t="str">
        <f t="shared" si="30"/>
        <v>Mar</v>
      </c>
      <c r="E104" s="34" t="str">
        <f t="shared" si="30"/>
        <v>Apr</v>
      </c>
      <c r="F104" s="34" t="str">
        <f t="shared" si="30"/>
        <v>May</v>
      </c>
      <c r="G104" s="34" t="str">
        <f t="shared" si="30"/>
        <v>June</v>
      </c>
      <c r="H104" s="34" t="str">
        <f t="shared" si="30"/>
        <v>July</v>
      </c>
      <c r="I104" s="34" t="str">
        <f t="shared" si="30"/>
        <v>Aug</v>
      </c>
      <c r="J104" s="34" t="str">
        <f t="shared" si="30"/>
        <v>Sept</v>
      </c>
      <c r="K104" s="34" t="str">
        <f t="shared" si="30"/>
        <v>Oct</v>
      </c>
      <c r="L104" s="34" t="str">
        <f t="shared" si="30"/>
        <v>Nov</v>
      </c>
      <c r="M104" s="34" t="str">
        <f t="shared" si="30"/>
        <v>Dec</v>
      </c>
      <c r="N104" s="34"/>
    </row>
    <row r="105" spans="1:14" ht="15.5" x14ac:dyDescent="0.35">
      <c r="A105" s="34"/>
      <c r="B105" s="34">
        <f>Overview!$M$18</f>
        <v>2023</v>
      </c>
      <c r="C105" s="34">
        <f>Overview!$M$18</f>
        <v>2023</v>
      </c>
      <c r="D105" s="34">
        <f>Overview!$M$18</f>
        <v>2023</v>
      </c>
      <c r="E105" s="34">
        <f>Overview!$M$18</f>
        <v>2023</v>
      </c>
      <c r="F105" s="34">
        <f>Overview!$M$18</f>
        <v>2023</v>
      </c>
      <c r="G105" s="34">
        <f>Overview!$M$18</f>
        <v>2023</v>
      </c>
      <c r="H105" s="34">
        <f>Overview!$M$18</f>
        <v>2023</v>
      </c>
      <c r="I105" s="34">
        <f>Overview!$M$18</f>
        <v>2023</v>
      </c>
      <c r="J105" s="34">
        <f>Overview!$M$18</f>
        <v>2023</v>
      </c>
      <c r="K105" s="34">
        <f>Overview!$M$18</f>
        <v>2023</v>
      </c>
      <c r="L105" s="34">
        <f>Overview!$M$18</f>
        <v>2023</v>
      </c>
      <c r="M105" s="34">
        <f>Overview!$M$18</f>
        <v>2023</v>
      </c>
      <c r="N105" s="34" t="s">
        <v>176</v>
      </c>
    </row>
    <row r="107" spans="1:14" ht="15.5" x14ac:dyDescent="0.35">
      <c r="A107" s="36" t="s">
        <v>162</v>
      </c>
      <c r="B107" s="46">
        <f>M74*(E43+D45)</f>
        <v>175531.12582318054</v>
      </c>
      <c r="C107" s="46">
        <f>B107*($E$43+$D$45)</f>
        <v>179041.74833964417</v>
      </c>
      <c r="D107" s="46">
        <f t="shared" ref="D107:M107" si="31">C107*($E$43+$D$45)</f>
        <v>182622.58330643707</v>
      </c>
      <c r="E107" s="46">
        <f t="shared" si="31"/>
        <v>186275.0349725658</v>
      </c>
      <c r="F107" s="46">
        <f t="shared" si="31"/>
        <v>190000.53567201711</v>
      </c>
      <c r="G107" s="46">
        <f t="shared" si="31"/>
        <v>193800.54638545745</v>
      </c>
      <c r="H107" s="46">
        <f t="shared" si="31"/>
        <v>197676.55731316659</v>
      </c>
      <c r="I107" s="46">
        <f t="shared" si="31"/>
        <v>201630.08845942991</v>
      </c>
      <c r="J107" s="46">
        <f t="shared" si="31"/>
        <v>205662.69022861851</v>
      </c>
      <c r="K107" s="46">
        <f t="shared" si="31"/>
        <v>209775.94403319087</v>
      </c>
      <c r="L107" s="46">
        <f t="shared" si="31"/>
        <v>213971.46291385469</v>
      </c>
      <c r="M107" s="46">
        <f t="shared" si="31"/>
        <v>218250.89217213177</v>
      </c>
      <c r="N107" s="46">
        <f>SUM(B107:M107)</f>
        <v>2354239.2096196939</v>
      </c>
    </row>
    <row r="108" spans="1:14" ht="15.5" x14ac:dyDescent="0.35">
      <c r="A108" s="36" t="s">
        <v>160</v>
      </c>
      <c r="B108" s="47">
        <f>M75*(E43+D45)</f>
        <v>73077.374255300922</v>
      </c>
      <c r="C108" s="47">
        <f>B108*($E$43+$D$45)</f>
        <v>74538.921740406935</v>
      </c>
      <c r="D108" s="47">
        <f t="shared" ref="D108:M108" si="32">C108*($E$43+$D$45)</f>
        <v>76029.700175215068</v>
      </c>
      <c r="E108" s="47">
        <f t="shared" si="32"/>
        <v>77550.29417871937</v>
      </c>
      <c r="F108" s="47">
        <f t="shared" si="32"/>
        <v>79101.300062293754</v>
      </c>
      <c r="G108" s="47">
        <f t="shared" si="32"/>
        <v>80683.326063539629</v>
      </c>
      <c r="H108" s="47">
        <f t="shared" si="32"/>
        <v>82296.992584810418</v>
      </c>
      <c r="I108" s="47">
        <f t="shared" si="32"/>
        <v>83942.932436506628</v>
      </c>
      <c r="J108" s="47">
        <f t="shared" si="32"/>
        <v>85621.791085236764</v>
      </c>
      <c r="K108" s="47">
        <f t="shared" si="32"/>
        <v>87334.226906941505</v>
      </c>
      <c r="L108" s="47">
        <f t="shared" si="32"/>
        <v>89080.911445080332</v>
      </c>
      <c r="M108" s="47">
        <f t="shared" si="32"/>
        <v>90862.529673981946</v>
      </c>
      <c r="N108" s="47">
        <f>SUM(B108:M108)</f>
        <v>980120.30060803331</v>
      </c>
    </row>
    <row r="109" spans="1:14" ht="15.5" x14ac:dyDescent="0.35">
      <c r="A109" s="36" t="s">
        <v>161</v>
      </c>
      <c r="B109" s="45">
        <f>B107-B108</f>
        <v>102453.75156787962</v>
      </c>
      <c r="C109" s="45">
        <f t="shared" ref="C109:K109" si="33">C107-C108</f>
        <v>104502.82659923723</v>
      </c>
      <c r="D109" s="45">
        <f t="shared" si="33"/>
        <v>106592.883131222</v>
      </c>
      <c r="E109" s="45">
        <f t="shared" si="33"/>
        <v>108724.74079384643</v>
      </c>
      <c r="F109" s="45">
        <f t="shared" si="33"/>
        <v>110899.23560972336</v>
      </c>
      <c r="G109" s="45">
        <f t="shared" si="33"/>
        <v>113117.22032191782</v>
      </c>
      <c r="H109" s="45">
        <f t="shared" si="33"/>
        <v>115379.56472835617</v>
      </c>
      <c r="I109" s="45">
        <f t="shared" si="33"/>
        <v>117687.15602292329</v>
      </c>
      <c r="J109" s="45">
        <f t="shared" si="33"/>
        <v>120040.89914338174</v>
      </c>
      <c r="K109" s="45">
        <f t="shared" si="33"/>
        <v>122441.71712624936</v>
      </c>
      <c r="L109" s="45">
        <f>L107-L108</f>
        <v>124890.55146877436</v>
      </c>
      <c r="M109" s="45">
        <f>M107-M108</f>
        <v>127388.36249814983</v>
      </c>
      <c r="N109" s="45">
        <f>N107-N108</f>
        <v>1374118.9090116606</v>
      </c>
    </row>
    <row r="110" spans="1:14" ht="15.5" x14ac:dyDescent="0.35">
      <c r="A110" s="29"/>
    </row>
    <row r="111" spans="1:14" ht="15.5" x14ac:dyDescent="0.35">
      <c r="A111" s="35" t="s">
        <v>177</v>
      </c>
    </row>
    <row r="112" spans="1:14" ht="15.5" x14ac:dyDescent="0.35">
      <c r="A112" s="29"/>
    </row>
    <row r="113" spans="1:14" ht="15.5" x14ac:dyDescent="0.35">
      <c r="A113" s="36" t="str">
        <f>'1 - Total Startup Costs'!$A$46</f>
        <v>Labor - Payroll / Contractors</v>
      </c>
      <c r="B113" s="45">
        <f>M80+D55</f>
        <v>44206.760833333334</v>
      </c>
      <c r="C113" s="45">
        <f>B113</f>
        <v>44206.760833333334</v>
      </c>
      <c r="D113" s="45">
        <f>C113</f>
        <v>44206.760833333334</v>
      </c>
      <c r="E113" s="45">
        <f t="shared" ref="E113:E122" si="34">D113</f>
        <v>44206.760833333334</v>
      </c>
      <c r="F113" s="45">
        <f t="shared" ref="F113:F122" si="35">E113</f>
        <v>44206.760833333334</v>
      </c>
      <c r="G113" s="45">
        <f t="shared" ref="G113:J122" si="36">F113</f>
        <v>44206.760833333334</v>
      </c>
      <c r="H113" s="45">
        <f t="shared" ref="H113:H118" si="37">G113</f>
        <v>44206.760833333334</v>
      </c>
      <c r="I113" s="45">
        <f t="shared" ref="I113:I118" si="38">H113</f>
        <v>44206.760833333334</v>
      </c>
      <c r="J113" s="45">
        <f t="shared" ref="J113:J118" si="39">I113</f>
        <v>44206.760833333334</v>
      </c>
      <c r="K113" s="45">
        <f t="shared" ref="K113:K122" si="40">J113</f>
        <v>44206.760833333334</v>
      </c>
      <c r="L113" s="45">
        <f t="shared" ref="L113:L122" si="41">K113</f>
        <v>44206.760833333334</v>
      </c>
      <c r="M113" s="45">
        <f t="shared" ref="M113:M122" si="42">L113</f>
        <v>44206.760833333334</v>
      </c>
      <c r="N113" s="46">
        <f>SUM(B113:M113)</f>
        <v>530481.13000000012</v>
      </c>
    </row>
    <row r="114" spans="1:14" ht="15.5" x14ac:dyDescent="0.35">
      <c r="A114" s="36" t="str">
        <f>'1 - Total Startup Costs'!$A$47</f>
        <v>Office Rent</v>
      </c>
      <c r="B114" s="45">
        <f>M81+D56</f>
        <v>14500</v>
      </c>
      <c r="C114" s="45">
        <f>B114</f>
        <v>14500</v>
      </c>
      <c r="D114" s="45">
        <f t="shared" ref="D114" si="43">C114</f>
        <v>14500</v>
      </c>
      <c r="E114" s="45">
        <f t="shared" si="34"/>
        <v>14500</v>
      </c>
      <c r="F114" s="45">
        <f t="shared" si="35"/>
        <v>14500</v>
      </c>
      <c r="G114" s="45">
        <f t="shared" si="36"/>
        <v>14500</v>
      </c>
      <c r="H114" s="45">
        <f t="shared" si="37"/>
        <v>14500</v>
      </c>
      <c r="I114" s="45">
        <f t="shared" si="38"/>
        <v>14500</v>
      </c>
      <c r="J114" s="45">
        <f t="shared" si="39"/>
        <v>14500</v>
      </c>
      <c r="K114" s="45">
        <f t="shared" si="40"/>
        <v>14500</v>
      </c>
      <c r="L114" s="45">
        <f t="shared" si="41"/>
        <v>14500</v>
      </c>
      <c r="M114" s="45">
        <f t="shared" si="42"/>
        <v>14500</v>
      </c>
      <c r="N114" s="46">
        <f t="shared" ref="N114:N122" si="44">SUM(B114:M114)</f>
        <v>174000</v>
      </c>
    </row>
    <row r="115" spans="1:14" ht="15.5" x14ac:dyDescent="0.35">
      <c r="A115" s="36" t="str">
        <f>'1 - Total Startup Costs'!$A$49</f>
        <v>Utilities - Water, Gas and Electric</v>
      </c>
      <c r="B115" s="45">
        <f>M82+D57</f>
        <v>2350</v>
      </c>
      <c r="C115" s="45">
        <f>B115</f>
        <v>2350</v>
      </c>
      <c r="D115" s="45">
        <f>C115</f>
        <v>2350</v>
      </c>
      <c r="E115" s="45">
        <f t="shared" si="34"/>
        <v>2350</v>
      </c>
      <c r="F115" s="45">
        <f t="shared" si="35"/>
        <v>2350</v>
      </c>
      <c r="G115" s="45">
        <f t="shared" si="36"/>
        <v>2350</v>
      </c>
      <c r="H115" s="45">
        <f t="shared" si="37"/>
        <v>2350</v>
      </c>
      <c r="I115" s="45">
        <f t="shared" si="38"/>
        <v>2350</v>
      </c>
      <c r="J115" s="45">
        <f t="shared" si="39"/>
        <v>2350</v>
      </c>
      <c r="K115" s="45">
        <f t="shared" si="40"/>
        <v>2350</v>
      </c>
      <c r="L115" s="45">
        <f t="shared" si="41"/>
        <v>2350</v>
      </c>
      <c r="M115" s="45">
        <f t="shared" si="42"/>
        <v>2350</v>
      </c>
      <c r="N115" s="46">
        <f t="shared" si="44"/>
        <v>28200</v>
      </c>
    </row>
    <row r="116" spans="1:14" ht="15.5" x14ac:dyDescent="0.35">
      <c r="A116" s="36" t="str">
        <f>'1 - Total Startup Costs'!$A$50</f>
        <v>Cleaning Service</v>
      </c>
      <c r="B116" s="45">
        <f>M83+D58</f>
        <v>1830</v>
      </c>
      <c r="C116" s="45">
        <f>B116</f>
        <v>1830</v>
      </c>
      <c r="D116" s="45">
        <f>C116</f>
        <v>1830</v>
      </c>
      <c r="E116" s="45">
        <f t="shared" si="34"/>
        <v>1830</v>
      </c>
      <c r="F116" s="45">
        <f t="shared" si="35"/>
        <v>1830</v>
      </c>
      <c r="G116" s="45">
        <f t="shared" si="36"/>
        <v>1830</v>
      </c>
      <c r="H116" s="45">
        <f t="shared" si="37"/>
        <v>1830</v>
      </c>
      <c r="I116" s="45">
        <f t="shared" si="38"/>
        <v>1830</v>
      </c>
      <c r="J116" s="45">
        <f t="shared" si="39"/>
        <v>1830</v>
      </c>
      <c r="K116" s="45">
        <f t="shared" si="40"/>
        <v>1830</v>
      </c>
      <c r="L116" s="45">
        <f t="shared" si="41"/>
        <v>1830</v>
      </c>
      <c r="M116" s="45">
        <f t="shared" si="42"/>
        <v>1830</v>
      </c>
      <c r="N116" s="46">
        <f t="shared" si="44"/>
        <v>21960</v>
      </c>
    </row>
    <row r="117" spans="1:14" ht="15.5" x14ac:dyDescent="0.35">
      <c r="A117" s="36" t="str">
        <f>'1 - Total Startup Costs'!$A$51</f>
        <v xml:space="preserve">Web Site and Social Media </v>
      </c>
      <c r="B117" s="45">
        <f>M84</f>
        <v>675</v>
      </c>
      <c r="C117" s="45">
        <f>B117</f>
        <v>675</v>
      </c>
      <c r="D117" s="45">
        <f>C117</f>
        <v>675</v>
      </c>
      <c r="E117" s="45">
        <f t="shared" si="34"/>
        <v>675</v>
      </c>
      <c r="F117" s="45">
        <f t="shared" si="35"/>
        <v>675</v>
      </c>
      <c r="G117" s="45">
        <f t="shared" si="36"/>
        <v>675</v>
      </c>
      <c r="H117" s="45">
        <f t="shared" si="37"/>
        <v>675</v>
      </c>
      <c r="I117" s="45">
        <f t="shared" si="38"/>
        <v>675</v>
      </c>
      <c r="J117" s="45">
        <f t="shared" si="39"/>
        <v>675</v>
      </c>
      <c r="K117" s="45">
        <f t="shared" si="40"/>
        <v>675</v>
      </c>
      <c r="L117" s="45">
        <f t="shared" si="41"/>
        <v>675</v>
      </c>
      <c r="M117" s="45">
        <f t="shared" si="42"/>
        <v>675</v>
      </c>
      <c r="N117" s="46">
        <f t="shared" si="44"/>
        <v>8100</v>
      </c>
    </row>
    <row r="118" spans="1:14" ht="15.5" x14ac:dyDescent="0.35">
      <c r="A118" s="36" t="str">
        <f>'1 - Total Startup Costs'!$A$52</f>
        <v xml:space="preserve">Business Insurance - annual </v>
      </c>
      <c r="B118" s="45">
        <f>B85</f>
        <v>790</v>
      </c>
      <c r="C118" s="45">
        <v>0</v>
      </c>
      <c r="D118" s="45">
        <f>C118</f>
        <v>0</v>
      </c>
      <c r="E118" s="45">
        <f t="shared" si="34"/>
        <v>0</v>
      </c>
      <c r="F118" s="45">
        <f t="shared" si="35"/>
        <v>0</v>
      </c>
      <c r="G118" s="45">
        <f t="shared" si="36"/>
        <v>0</v>
      </c>
      <c r="H118" s="45">
        <f t="shared" si="37"/>
        <v>0</v>
      </c>
      <c r="I118" s="45">
        <f t="shared" si="38"/>
        <v>0</v>
      </c>
      <c r="J118" s="45">
        <f t="shared" si="39"/>
        <v>0</v>
      </c>
      <c r="K118" s="45">
        <f t="shared" si="40"/>
        <v>0</v>
      </c>
      <c r="L118" s="45">
        <f t="shared" si="41"/>
        <v>0</v>
      </c>
      <c r="M118" s="45">
        <f t="shared" si="42"/>
        <v>0</v>
      </c>
      <c r="N118" s="46">
        <f t="shared" si="44"/>
        <v>790</v>
      </c>
    </row>
    <row r="119" spans="1:14" ht="15.5" x14ac:dyDescent="0.35">
      <c r="A119" s="36" t="str">
        <f>'1 - Total Startup Costs'!$A$53</f>
        <v>Vehicle Insurance - every 6 months</v>
      </c>
      <c r="B119" s="45">
        <f>B54+C91+C90</f>
        <v>0</v>
      </c>
      <c r="C119" s="45">
        <v>0</v>
      </c>
      <c r="D119" s="45">
        <f>C119</f>
        <v>0</v>
      </c>
      <c r="E119" s="45">
        <f t="shared" si="34"/>
        <v>0</v>
      </c>
      <c r="F119" s="45">
        <f t="shared" si="35"/>
        <v>0</v>
      </c>
      <c r="G119" s="45">
        <f t="shared" si="36"/>
        <v>0</v>
      </c>
      <c r="H119" s="45">
        <f>B119</f>
        <v>0</v>
      </c>
      <c r="I119" s="45">
        <v>0</v>
      </c>
      <c r="J119" s="45">
        <f>I119</f>
        <v>0</v>
      </c>
      <c r="K119" s="45">
        <f t="shared" si="40"/>
        <v>0</v>
      </c>
      <c r="L119" s="45">
        <f t="shared" si="41"/>
        <v>0</v>
      </c>
      <c r="M119" s="45">
        <f t="shared" si="42"/>
        <v>0</v>
      </c>
      <c r="N119" s="46">
        <f t="shared" si="44"/>
        <v>0</v>
      </c>
    </row>
    <row r="120" spans="1:14" ht="15.5" x14ac:dyDescent="0.35">
      <c r="A120" s="36" t="str">
        <f>'1 - Total Startup Costs'!$A$54</f>
        <v>Outside Legal Support</v>
      </c>
      <c r="B120" s="45">
        <f>M87+C63</f>
        <v>935</v>
      </c>
      <c r="C120" s="45">
        <f>B120</f>
        <v>935</v>
      </c>
      <c r="D120" s="45">
        <f t="shared" ref="D120" si="45">C120</f>
        <v>935</v>
      </c>
      <c r="E120" s="45">
        <f t="shared" si="34"/>
        <v>935</v>
      </c>
      <c r="F120" s="45">
        <f t="shared" si="35"/>
        <v>935</v>
      </c>
      <c r="G120" s="45">
        <f t="shared" si="36"/>
        <v>935</v>
      </c>
      <c r="H120" s="45">
        <f t="shared" si="36"/>
        <v>935</v>
      </c>
      <c r="I120" s="45">
        <f t="shared" si="36"/>
        <v>935</v>
      </c>
      <c r="J120" s="45">
        <f t="shared" si="36"/>
        <v>935</v>
      </c>
      <c r="K120" s="45">
        <f t="shared" si="40"/>
        <v>935</v>
      </c>
      <c r="L120" s="45">
        <f t="shared" si="41"/>
        <v>935</v>
      </c>
      <c r="M120" s="45">
        <f t="shared" si="42"/>
        <v>935</v>
      </c>
      <c r="N120" s="46">
        <f t="shared" si="44"/>
        <v>11220</v>
      </c>
    </row>
    <row r="121" spans="1:14" ht="15.5" x14ac:dyDescent="0.35">
      <c r="A121" s="36" t="str">
        <f>'1 - Total Startup Costs'!$A$55</f>
        <v>CPA / Tax Support</v>
      </c>
      <c r="B121" s="45">
        <f>M88+C64</f>
        <v>1375</v>
      </c>
      <c r="C121" s="45">
        <f>B121</f>
        <v>1375</v>
      </c>
      <c r="D121" s="45">
        <f t="shared" ref="D121" si="46">C121</f>
        <v>1375</v>
      </c>
      <c r="E121" s="45">
        <f t="shared" si="34"/>
        <v>1375</v>
      </c>
      <c r="F121" s="45">
        <f t="shared" si="35"/>
        <v>1375</v>
      </c>
      <c r="G121" s="45">
        <f t="shared" si="36"/>
        <v>1375</v>
      </c>
      <c r="H121" s="45">
        <f t="shared" si="36"/>
        <v>1375</v>
      </c>
      <c r="I121" s="45">
        <f t="shared" si="36"/>
        <v>1375</v>
      </c>
      <c r="J121" s="45">
        <f t="shared" si="36"/>
        <v>1375</v>
      </c>
      <c r="K121" s="45">
        <f t="shared" si="40"/>
        <v>1375</v>
      </c>
      <c r="L121" s="45">
        <f t="shared" si="41"/>
        <v>1375</v>
      </c>
      <c r="M121" s="45">
        <f t="shared" si="42"/>
        <v>1375</v>
      </c>
      <c r="N121" s="46">
        <f t="shared" si="44"/>
        <v>16500</v>
      </c>
    </row>
    <row r="122" spans="1:14" ht="15.5" x14ac:dyDescent="0.35">
      <c r="A122" s="36" t="str">
        <f>A89</f>
        <v>New Software Systems</v>
      </c>
      <c r="B122" s="45">
        <f>C97</f>
        <v>0</v>
      </c>
      <c r="C122" s="45">
        <v>0</v>
      </c>
      <c r="D122" s="45">
        <f>C122</f>
        <v>0</v>
      </c>
      <c r="E122" s="45">
        <f t="shared" si="34"/>
        <v>0</v>
      </c>
      <c r="F122" s="45">
        <f t="shared" si="35"/>
        <v>0</v>
      </c>
      <c r="G122" s="45">
        <f t="shared" si="36"/>
        <v>0</v>
      </c>
      <c r="H122" s="45">
        <f t="shared" si="36"/>
        <v>0</v>
      </c>
      <c r="I122" s="45">
        <f t="shared" si="36"/>
        <v>0</v>
      </c>
      <c r="J122" s="45">
        <f t="shared" si="36"/>
        <v>0</v>
      </c>
      <c r="K122" s="45">
        <f t="shared" si="40"/>
        <v>0</v>
      </c>
      <c r="L122" s="45">
        <f t="shared" si="41"/>
        <v>0</v>
      </c>
      <c r="M122" s="45">
        <f t="shared" si="42"/>
        <v>0</v>
      </c>
      <c r="N122" s="46">
        <f t="shared" si="44"/>
        <v>0</v>
      </c>
    </row>
    <row r="123" spans="1:14" ht="15.5" x14ac:dyDescent="0.35">
      <c r="A123" s="36" t="str">
        <f>A90</f>
        <v>New Marketing Programs</v>
      </c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6"/>
    </row>
    <row r="124" spans="1:14" ht="15.5" x14ac:dyDescent="0.35">
      <c r="A124" s="36" t="str">
        <f>A91</f>
        <v>New Product Development</v>
      </c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47"/>
    </row>
    <row r="125" spans="1:14" ht="15.5" x14ac:dyDescent="0.35">
      <c r="A125" s="39" t="s">
        <v>178</v>
      </c>
      <c r="B125" s="45">
        <f t="shared" ref="B125:N125" si="47">SUM(B113:B124)</f>
        <v>66661.760833333334</v>
      </c>
      <c r="C125" s="45">
        <f t="shared" si="47"/>
        <v>65871.760833333334</v>
      </c>
      <c r="D125" s="45">
        <f t="shared" si="47"/>
        <v>65871.760833333334</v>
      </c>
      <c r="E125" s="45">
        <f t="shared" si="47"/>
        <v>65871.760833333334</v>
      </c>
      <c r="F125" s="45">
        <f t="shared" si="47"/>
        <v>65871.760833333334</v>
      </c>
      <c r="G125" s="45">
        <f t="shared" si="47"/>
        <v>65871.760833333334</v>
      </c>
      <c r="H125" s="45">
        <f t="shared" si="47"/>
        <v>65871.760833333334</v>
      </c>
      <c r="I125" s="45">
        <f t="shared" si="47"/>
        <v>65871.760833333334</v>
      </c>
      <c r="J125" s="45">
        <f t="shared" si="47"/>
        <v>65871.760833333334</v>
      </c>
      <c r="K125" s="45">
        <f t="shared" si="47"/>
        <v>65871.760833333334</v>
      </c>
      <c r="L125" s="45">
        <f t="shared" si="47"/>
        <v>65871.760833333334</v>
      </c>
      <c r="M125" s="45">
        <f t="shared" si="47"/>
        <v>65871.760833333334</v>
      </c>
      <c r="N125" s="40">
        <f t="shared" si="47"/>
        <v>791251.13000000012</v>
      </c>
    </row>
    <row r="126" spans="1:14" ht="15.5" x14ac:dyDescent="0.35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</row>
    <row r="127" spans="1:14" ht="15.5" x14ac:dyDescent="0.35">
      <c r="A127" s="35" t="s">
        <v>288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</row>
    <row r="128" spans="1:14" ht="15.5" x14ac:dyDescent="0.35">
      <c r="A128" s="71" t="s">
        <v>287</v>
      </c>
      <c r="B128" s="32">
        <f>'6 - Loan Schedule'!$E43</f>
        <v>211.87237731249937</v>
      </c>
      <c r="C128" s="32">
        <f>'6 - Loan Schedule'!$E44</f>
        <v>206.85791837088135</v>
      </c>
      <c r="D128" s="32">
        <f>'6 - Loan Schedule'!$E45</f>
        <v>201.82256585033994</v>
      </c>
      <c r="E128" s="32">
        <f>'6 - Loan Schedule'!$E46</f>
        <v>196.76623269429626</v>
      </c>
      <c r="F128" s="32">
        <f>'6 - Loan Schedule'!$E47</f>
        <v>191.68883148343576</v>
      </c>
      <c r="G128" s="32">
        <f>'6 - Loan Schedule'!$E48</f>
        <v>186.59027443419666</v>
      </c>
      <c r="H128" s="32">
        <f>'6 - Loan Schedule'!$E49</f>
        <v>181.47047339725236</v>
      </c>
      <c r="I128" s="32">
        <f>'6 - Loan Schedule'!$E50</f>
        <v>176.32933985598754</v>
      </c>
      <c r="J128" s="32">
        <f>'6 - Loan Schedule'!$E51</f>
        <v>171.16678492496743</v>
      </c>
      <c r="K128" s="32">
        <f>'6 - Loan Schedule'!$E52</f>
        <v>165.98271934840133</v>
      </c>
      <c r="L128" s="32">
        <f>'6 - Loan Schedule'!$E53</f>
        <v>160.77705349859963</v>
      </c>
      <c r="M128" s="32">
        <f>'6 - Loan Schedule'!$E54</f>
        <v>155.54969737442372</v>
      </c>
      <c r="N128" s="46">
        <f t="shared" ref="N128" si="48">SUM(B128:M128)</f>
        <v>2206.8742685452817</v>
      </c>
    </row>
    <row r="130" spans="1:14" ht="15.5" x14ac:dyDescent="0.35">
      <c r="A130" s="35" t="s">
        <v>202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</row>
    <row r="131" spans="1:14" ht="15.5" x14ac:dyDescent="0.35">
      <c r="A131" s="36" t="s">
        <v>203</v>
      </c>
      <c r="B131" s="32">
        <f>G68</f>
        <v>1566.6666666666667</v>
      </c>
      <c r="C131" s="32">
        <f>B131</f>
        <v>1566.6666666666667</v>
      </c>
      <c r="D131" s="32">
        <f t="shared" ref="D131:M131" si="49">C131</f>
        <v>1566.6666666666667</v>
      </c>
      <c r="E131" s="32">
        <f t="shared" si="49"/>
        <v>1566.6666666666667</v>
      </c>
      <c r="F131" s="32">
        <f t="shared" si="49"/>
        <v>1566.6666666666667</v>
      </c>
      <c r="G131" s="32">
        <f t="shared" si="49"/>
        <v>1566.6666666666667</v>
      </c>
      <c r="H131" s="32">
        <f t="shared" si="49"/>
        <v>1566.6666666666667</v>
      </c>
      <c r="I131" s="32">
        <f t="shared" si="49"/>
        <v>1566.6666666666667</v>
      </c>
      <c r="J131" s="32">
        <f t="shared" si="49"/>
        <v>1566.6666666666667</v>
      </c>
      <c r="K131" s="32">
        <f t="shared" si="49"/>
        <v>1566.6666666666667</v>
      </c>
      <c r="L131" s="32">
        <f t="shared" si="49"/>
        <v>1566.6666666666667</v>
      </c>
      <c r="M131" s="32">
        <f t="shared" si="49"/>
        <v>1566.6666666666667</v>
      </c>
      <c r="N131" s="32">
        <f>SUM(B131:M131)</f>
        <v>18800</v>
      </c>
    </row>
    <row r="133" spans="1:14" ht="15" thickBot="1" x14ac:dyDescent="0.4">
      <c r="A133" s="11" t="s">
        <v>189</v>
      </c>
      <c r="B133" s="58">
        <f>B109-B125-B128-B131</f>
        <v>34013.451690567119</v>
      </c>
      <c r="C133" s="58">
        <f t="shared" ref="C133:N133" si="50">C109-C125-C128-C131</f>
        <v>36857.541180866356</v>
      </c>
      <c r="D133" s="58">
        <f t="shared" si="50"/>
        <v>38952.633065371658</v>
      </c>
      <c r="E133" s="58">
        <f t="shared" si="50"/>
        <v>41089.547061152138</v>
      </c>
      <c r="F133" s="58">
        <f t="shared" si="50"/>
        <v>43269.119278239923</v>
      </c>
      <c r="G133" s="58">
        <f t="shared" si="50"/>
        <v>45492.202547483626</v>
      </c>
      <c r="H133" s="58">
        <f t="shared" si="50"/>
        <v>47759.666754958918</v>
      </c>
      <c r="I133" s="58">
        <f t="shared" si="50"/>
        <v>50072.399183067297</v>
      </c>
      <c r="J133" s="58">
        <f t="shared" si="50"/>
        <v>52431.30485845678</v>
      </c>
      <c r="K133" s="58">
        <f t="shared" si="50"/>
        <v>54837.306906900965</v>
      </c>
      <c r="L133" s="58">
        <f t="shared" si="50"/>
        <v>57291.346915275761</v>
      </c>
      <c r="M133" s="58">
        <f t="shared" si="50"/>
        <v>59794.385300775408</v>
      </c>
      <c r="N133" s="58">
        <f t="shared" si="50"/>
        <v>561860.90474311518</v>
      </c>
    </row>
    <row r="134" spans="1:14" ht="15" thickTop="1" x14ac:dyDescent="0.35"/>
  </sheetData>
  <hyperlinks>
    <hyperlink ref="P2" location="'1 - Total Startup Costs'!A1" display="Tab 1 - Estimate Your Total Startup Costs" xr:uid="{B0C14CD0-F596-4027-8E64-3A299CE3A994}"/>
    <hyperlink ref="P3" location="'2 - Staffing Labor'!A1" display="Tab 2 - Estimate Your Startup Labor Costs" xr:uid="{CC4700BF-8CC3-472E-91D7-4585AF63A4A8}"/>
    <hyperlink ref="P4" location="'3 - Sales Estimate'!A1" display="Tab 3 - Estimate Your Sales for Year 1" xr:uid="{89EF102D-E64E-40D6-836B-10CFA0652272}"/>
    <hyperlink ref="P5" location="'4 - Income Statement'!A1" display="Tab 4 - Compile 3 Years of Income Statements" xr:uid="{93754468-9806-4630-9E85-64C162E840DE}"/>
    <hyperlink ref="P6" location="'5 - Financing Needed'!A1" display="Tab 5 - Finalize Your Startup Costs and Funding" xr:uid="{5E5449D7-12DF-4E15-8EFC-5698F29F4B2D}"/>
    <hyperlink ref="P7" location="'6 - Loan Schedule'!A1" display="Tab 6 - Loan Amortization Schedule" xr:uid="{872A7840-0DBD-4E00-AB31-A04EF5C415BA}"/>
    <hyperlink ref="P8" location="'7 - Post Transactions'!A1" display="Tab 7 - Post All Financial Transactions" xr:uid="{BAE567D7-8031-4E2A-9140-FC77CFA4D26B}"/>
    <hyperlink ref="P9" location="'8 - Inventory'!A1" display="Tab 8 - Reconcile Inventory Activity" xr:uid="{80C51DCE-0B64-4FE5-8611-761452E7EFA3}"/>
    <hyperlink ref="P10" location="'9 - Cash Flow Stmts'!A1" display="Tab 9 - Compile Cash Flow Statements" xr:uid="{031170D8-DE50-4B89-8BE8-8201A8173EBC}"/>
    <hyperlink ref="P11" location="'10 - Balance Sheets'!A1" display="Tab 10 - Compile Balance Sheets" xr:uid="{A855A614-029A-47C5-A858-C3864AD562E9}"/>
    <hyperlink ref="P12" location="'11 - Income Stmt Summaries'!A1" display="Tab 11 - Compile Summarize Income Statements" xr:uid="{563AA3A6-D214-4D8F-B234-BF97A86C4B4D}"/>
    <hyperlink ref="P13" location="Key_Ratios" display="Key Ratios" xr:uid="{3FC14D38-E355-429A-A757-3C42A00EE311}"/>
    <hyperlink ref="P14" location="Breakeven" display="Breakeven" xr:uid="{EEA71EC5-4A13-4A54-8D2B-834902998CE0}"/>
    <hyperlink ref="I1" location="Detail_Income_Statement_Year_1" display="Print Year 1" xr:uid="{E054A0E5-4868-4F93-9A7D-E43EB5CC6C97}"/>
    <hyperlink ref="J1" location="Detail_Income_Statement_Year_2" display="Print Year 2" xr:uid="{EDB2772B-D9E0-4ACC-A0AD-E1E9BB1D8E6F}"/>
    <hyperlink ref="K1" location="Detail_Income_Statement_Year_3" display="Print Year 3" xr:uid="{7A4ED3D5-9CA8-467B-BDAD-CB46C2548D16}"/>
  </hyperlinks>
  <pageMargins left="0.25" right="0.25" top="0.75" bottom="0.75" header="0.3" footer="0.3"/>
  <pageSetup paperSize="5" scale="6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AD92-B91E-4223-B44F-7277021584E7}">
  <dimension ref="A1:J50"/>
  <sheetViews>
    <sheetView topLeftCell="A31" workbookViewId="0">
      <selection activeCell="D16" sqref="D16"/>
    </sheetView>
  </sheetViews>
  <sheetFormatPr defaultRowHeight="14.5" x14ac:dyDescent="0.35"/>
  <cols>
    <col min="1" max="1" width="39.453125" customWidth="1"/>
    <col min="2" max="2" width="16.36328125" customWidth="1"/>
    <col min="3" max="3" width="17.90625" customWidth="1"/>
    <col min="4" max="4" width="17.7265625" customWidth="1"/>
    <col min="10" max="10" width="45.54296875" customWidth="1"/>
  </cols>
  <sheetData>
    <row r="1" spans="1:10" ht="26" x14ac:dyDescent="0.6">
      <c r="A1" s="1" t="s">
        <v>420</v>
      </c>
      <c r="J1" s="65" t="s">
        <v>442</v>
      </c>
    </row>
    <row r="2" spans="1:10" x14ac:dyDescent="0.35">
      <c r="J2" s="85" t="s">
        <v>443</v>
      </c>
    </row>
    <row r="3" spans="1:10" x14ac:dyDescent="0.35">
      <c r="A3" t="s">
        <v>406</v>
      </c>
      <c r="J3" s="85" t="s">
        <v>444</v>
      </c>
    </row>
    <row r="4" spans="1:10" x14ac:dyDescent="0.35">
      <c r="A4" t="s">
        <v>407</v>
      </c>
      <c r="J4" s="85" t="s">
        <v>445</v>
      </c>
    </row>
    <row r="5" spans="1:10" x14ac:dyDescent="0.35">
      <c r="A5" t="s">
        <v>408</v>
      </c>
      <c r="J5" s="85" t="s">
        <v>446</v>
      </c>
    </row>
    <row r="6" spans="1:10" x14ac:dyDescent="0.35">
      <c r="A6" t="s">
        <v>42</v>
      </c>
      <c r="J6" s="85" t="s">
        <v>447</v>
      </c>
    </row>
    <row r="7" spans="1:10" x14ac:dyDescent="0.35">
      <c r="A7" t="s">
        <v>213</v>
      </c>
      <c r="D7" s="6">
        <f>'1 - Total Startup Costs'!E76</f>
        <v>100759.63625</v>
      </c>
      <c r="E7" s="18" t="s">
        <v>425</v>
      </c>
      <c r="J7" s="85" t="s">
        <v>448</v>
      </c>
    </row>
    <row r="8" spans="1:10" x14ac:dyDescent="0.35">
      <c r="A8" t="s">
        <v>421</v>
      </c>
      <c r="D8" s="6">
        <f>D26-D7</f>
        <v>28152.126854187081</v>
      </c>
      <c r="E8" s="18" t="s">
        <v>424</v>
      </c>
      <c r="J8" s="85" t="s">
        <v>449</v>
      </c>
    </row>
    <row r="9" spans="1:10" x14ac:dyDescent="0.35">
      <c r="A9" t="s">
        <v>236</v>
      </c>
      <c r="D9" s="6">
        <f>SUM(D7:D8)</f>
        <v>128911.76310418708</v>
      </c>
      <c r="E9" s="18" t="s">
        <v>423</v>
      </c>
      <c r="J9" s="85" t="s">
        <v>450</v>
      </c>
    </row>
    <row r="10" spans="1:10" x14ac:dyDescent="0.35">
      <c r="D10" s="51"/>
      <c r="E10" s="18"/>
      <c r="J10" s="85" t="s">
        <v>451</v>
      </c>
    </row>
    <row r="11" spans="1:10" x14ac:dyDescent="0.35">
      <c r="A11" s="82" t="s">
        <v>422</v>
      </c>
      <c r="D11" s="51"/>
      <c r="E11" s="18"/>
      <c r="J11" s="85" t="s">
        <v>452</v>
      </c>
    </row>
    <row r="12" spans="1:10" x14ac:dyDescent="0.35">
      <c r="D12" s="51"/>
      <c r="E12" s="18"/>
      <c r="J12" s="85" t="s">
        <v>454</v>
      </c>
    </row>
    <row r="13" spans="1:10" x14ac:dyDescent="0.35">
      <c r="A13" t="s">
        <v>219</v>
      </c>
      <c r="C13" t="s">
        <v>220</v>
      </c>
      <c r="D13" s="51">
        <f>'1 - Total Startup Costs'!E48</f>
        <v>7500</v>
      </c>
      <c r="E13" s="18"/>
      <c r="J13" s="85" t="s">
        <v>478</v>
      </c>
    </row>
    <row r="14" spans="1:10" x14ac:dyDescent="0.35">
      <c r="D14" s="33"/>
      <c r="E14" s="18"/>
      <c r="J14" s="85" t="s">
        <v>503</v>
      </c>
    </row>
    <row r="15" spans="1:10" x14ac:dyDescent="0.35">
      <c r="A15" s="44" t="s">
        <v>199</v>
      </c>
      <c r="D15" s="33"/>
      <c r="E15" s="18"/>
    </row>
    <row r="16" spans="1:10" x14ac:dyDescent="0.35">
      <c r="D16" s="33"/>
      <c r="E16" s="18"/>
    </row>
    <row r="17" spans="1:5" x14ac:dyDescent="0.35">
      <c r="A17" t="str">
        <f>'1 - Total Startup Costs'!A24</f>
        <v>Food Processing Equipment</v>
      </c>
      <c r="B17" s="33">
        <f>'1 - Total Startup Costs'!D24</f>
        <v>2500</v>
      </c>
      <c r="D17" s="33"/>
      <c r="E17" s="18"/>
    </row>
    <row r="18" spans="1:5" x14ac:dyDescent="0.35">
      <c r="A18" t="str">
        <f>'1 - Total Startup Costs'!A25</f>
        <v xml:space="preserve">Office Furniture </v>
      </c>
      <c r="B18" s="33">
        <f>'1 - Total Startup Costs'!D25</f>
        <v>1200</v>
      </c>
      <c r="D18" s="33"/>
      <c r="E18" s="18"/>
    </row>
    <row r="19" spans="1:5" x14ac:dyDescent="0.35">
      <c r="A19" t="str">
        <f>'1 - Total Startup Costs'!A26</f>
        <v>Delivery Van - Used</v>
      </c>
      <c r="B19" s="33">
        <f>'1 - Total Startup Costs'!D26</f>
        <v>6500</v>
      </c>
      <c r="D19" s="33"/>
      <c r="E19" s="18"/>
    </row>
    <row r="20" spans="1:5" x14ac:dyDescent="0.35">
      <c r="A20" t="str">
        <f>'1 - Total Startup Costs'!A27</f>
        <v>Computer / Printer</v>
      </c>
      <c r="B20" s="48">
        <f>'1 - Total Startup Costs'!D27</f>
        <v>1800</v>
      </c>
      <c r="D20" s="33"/>
      <c r="E20" s="18"/>
    </row>
    <row r="21" spans="1:5" x14ac:dyDescent="0.35">
      <c r="B21" s="33">
        <f>SUM(B17:B20)</f>
        <v>12000</v>
      </c>
      <c r="C21" t="s">
        <v>201</v>
      </c>
      <c r="D21" s="33">
        <f>B21</f>
        <v>12000</v>
      </c>
      <c r="E21" s="18"/>
    </row>
    <row r="22" spans="1:5" x14ac:dyDescent="0.35">
      <c r="D22" s="33"/>
      <c r="E22" s="18"/>
    </row>
    <row r="23" spans="1:5" x14ac:dyDescent="0.35">
      <c r="C23" s="44" t="s">
        <v>206</v>
      </c>
      <c r="E23" s="18"/>
    </row>
    <row r="24" spans="1:5" x14ac:dyDescent="0.35">
      <c r="A24" t="s">
        <v>208</v>
      </c>
      <c r="C24" s="5" t="s">
        <v>209</v>
      </c>
      <c r="D24" s="6">
        <f>SUM('4 - Income Statement'!B33:H33)</f>
        <v>-109411.76310418708</v>
      </c>
      <c r="E24" s="18" t="s">
        <v>426</v>
      </c>
    </row>
    <row r="25" spans="1:5" ht="15" thickBot="1" x14ac:dyDescent="0.4">
      <c r="D25" s="33"/>
      <c r="E25" s="18"/>
    </row>
    <row r="26" spans="1:5" ht="15" thickBot="1" x14ac:dyDescent="0.4">
      <c r="A26" t="s">
        <v>412</v>
      </c>
      <c r="D26" s="50">
        <f>D13+D21-D24</f>
        <v>128911.76310418708</v>
      </c>
      <c r="E26" s="18" t="s">
        <v>410</v>
      </c>
    </row>
    <row r="27" spans="1:5" ht="15" thickBot="1" x14ac:dyDescent="0.4">
      <c r="A27" t="s">
        <v>413</v>
      </c>
      <c r="D27" s="50">
        <v>130000</v>
      </c>
      <c r="E27" s="18"/>
    </row>
    <row r="28" spans="1:5" x14ac:dyDescent="0.35">
      <c r="D28" s="79"/>
      <c r="E28" s="18"/>
    </row>
    <row r="29" spans="1:5" x14ac:dyDescent="0.35">
      <c r="A29" s="82" t="s">
        <v>414</v>
      </c>
      <c r="E29" s="18"/>
    </row>
    <row r="30" spans="1:5" x14ac:dyDescent="0.35">
      <c r="A30" s="44"/>
      <c r="E30" s="18"/>
    </row>
    <row r="31" spans="1:5" x14ac:dyDescent="0.35">
      <c r="A31" t="s">
        <v>198</v>
      </c>
      <c r="C31" t="s">
        <v>200</v>
      </c>
      <c r="D31" s="6">
        <f>'1 - Total Startup Costs'!E81</f>
        <v>25000</v>
      </c>
      <c r="E31" s="18" t="s">
        <v>409</v>
      </c>
    </row>
    <row r="32" spans="1:5" x14ac:dyDescent="0.35">
      <c r="D32" s="12"/>
      <c r="E32" s="18"/>
    </row>
    <row r="33" spans="1:7" x14ac:dyDescent="0.35">
      <c r="C33" s="44" t="s">
        <v>210</v>
      </c>
      <c r="D33" s="12"/>
      <c r="E33" s="18"/>
    </row>
    <row r="34" spans="1:7" x14ac:dyDescent="0.35">
      <c r="A34" t="s">
        <v>281</v>
      </c>
      <c r="C34" t="s">
        <v>211</v>
      </c>
      <c r="D34" s="33">
        <v>20000</v>
      </c>
      <c r="E34" s="18"/>
    </row>
    <row r="35" spans="1:7" x14ac:dyDescent="0.35">
      <c r="A35" t="s">
        <v>214</v>
      </c>
      <c r="C35" t="s">
        <v>207</v>
      </c>
      <c r="D35" s="33">
        <v>10000</v>
      </c>
      <c r="E35" s="18"/>
      <c r="G35" s="43" t="s">
        <v>221</v>
      </c>
    </row>
    <row r="36" spans="1:7" x14ac:dyDescent="0.35">
      <c r="D36" s="33"/>
      <c r="E36" s="18"/>
      <c r="G36" s="43" t="s">
        <v>222</v>
      </c>
    </row>
    <row r="37" spans="1:7" x14ac:dyDescent="0.35">
      <c r="A37" t="s">
        <v>415</v>
      </c>
      <c r="D37" s="6">
        <f>SUM(D31:D35)</f>
        <v>55000</v>
      </c>
      <c r="E37" s="18"/>
      <c r="G37" s="43" t="s">
        <v>223</v>
      </c>
    </row>
    <row r="38" spans="1:7" x14ac:dyDescent="0.35">
      <c r="D38" s="33"/>
      <c r="E38" s="18"/>
      <c r="G38" s="43" t="s">
        <v>224</v>
      </c>
    </row>
    <row r="39" spans="1:7" x14ac:dyDescent="0.35">
      <c r="C39" s="44" t="s">
        <v>205</v>
      </c>
      <c r="D39" s="12"/>
      <c r="E39" s="18"/>
      <c r="G39" s="43" t="s">
        <v>225</v>
      </c>
    </row>
    <row r="40" spans="1:7" x14ac:dyDescent="0.35">
      <c r="A40" t="s">
        <v>285</v>
      </c>
      <c r="C40" t="s">
        <v>212</v>
      </c>
      <c r="D40" s="6">
        <v>75000</v>
      </c>
      <c r="E40" s="18"/>
      <c r="G40" s="43" t="s">
        <v>226</v>
      </c>
    </row>
    <row r="41" spans="1:7" x14ac:dyDescent="0.35">
      <c r="D41" s="33"/>
      <c r="E41" s="18"/>
      <c r="G41" s="43"/>
    </row>
    <row r="42" spans="1:7" x14ac:dyDescent="0.35">
      <c r="A42" s="11" t="s">
        <v>378</v>
      </c>
      <c r="D42" s="81">
        <f>D37+D40</f>
        <v>130000</v>
      </c>
      <c r="E42" s="18"/>
      <c r="G42" s="43"/>
    </row>
    <row r="43" spans="1:7" x14ac:dyDescent="0.35">
      <c r="D43" s="12"/>
      <c r="E43" s="18"/>
    </row>
    <row r="44" spans="1:7" x14ac:dyDescent="0.35">
      <c r="D44" s="45"/>
    </row>
    <row r="45" spans="1:7" x14ac:dyDescent="0.35">
      <c r="D45" s="45" t="s">
        <v>42</v>
      </c>
    </row>
    <row r="46" spans="1:7" ht="15.5" x14ac:dyDescent="0.35">
      <c r="B46" s="35"/>
      <c r="C46" s="29"/>
      <c r="D46" s="29"/>
    </row>
    <row r="47" spans="1:7" ht="15.5" x14ac:dyDescent="0.35">
      <c r="B47" s="29"/>
      <c r="C47" s="29"/>
      <c r="D47" s="52"/>
    </row>
    <row r="48" spans="1:7" ht="15.5" x14ac:dyDescent="0.35">
      <c r="B48" s="29"/>
      <c r="C48" s="29"/>
      <c r="D48" s="29"/>
    </row>
    <row r="49" spans="2:4" ht="15.5" x14ac:dyDescent="0.35">
      <c r="B49" s="35"/>
      <c r="C49" s="29"/>
      <c r="D49" s="29"/>
    </row>
    <row r="50" spans="2:4" ht="15.5" x14ac:dyDescent="0.35">
      <c r="B50" s="29"/>
      <c r="C50" s="29"/>
      <c r="D50" s="52"/>
    </row>
  </sheetData>
  <hyperlinks>
    <hyperlink ref="J2" location="'1 - Total Startup Costs'!A1" display="Tab 1 - Estimate Your Total Startup Costs" xr:uid="{562AE4D0-4378-4D39-88BE-4A68FA6F349A}"/>
    <hyperlink ref="J3" location="'2 - Staffing Labor'!A1" display="Tab 2 - Estimate Your Startup Labor Costs" xr:uid="{9C21F8FB-3E09-48D8-AE88-E18BDCDF7E1F}"/>
    <hyperlink ref="J4" location="'3 - Sales Estimate'!A1" display="Tab 3 - Estimate Your Sales for Year 1" xr:uid="{AB8E2D00-6EA8-4B1E-ACE5-6714DD98A36E}"/>
    <hyperlink ref="J5" location="'4 - Income Statement'!A1" display="Tab 4 - Compile 3 Years of Income Statements" xr:uid="{ABA32769-FB5E-4E57-9726-3A4E3E5A5FF2}"/>
    <hyperlink ref="J6" location="'5 - Financing Needed'!A1" display="Tab 5 - Finalize Your Startup Costs and Funding" xr:uid="{D847261F-2C8B-433E-A4C5-33C2F1551F83}"/>
    <hyperlink ref="J7" location="'6 - Loan Schedule'!A1" display="Tab 6 - Loan Amortization Schedule" xr:uid="{FFB13797-F2D3-4B51-9EDD-E85F77C22F4B}"/>
    <hyperlink ref="J8" location="'7 - Post Transactions'!A1" display="Tab 7 - Post All Financial Transactions" xr:uid="{DF22B136-9F68-4BAA-9585-71F6DD987DAC}"/>
    <hyperlink ref="J9" location="'8 - Inventory'!A1" display="Tab 8 - Reconcile Inventory Activity" xr:uid="{8959FD50-9308-4151-8B46-DE6949240FE4}"/>
    <hyperlink ref="J10" location="'9 - Cash Flow Stmts'!A1" display="Tab 9 - Compile Cash Flow Statements" xr:uid="{E227D0F8-27BC-44C2-81D2-847886EDCAA4}"/>
    <hyperlink ref="J11" location="'10 - Balance Sheets'!A1" display="Tab 10 - Compile Balance Sheets" xr:uid="{D585FF5B-B476-4F78-80B1-372C3246B33E}"/>
    <hyperlink ref="J12" location="'11 - Income Stmt Summaries'!A1" display="Tab 11 - Compile Summarize Income Statements" xr:uid="{DB6895F3-326E-4E1F-9A3E-12D59624172A}"/>
    <hyperlink ref="J13" location="Key_Ratios" display="Key Ratios" xr:uid="{19FF5562-540C-4C18-B18E-6683657EAEAA}"/>
    <hyperlink ref="J14" location="Breakeven" display="Breakeven" xr:uid="{215DB75F-63C4-4984-A560-921C8DB2ABBD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6666-ABC3-4797-AB77-2997C2529721}">
  <dimension ref="A1:J120"/>
  <sheetViews>
    <sheetView topLeftCell="A16" workbookViewId="0">
      <selection activeCell="G1" sqref="G1"/>
    </sheetView>
  </sheetViews>
  <sheetFormatPr defaultRowHeight="14.5" x14ac:dyDescent="0.35"/>
  <cols>
    <col min="4" max="4" width="12.08984375" customWidth="1"/>
    <col min="5" max="6" width="11.6328125" customWidth="1"/>
    <col min="7" max="7" width="12.6328125" customWidth="1"/>
    <col min="8" max="8" width="11.81640625" customWidth="1"/>
    <col min="9" max="9" width="14.36328125" customWidth="1"/>
    <col min="10" max="10" width="49.26953125" customWidth="1"/>
  </cols>
  <sheetData>
    <row r="1" spans="1:10" ht="26" x14ac:dyDescent="0.6">
      <c r="C1" s="1" t="s">
        <v>289</v>
      </c>
      <c r="J1" s="65" t="s">
        <v>442</v>
      </c>
    </row>
    <row r="2" spans="1:10" x14ac:dyDescent="0.35">
      <c r="J2" s="85" t="s">
        <v>443</v>
      </c>
    </row>
    <row r="3" spans="1:10" x14ac:dyDescent="0.35">
      <c r="A3" t="s">
        <v>290</v>
      </c>
      <c r="J3" s="85" t="s">
        <v>444</v>
      </c>
    </row>
    <row r="4" spans="1:10" x14ac:dyDescent="0.35">
      <c r="A4" t="s">
        <v>291</v>
      </c>
      <c r="J4" s="85" t="s">
        <v>445</v>
      </c>
    </row>
    <row r="5" spans="1:10" x14ac:dyDescent="0.35">
      <c r="A5" t="s">
        <v>292</v>
      </c>
      <c r="J5" s="85" t="s">
        <v>446</v>
      </c>
    </row>
    <row r="6" spans="1:10" x14ac:dyDescent="0.35">
      <c r="J6" s="85" t="s">
        <v>447</v>
      </c>
    </row>
    <row r="7" spans="1:10" x14ac:dyDescent="0.35">
      <c r="B7" t="s">
        <v>295</v>
      </c>
      <c r="G7" s="6">
        <f>'5 - Financing Needed'!D40</f>
        <v>75000</v>
      </c>
      <c r="H7" t="s">
        <v>427</v>
      </c>
      <c r="J7" s="85" t="s">
        <v>448</v>
      </c>
    </row>
    <row r="8" spans="1:10" x14ac:dyDescent="0.35">
      <c r="J8" s="85" t="s">
        <v>449</v>
      </c>
    </row>
    <row r="9" spans="1:10" x14ac:dyDescent="0.35">
      <c r="B9" t="s">
        <v>296</v>
      </c>
      <c r="G9">
        <v>5</v>
      </c>
      <c r="J9" s="85" t="s">
        <v>450</v>
      </c>
    </row>
    <row r="10" spans="1:10" x14ac:dyDescent="0.35">
      <c r="J10" s="85" t="s">
        <v>451</v>
      </c>
    </row>
    <row r="11" spans="1:10" x14ac:dyDescent="0.35">
      <c r="B11" t="s">
        <v>297</v>
      </c>
      <c r="G11" s="72">
        <v>0.05</v>
      </c>
      <c r="J11" s="85" t="s">
        <v>452</v>
      </c>
    </row>
    <row r="12" spans="1:10" x14ac:dyDescent="0.35">
      <c r="J12" s="85" t="s">
        <v>454</v>
      </c>
    </row>
    <row r="13" spans="1:10" x14ac:dyDescent="0.35">
      <c r="B13" t="s">
        <v>298</v>
      </c>
      <c r="G13" s="31">
        <v>44256</v>
      </c>
      <c r="J13" s="85" t="s">
        <v>42</v>
      </c>
    </row>
    <row r="15" spans="1:10" x14ac:dyDescent="0.35">
      <c r="B15" t="s">
        <v>299</v>
      </c>
      <c r="G15">
        <f>G9*H15</f>
        <v>60</v>
      </c>
      <c r="H15">
        <v>12</v>
      </c>
      <c r="J15" t="s">
        <v>428</v>
      </c>
    </row>
    <row r="16" spans="1:10" x14ac:dyDescent="0.35">
      <c r="J16" t="s">
        <v>429</v>
      </c>
    </row>
    <row r="17" spans="2:10" x14ac:dyDescent="0.35">
      <c r="B17" t="s">
        <v>300</v>
      </c>
      <c r="G17" s="72">
        <f>G11/H15</f>
        <v>4.1666666666666666E-3</v>
      </c>
      <c r="J17" t="s">
        <v>430</v>
      </c>
    </row>
    <row r="19" spans="2:10" x14ac:dyDescent="0.35">
      <c r="E19">
        <v>-1</v>
      </c>
    </row>
    <row r="20" spans="2:10" x14ac:dyDescent="0.35">
      <c r="C20" s="30" t="s">
        <v>305</v>
      </c>
      <c r="D20" s="30" t="s">
        <v>42</v>
      </c>
      <c r="E20" s="30" t="s">
        <v>301</v>
      </c>
      <c r="F20" s="30" t="s">
        <v>302</v>
      </c>
      <c r="G20" s="30" t="s">
        <v>64</v>
      </c>
    </row>
    <row r="21" spans="2:10" x14ac:dyDescent="0.35">
      <c r="C21" s="53" t="s">
        <v>303</v>
      </c>
      <c r="D21" s="53" t="s">
        <v>304</v>
      </c>
      <c r="E21" s="53" t="s">
        <v>305</v>
      </c>
      <c r="F21" s="53" t="s">
        <v>305</v>
      </c>
      <c r="G21" s="53" t="s">
        <v>305</v>
      </c>
    </row>
    <row r="22" spans="2:10" x14ac:dyDescent="0.35">
      <c r="C22">
        <v>1</v>
      </c>
      <c r="D22" s="31">
        <v>44287</v>
      </c>
      <c r="E22" s="74">
        <f>IPMT($G$17,C22,$G$15,$G$7)*$E$19</f>
        <v>312.5</v>
      </c>
      <c r="F22" s="74">
        <f>PPMT($G$17,C22,$G$15,$G$7)*$E$19</f>
        <v>1102.8425233008202</v>
      </c>
      <c r="G22" s="74">
        <f>E22+F22</f>
        <v>1415.3425233008202</v>
      </c>
    </row>
    <row r="23" spans="2:10" x14ac:dyDescent="0.35">
      <c r="C23">
        <f>C22+1</f>
        <v>2</v>
      </c>
      <c r="D23" s="31">
        <f>D22+30</f>
        <v>44317</v>
      </c>
      <c r="E23" s="74">
        <f t="shared" ref="E23:E81" si="0">IPMT($G$17,C23,$G$15,$G$7)*$E$19</f>
        <v>307.90482281957986</v>
      </c>
      <c r="F23" s="74">
        <f t="shared" ref="F23:F81" si="1">PPMT($G$17,C23,$G$15,$G$7)*$E$19</f>
        <v>1107.4377004812404</v>
      </c>
      <c r="G23" s="74">
        <f t="shared" ref="G23:G81" si="2">E23+F23</f>
        <v>1415.3425233008202</v>
      </c>
    </row>
    <row r="24" spans="2:10" x14ac:dyDescent="0.35">
      <c r="C24">
        <f t="shared" ref="C24:C81" si="3">C23+1</f>
        <v>3</v>
      </c>
      <c r="D24" s="31">
        <v>44348</v>
      </c>
      <c r="E24" s="74">
        <f t="shared" si="0"/>
        <v>303.29049906757473</v>
      </c>
      <c r="F24" s="74">
        <f t="shared" si="1"/>
        <v>1112.0520242332454</v>
      </c>
      <c r="G24" s="74">
        <f t="shared" si="2"/>
        <v>1415.3425233008202</v>
      </c>
    </row>
    <row r="25" spans="2:10" x14ac:dyDescent="0.35">
      <c r="C25">
        <f t="shared" si="3"/>
        <v>4</v>
      </c>
      <c r="D25" s="31">
        <f t="shared" ref="D25" si="4">D24+30</f>
        <v>44378</v>
      </c>
      <c r="E25" s="74">
        <f t="shared" si="0"/>
        <v>298.6569489666029</v>
      </c>
      <c r="F25" s="74">
        <f t="shared" si="1"/>
        <v>1116.6855743342173</v>
      </c>
      <c r="G25" s="74">
        <f t="shared" si="2"/>
        <v>1415.3425233008202</v>
      </c>
    </row>
    <row r="26" spans="2:10" x14ac:dyDescent="0.35">
      <c r="C26">
        <f t="shared" si="3"/>
        <v>5</v>
      </c>
      <c r="D26" s="31">
        <v>44409</v>
      </c>
      <c r="E26" s="74">
        <f t="shared" si="0"/>
        <v>294.00409240687702</v>
      </c>
      <c r="F26" s="74">
        <f t="shared" si="1"/>
        <v>1121.3384308939433</v>
      </c>
      <c r="G26" s="74">
        <f t="shared" si="2"/>
        <v>1415.3425233008202</v>
      </c>
    </row>
    <row r="27" spans="2:10" x14ac:dyDescent="0.35">
      <c r="C27">
        <f t="shared" si="3"/>
        <v>6</v>
      </c>
      <c r="D27" s="31">
        <v>44440</v>
      </c>
      <c r="E27" s="74">
        <f t="shared" si="0"/>
        <v>289.33184894481883</v>
      </c>
      <c r="F27" s="74">
        <f t="shared" si="1"/>
        <v>1126.0106743560013</v>
      </c>
      <c r="G27" s="74">
        <f t="shared" si="2"/>
        <v>1415.3425233008202</v>
      </c>
    </row>
    <row r="28" spans="2:10" x14ac:dyDescent="0.35">
      <c r="C28">
        <f t="shared" si="3"/>
        <v>7</v>
      </c>
      <c r="D28" s="31">
        <v>44470</v>
      </c>
      <c r="E28" s="74">
        <f t="shared" si="0"/>
        <v>284.64013780166886</v>
      </c>
      <c r="F28" s="74">
        <f t="shared" si="1"/>
        <v>1130.7023854991512</v>
      </c>
      <c r="G28" s="74">
        <f t="shared" si="2"/>
        <v>1415.3425233008202</v>
      </c>
    </row>
    <row r="29" spans="2:10" x14ac:dyDescent="0.35">
      <c r="C29">
        <f t="shared" si="3"/>
        <v>8</v>
      </c>
      <c r="D29" s="31">
        <v>44501</v>
      </c>
      <c r="E29" s="74">
        <f t="shared" si="0"/>
        <v>279.92887786208911</v>
      </c>
      <c r="F29" s="74">
        <f t="shared" si="1"/>
        <v>1135.413645438731</v>
      </c>
      <c r="G29" s="74">
        <f t="shared" si="2"/>
        <v>1415.3425233008202</v>
      </c>
    </row>
    <row r="30" spans="2:10" x14ac:dyDescent="0.35">
      <c r="C30">
        <f t="shared" si="3"/>
        <v>9</v>
      </c>
      <c r="D30" s="31">
        <v>44531</v>
      </c>
      <c r="E30" s="74">
        <f t="shared" si="0"/>
        <v>275.19798767276103</v>
      </c>
      <c r="F30" s="74">
        <f t="shared" si="1"/>
        <v>1140.1445356280592</v>
      </c>
      <c r="G30" s="74">
        <f t="shared" si="2"/>
        <v>1415.3425233008202</v>
      </c>
    </row>
    <row r="31" spans="2:10" x14ac:dyDescent="0.35">
      <c r="C31">
        <f t="shared" si="3"/>
        <v>10</v>
      </c>
      <c r="D31" s="31">
        <v>44562</v>
      </c>
      <c r="E31" s="74">
        <f t="shared" si="0"/>
        <v>270.44738544097743</v>
      </c>
      <c r="F31" s="74">
        <f t="shared" si="1"/>
        <v>1144.8951378598429</v>
      </c>
      <c r="G31" s="74">
        <f t="shared" si="2"/>
        <v>1415.3425233008202</v>
      </c>
    </row>
    <row r="32" spans="2:10" x14ac:dyDescent="0.35">
      <c r="C32">
        <f t="shared" si="3"/>
        <v>11</v>
      </c>
      <c r="D32" s="31">
        <v>44593</v>
      </c>
      <c r="E32" s="74">
        <f t="shared" si="0"/>
        <v>265.67698903322815</v>
      </c>
      <c r="F32" s="74">
        <f t="shared" si="1"/>
        <v>1149.665534267592</v>
      </c>
      <c r="G32" s="74">
        <f t="shared" si="2"/>
        <v>1415.3425233008202</v>
      </c>
    </row>
    <row r="33" spans="3:7" x14ac:dyDescent="0.35">
      <c r="C33">
        <f t="shared" si="3"/>
        <v>12</v>
      </c>
      <c r="D33" s="31">
        <v>44621</v>
      </c>
      <c r="E33" s="74">
        <f t="shared" si="0"/>
        <v>260.88671597377981</v>
      </c>
      <c r="F33" s="74">
        <f t="shared" si="1"/>
        <v>1154.4558073270405</v>
      </c>
      <c r="G33" s="74">
        <f t="shared" si="2"/>
        <v>1415.3425233008202</v>
      </c>
    </row>
    <row r="34" spans="3:7" x14ac:dyDescent="0.35">
      <c r="C34">
        <f t="shared" si="3"/>
        <v>13</v>
      </c>
      <c r="D34" s="31">
        <v>44652</v>
      </c>
      <c r="E34" s="74">
        <f t="shared" si="0"/>
        <v>256.07648344325048</v>
      </c>
      <c r="F34" s="74">
        <f t="shared" si="1"/>
        <v>1159.2660398575697</v>
      </c>
      <c r="G34" s="74">
        <f t="shared" si="2"/>
        <v>1415.3425233008202</v>
      </c>
    </row>
    <row r="35" spans="3:7" x14ac:dyDescent="0.35">
      <c r="C35">
        <f t="shared" si="3"/>
        <v>14</v>
      </c>
      <c r="D35" s="31">
        <v>44682</v>
      </c>
      <c r="E35" s="74">
        <f t="shared" si="0"/>
        <v>251.24620827717726</v>
      </c>
      <c r="F35" s="74">
        <f t="shared" si="1"/>
        <v>1164.0963150236428</v>
      </c>
      <c r="G35" s="74">
        <f t="shared" si="2"/>
        <v>1415.3425233008199</v>
      </c>
    </row>
    <row r="36" spans="3:7" x14ac:dyDescent="0.35">
      <c r="C36">
        <f t="shared" si="3"/>
        <v>15</v>
      </c>
      <c r="D36" s="31">
        <v>44713</v>
      </c>
      <c r="E36" s="74">
        <f t="shared" si="0"/>
        <v>246.39580696457878</v>
      </c>
      <c r="F36" s="74">
        <f t="shared" si="1"/>
        <v>1168.9467163362415</v>
      </c>
      <c r="G36" s="74">
        <f t="shared" si="2"/>
        <v>1415.3425233008202</v>
      </c>
    </row>
    <row r="37" spans="3:7" x14ac:dyDescent="0.35">
      <c r="C37">
        <f t="shared" si="3"/>
        <v>16</v>
      </c>
      <c r="D37" s="31">
        <v>44743</v>
      </c>
      <c r="E37" s="74">
        <f t="shared" si="0"/>
        <v>241.52519564651107</v>
      </c>
      <c r="F37" s="74">
        <f t="shared" si="1"/>
        <v>1173.8173276543091</v>
      </c>
      <c r="G37" s="74">
        <f t="shared" si="2"/>
        <v>1415.3425233008202</v>
      </c>
    </row>
    <row r="38" spans="3:7" x14ac:dyDescent="0.35">
      <c r="C38">
        <f t="shared" si="3"/>
        <v>17</v>
      </c>
      <c r="D38" s="31">
        <v>44774</v>
      </c>
      <c r="E38" s="74">
        <f t="shared" si="0"/>
        <v>236.63429011461812</v>
      </c>
      <c r="F38" s="74">
        <f t="shared" si="1"/>
        <v>1178.7082331862018</v>
      </c>
      <c r="G38" s="74">
        <f t="shared" si="2"/>
        <v>1415.3425233008199</v>
      </c>
    </row>
    <row r="39" spans="3:7" x14ac:dyDescent="0.35">
      <c r="C39">
        <f t="shared" si="3"/>
        <v>18</v>
      </c>
      <c r="D39" s="31">
        <v>44805</v>
      </c>
      <c r="E39" s="74">
        <f t="shared" si="0"/>
        <v>231.72300580967564</v>
      </c>
      <c r="F39" s="74">
        <f t="shared" si="1"/>
        <v>1183.6195174911445</v>
      </c>
      <c r="G39" s="74">
        <f t="shared" si="2"/>
        <v>1415.3425233008202</v>
      </c>
    </row>
    <row r="40" spans="3:7" x14ac:dyDescent="0.35">
      <c r="C40">
        <f t="shared" si="3"/>
        <v>19</v>
      </c>
      <c r="D40" s="31">
        <v>44835</v>
      </c>
      <c r="E40" s="74">
        <f t="shared" si="0"/>
        <v>226.79125782012918</v>
      </c>
      <c r="F40" s="74">
        <f t="shared" si="1"/>
        <v>1188.551265480691</v>
      </c>
      <c r="G40" s="74">
        <f t="shared" si="2"/>
        <v>1415.3425233008202</v>
      </c>
    </row>
    <row r="41" spans="3:7" x14ac:dyDescent="0.35">
      <c r="C41">
        <f t="shared" si="3"/>
        <v>20</v>
      </c>
      <c r="D41" s="31">
        <v>44866</v>
      </c>
      <c r="E41" s="74">
        <f t="shared" si="0"/>
        <v>221.83896088062636</v>
      </c>
      <c r="F41" s="74">
        <f t="shared" si="1"/>
        <v>1193.5035624201937</v>
      </c>
      <c r="G41" s="74">
        <f t="shared" si="2"/>
        <v>1415.3425233008202</v>
      </c>
    </row>
    <row r="42" spans="3:7" x14ac:dyDescent="0.35">
      <c r="C42">
        <f t="shared" si="3"/>
        <v>21</v>
      </c>
      <c r="D42" s="31">
        <v>44896</v>
      </c>
      <c r="E42" s="74">
        <f t="shared" si="0"/>
        <v>216.86602937054215</v>
      </c>
      <c r="F42" s="74">
        <f t="shared" si="1"/>
        <v>1198.4764939302779</v>
      </c>
      <c r="G42" s="74">
        <f t="shared" si="2"/>
        <v>1415.3425233008202</v>
      </c>
    </row>
    <row r="43" spans="3:7" x14ac:dyDescent="0.35">
      <c r="C43">
        <f t="shared" si="3"/>
        <v>22</v>
      </c>
      <c r="D43" s="31">
        <v>44927</v>
      </c>
      <c r="E43" s="74">
        <f t="shared" si="0"/>
        <v>211.87237731249937</v>
      </c>
      <c r="F43" s="74">
        <f t="shared" si="1"/>
        <v>1203.4701459883208</v>
      </c>
      <c r="G43" s="74">
        <f t="shared" si="2"/>
        <v>1415.3425233008202</v>
      </c>
    </row>
    <row r="44" spans="3:7" x14ac:dyDescent="0.35">
      <c r="C44">
        <f t="shared" si="3"/>
        <v>23</v>
      </c>
      <c r="D44" s="31">
        <v>44958</v>
      </c>
      <c r="E44" s="74">
        <f t="shared" si="0"/>
        <v>206.85791837088135</v>
      </c>
      <c r="F44" s="74">
        <f t="shared" si="1"/>
        <v>1208.4846049299388</v>
      </c>
      <c r="G44" s="74">
        <f t="shared" si="2"/>
        <v>1415.3425233008202</v>
      </c>
    </row>
    <row r="45" spans="3:7" x14ac:dyDescent="0.35">
      <c r="C45">
        <f t="shared" si="3"/>
        <v>24</v>
      </c>
      <c r="D45" s="31">
        <v>44986</v>
      </c>
      <c r="E45" s="74">
        <f t="shared" si="0"/>
        <v>201.82256585033994</v>
      </c>
      <c r="F45" s="74">
        <f t="shared" si="1"/>
        <v>1213.5199574504802</v>
      </c>
      <c r="G45" s="74">
        <f t="shared" si="2"/>
        <v>1415.3425233008202</v>
      </c>
    </row>
    <row r="46" spans="3:7" x14ac:dyDescent="0.35">
      <c r="C46">
        <f t="shared" si="3"/>
        <v>25</v>
      </c>
      <c r="D46" s="31">
        <v>45017</v>
      </c>
      <c r="E46" s="74">
        <f t="shared" si="0"/>
        <v>196.76623269429626</v>
      </c>
      <c r="F46" s="74">
        <f t="shared" si="1"/>
        <v>1218.576290606524</v>
      </c>
      <c r="G46" s="74">
        <f t="shared" si="2"/>
        <v>1415.3425233008202</v>
      </c>
    </row>
    <row r="47" spans="3:7" x14ac:dyDescent="0.35">
      <c r="C47">
        <f t="shared" si="3"/>
        <v>26</v>
      </c>
      <c r="D47" s="31">
        <v>45047</v>
      </c>
      <c r="E47" s="74">
        <f t="shared" si="0"/>
        <v>191.68883148343576</v>
      </c>
      <c r="F47" s="74">
        <f t="shared" si="1"/>
        <v>1223.6536918173845</v>
      </c>
      <c r="G47" s="74">
        <f t="shared" si="2"/>
        <v>1415.3425233008202</v>
      </c>
    </row>
    <row r="48" spans="3:7" x14ac:dyDescent="0.35">
      <c r="C48">
        <f t="shared" si="3"/>
        <v>27</v>
      </c>
      <c r="D48" s="31">
        <v>45078</v>
      </c>
      <c r="E48" s="74">
        <f t="shared" si="0"/>
        <v>186.59027443419666</v>
      </c>
      <c r="F48" s="74">
        <f t="shared" si="1"/>
        <v>1228.7522488666234</v>
      </c>
      <c r="G48" s="74">
        <f t="shared" si="2"/>
        <v>1415.3425233008202</v>
      </c>
    </row>
    <row r="49" spans="3:7" x14ac:dyDescent="0.35">
      <c r="C49">
        <f t="shared" si="3"/>
        <v>28</v>
      </c>
      <c r="D49" s="31">
        <v>45108</v>
      </c>
      <c r="E49" s="74">
        <f t="shared" si="0"/>
        <v>181.47047339725236</v>
      </c>
      <c r="F49" s="74">
        <f t="shared" si="1"/>
        <v>1233.8720499035676</v>
      </c>
      <c r="G49" s="74">
        <f t="shared" si="2"/>
        <v>1415.3425233008199</v>
      </c>
    </row>
    <row r="50" spans="3:7" x14ac:dyDescent="0.35">
      <c r="C50">
        <f t="shared" si="3"/>
        <v>29</v>
      </c>
      <c r="D50" s="31">
        <v>45139</v>
      </c>
      <c r="E50" s="74">
        <f t="shared" si="0"/>
        <v>176.32933985598754</v>
      </c>
      <c r="F50" s="74">
        <f t="shared" si="1"/>
        <v>1239.0131834448327</v>
      </c>
      <c r="G50" s="74">
        <f t="shared" si="2"/>
        <v>1415.3425233008202</v>
      </c>
    </row>
    <row r="51" spans="3:7" x14ac:dyDescent="0.35">
      <c r="C51">
        <f t="shared" si="3"/>
        <v>30</v>
      </c>
      <c r="D51" s="31">
        <v>45170</v>
      </c>
      <c r="E51" s="74">
        <f t="shared" si="0"/>
        <v>171.16678492496743</v>
      </c>
      <c r="F51" s="74">
        <f t="shared" si="1"/>
        <v>1244.1757383758527</v>
      </c>
      <c r="G51" s="74">
        <f t="shared" si="2"/>
        <v>1415.3425233008202</v>
      </c>
    </row>
    <row r="52" spans="3:7" x14ac:dyDescent="0.35">
      <c r="C52">
        <f t="shared" si="3"/>
        <v>31</v>
      </c>
      <c r="D52" s="31">
        <v>45200</v>
      </c>
      <c r="E52" s="74">
        <f t="shared" si="0"/>
        <v>165.98271934840133</v>
      </c>
      <c r="F52" s="74">
        <f t="shared" si="1"/>
        <v>1249.3598039524188</v>
      </c>
      <c r="G52" s="74">
        <f t="shared" si="2"/>
        <v>1415.3425233008202</v>
      </c>
    </row>
    <row r="53" spans="3:7" x14ac:dyDescent="0.35">
      <c r="C53">
        <f t="shared" si="3"/>
        <v>32</v>
      </c>
      <c r="D53" s="31">
        <v>45231</v>
      </c>
      <c r="E53" s="74">
        <f t="shared" si="0"/>
        <v>160.77705349859963</v>
      </c>
      <c r="F53" s="74">
        <f t="shared" si="1"/>
        <v>1254.5654698022206</v>
      </c>
      <c r="G53" s="74">
        <f t="shared" si="2"/>
        <v>1415.3425233008202</v>
      </c>
    </row>
    <row r="54" spans="3:7" x14ac:dyDescent="0.35">
      <c r="C54">
        <f t="shared" si="3"/>
        <v>33</v>
      </c>
      <c r="D54" s="31">
        <v>45261</v>
      </c>
      <c r="E54" s="74">
        <f t="shared" si="0"/>
        <v>155.54969737442372</v>
      </c>
      <c r="F54" s="74">
        <f t="shared" si="1"/>
        <v>1259.7928259263965</v>
      </c>
      <c r="G54" s="74">
        <f t="shared" si="2"/>
        <v>1415.3425233008202</v>
      </c>
    </row>
    <row r="55" spans="3:7" x14ac:dyDescent="0.35">
      <c r="C55">
        <f t="shared" si="3"/>
        <v>34</v>
      </c>
      <c r="D55" s="31">
        <v>45292</v>
      </c>
      <c r="E55" s="74">
        <f t="shared" si="0"/>
        <v>150.30056059973037</v>
      </c>
      <c r="F55" s="74">
        <f t="shared" si="1"/>
        <v>1265.0419627010897</v>
      </c>
      <c r="G55" s="74">
        <f t="shared" si="2"/>
        <v>1415.3425233008202</v>
      </c>
    </row>
    <row r="56" spans="3:7" x14ac:dyDescent="0.35">
      <c r="C56">
        <f t="shared" si="3"/>
        <v>35</v>
      </c>
      <c r="D56" s="31">
        <v>45323</v>
      </c>
      <c r="E56" s="74">
        <f t="shared" si="0"/>
        <v>145.02955242180914</v>
      </c>
      <c r="F56" s="74">
        <f t="shared" si="1"/>
        <v>1270.3129708790111</v>
      </c>
      <c r="G56" s="74">
        <f t="shared" si="2"/>
        <v>1415.3425233008202</v>
      </c>
    </row>
    <row r="57" spans="3:7" x14ac:dyDescent="0.35">
      <c r="C57">
        <f t="shared" si="3"/>
        <v>36</v>
      </c>
      <c r="D57" s="31">
        <v>45352</v>
      </c>
      <c r="E57" s="74">
        <f t="shared" si="0"/>
        <v>139.73658170981332</v>
      </c>
      <c r="F57" s="74">
        <f t="shared" si="1"/>
        <v>1275.605941591007</v>
      </c>
      <c r="G57" s="74">
        <f t="shared" si="2"/>
        <v>1415.3425233008202</v>
      </c>
    </row>
    <row r="58" spans="3:7" x14ac:dyDescent="0.35">
      <c r="C58">
        <f t="shared" si="3"/>
        <v>37</v>
      </c>
      <c r="D58" s="31">
        <v>45383</v>
      </c>
      <c r="E58" s="74">
        <f t="shared" si="0"/>
        <v>134.42155695318408</v>
      </c>
      <c r="F58" s="74">
        <f t="shared" si="1"/>
        <v>1280.9209663476361</v>
      </c>
      <c r="G58" s="74">
        <f t="shared" si="2"/>
        <v>1415.3425233008202</v>
      </c>
    </row>
    <row r="59" spans="3:7" x14ac:dyDescent="0.35">
      <c r="C59">
        <f t="shared" si="3"/>
        <v>38</v>
      </c>
      <c r="D59" s="31">
        <v>45413</v>
      </c>
      <c r="E59" s="74">
        <f t="shared" si="0"/>
        <v>129.08438626006892</v>
      </c>
      <c r="F59" s="74">
        <f t="shared" si="1"/>
        <v>1286.2581370407511</v>
      </c>
      <c r="G59" s="74">
        <f t="shared" si="2"/>
        <v>1415.3425233008199</v>
      </c>
    </row>
    <row r="60" spans="3:7" x14ac:dyDescent="0.35">
      <c r="C60">
        <f t="shared" si="3"/>
        <v>39</v>
      </c>
      <c r="D60" s="31">
        <v>45444</v>
      </c>
      <c r="E60" s="74">
        <f t="shared" si="0"/>
        <v>123.72497735573246</v>
      </c>
      <c r="F60" s="74">
        <f t="shared" si="1"/>
        <v>1291.6175459450876</v>
      </c>
      <c r="G60" s="74">
        <f t="shared" si="2"/>
        <v>1415.3425233008202</v>
      </c>
    </row>
    <row r="61" spans="3:7" x14ac:dyDescent="0.35">
      <c r="C61">
        <f t="shared" si="3"/>
        <v>40</v>
      </c>
      <c r="D61" s="31">
        <v>45474</v>
      </c>
      <c r="E61" s="74">
        <f t="shared" si="0"/>
        <v>118.34323758096127</v>
      </c>
      <c r="F61" s="74">
        <f t="shared" si="1"/>
        <v>1296.999285719859</v>
      </c>
      <c r="G61" s="74">
        <f t="shared" si="2"/>
        <v>1415.3425233008202</v>
      </c>
    </row>
    <row r="62" spans="3:7" x14ac:dyDescent="0.35">
      <c r="C62">
        <f t="shared" si="3"/>
        <v>41</v>
      </c>
      <c r="D62" s="31">
        <v>45505</v>
      </c>
      <c r="E62" s="74">
        <f t="shared" si="0"/>
        <v>112.93907389046184</v>
      </c>
      <c r="F62" s="74">
        <f t="shared" si="1"/>
        <v>1302.4034494103582</v>
      </c>
      <c r="G62" s="74">
        <f t="shared" si="2"/>
        <v>1415.3425233008202</v>
      </c>
    </row>
    <row r="63" spans="3:7" x14ac:dyDescent="0.35">
      <c r="C63">
        <f t="shared" si="3"/>
        <v>42</v>
      </c>
      <c r="D63" s="31">
        <v>45536</v>
      </c>
      <c r="E63" s="74">
        <f t="shared" si="0"/>
        <v>107.51239285125206</v>
      </c>
      <c r="F63" s="74">
        <f t="shared" si="1"/>
        <v>1307.8301304495683</v>
      </c>
      <c r="G63" s="74">
        <f t="shared" si="2"/>
        <v>1415.3425233008204</v>
      </c>
    </row>
    <row r="64" spans="3:7" x14ac:dyDescent="0.35">
      <c r="C64">
        <f t="shared" si="3"/>
        <v>43</v>
      </c>
      <c r="D64" s="31">
        <v>45566</v>
      </c>
      <c r="E64" s="74">
        <f t="shared" si="0"/>
        <v>102.06310064104551</v>
      </c>
      <c r="F64" s="74">
        <f t="shared" si="1"/>
        <v>1313.2794226597748</v>
      </c>
      <c r="G64" s="74">
        <f t="shared" si="2"/>
        <v>1415.3425233008204</v>
      </c>
    </row>
    <row r="65" spans="3:7" x14ac:dyDescent="0.35">
      <c r="C65">
        <f t="shared" si="3"/>
        <v>44</v>
      </c>
      <c r="D65" s="31">
        <v>45597</v>
      </c>
      <c r="E65" s="74">
        <f t="shared" si="0"/>
        <v>96.591103046629783</v>
      </c>
      <c r="F65" s="74">
        <f t="shared" si="1"/>
        <v>1318.7514202541904</v>
      </c>
      <c r="G65" s="74">
        <f t="shared" si="2"/>
        <v>1415.3425233008202</v>
      </c>
    </row>
    <row r="66" spans="3:7" x14ac:dyDescent="0.35">
      <c r="C66">
        <f t="shared" si="3"/>
        <v>45</v>
      </c>
      <c r="D66" s="31">
        <v>45627</v>
      </c>
      <c r="E66" s="74">
        <f t="shared" si="0"/>
        <v>91.096305462237325</v>
      </c>
      <c r="F66" s="74">
        <f t="shared" si="1"/>
        <v>1324.2462178385829</v>
      </c>
      <c r="G66" s="74">
        <f t="shared" si="2"/>
        <v>1415.3425233008202</v>
      </c>
    </row>
    <row r="67" spans="3:7" x14ac:dyDescent="0.35">
      <c r="C67">
        <f t="shared" si="3"/>
        <v>46</v>
      </c>
      <c r="D67" s="31">
        <v>45658</v>
      </c>
      <c r="E67" s="74">
        <f t="shared" si="0"/>
        <v>85.578612887909898</v>
      </c>
      <c r="F67" s="74">
        <f t="shared" si="1"/>
        <v>1329.7639104129103</v>
      </c>
      <c r="G67" s="74">
        <f t="shared" si="2"/>
        <v>1415.3425233008202</v>
      </c>
    </row>
    <row r="68" spans="3:7" x14ac:dyDescent="0.35">
      <c r="C68">
        <f>C67+1</f>
        <v>47</v>
      </c>
      <c r="D68" s="31">
        <v>45689</v>
      </c>
      <c r="E68" s="74">
        <f t="shared" si="0"/>
        <v>80.037929927856112</v>
      </c>
      <c r="F68" s="74">
        <f t="shared" si="1"/>
        <v>1335.3045933729641</v>
      </c>
      <c r="G68" s="74">
        <f t="shared" si="2"/>
        <v>1415.3425233008202</v>
      </c>
    </row>
    <row r="69" spans="3:7" x14ac:dyDescent="0.35">
      <c r="C69">
        <f t="shared" si="3"/>
        <v>48</v>
      </c>
      <c r="D69" s="31">
        <v>45717</v>
      </c>
      <c r="E69" s="74">
        <f t="shared" si="0"/>
        <v>74.474160788802081</v>
      </c>
      <c r="F69" s="74">
        <f t="shared" si="1"/>
        <v>1340.8683625120182</v>
      </c>
      <c r="G69" s="74">
        <f t="shared" si="2"/>
        <v>1415.3425233008202</v>
      </c>
    </row>
    <row r="70" spans="3:7" x14ac:dyDescent="0.35">
      <c r="C70">
        <f t="shared" si="3"/>
        <v>49</v>
      </c>
      <c r="D70" s="31">
        <v>45748</v>
      </c>
      <c r="E70" s="74">
        <f t="shared" si="0"/>
        <v>68.887209278335348</v>
      </c>
      <c r="F70" s="74">
        <f t="shared" si="1"/>
        <v>1346.4553140224848</v>
      </c>
      <c r="G70" s="74">
        <f t="shared" si="2"/>
        <v>1415.3425233008202</v>
      </c>
    </row>
    <row r="71" spans="3:7" x14ac:dyDescent="0.35">
      <c r="C71">
        <f t="shared" si="3"/>
        <v>50</v>
      </c>
      <c r="D71" s="31">
        <v>45778</v>
      </c>
      <c r="E71" s="74">
        <f t="shared" si="0"/>
        <v>63.276978803241661</v>
      </c>
      <c r="F71" s="74">
        <f t="shared" si="1"/>
        <v>1352.0655444975785</v>
      </c>
      <c r="G71" s="74">
        <f t="shared" si="2"/>
        <v>1415.3425233008202</v>
      </c>
    </row>
    <row r="72" spans="3:7" x14ac:dyDescent="0.35">
      <c r="C72">
        <f t="shared" si="3"/>
        <v>51</v>
      </c>
      <c r="D72" s="31">
        <v>45809</v>
      </c>
      <c r="E72" s="74">
        <f t="shared" si="0"/>
        <v>57.643372367835077</v>
      </c>
      <c r="F72" s="74">
        <f t="shared" si="1"/>
        <v>1357.699150932985</v>
      </c>
      <c r="G72" s="74">
        <f t="shared" si="2"/>
        <v>1415.3425233008202</v>
      </c>
    </row>
    <row r="73" spans="3:7" x14ac:dyDescent="0.35">
      <c r="C73">
        <f t="shared" si="3"/>
        <v>52</v>
      </c>
      <c r="D73" s="31">
        <v>45839</v>
      </c>
      <c r="E73" s="74">
        <f t="shared" si="0"/>
        <v>51.986292572280981</v>
      </c>
      <c r="F73" s="74">
        <f t="shared" si="1"/>
        <v>1363.3562307285392</v>
      </c>
      <c r="G73" s="74">
        <f t="shared" si="2"/>
        <v>1415.3425233008202</v>
      </c>
    </row>
    <row r="74" spans="3:7" x14ac:dyDescent="0.35">
      <c r="C74">
        <f t="shared" si="3"/>
        <v>53</v>
      </c>
      <c r="D74" s="31">
        <v>45870</v>
      </c>
      <c r="E74" s="74">
        <f t="shared" si="0"/>
        <v>46.305641610912069</v>
      </c>
      <c r="F74" s="74">
        <f t="shared" si="1"/>
        <v>1369.0368816899079</v>
      </c>
      <c r="G74" s="74">
        <f t="shared" si="2"/>
        <v>1415.3425233008199</v>
      </c>
    </row>
    <row r="75" spans="3:7" x14ac:dyDescent="0.35">
      <c r="C75">
        <f t="shared" si="3"/>
        <v>54</v>
      </c>
      <c r="D75" s="31">
        <v>45901</v>
      </c>
      <c r="E75" s="74">
        <f t="shared" si="0"/>
        <v>40.601321270537461</v>
      </c>
      <c r="F75" s="74">
        <f t="shared" si="1"/>
        <v>1374.7412020302829</v>
      </c>
      <c r="G75" s="74">
        <f t="shared" si="2"/>
        <v>1415.3425233008204</v>
      </c>
    </row>
    <row r="76" spans="3:7" x14ac:dyDescent="0.35">
      <c r="C76">
        <f t="shared" si="3"/>
        <v>55</v>
      </c>
      <c r="D76" s="31">
        <v>45931</v>
      </c>
      <c r="E76" s="74">
        <f t="shared" si="0"/>
        <v>34.873232928744613</v>
      </c>
      <c r="F76" s="74">
        <f t="shared" si="1"/>
        <v>1380.4692903720756</v>
      </c>
      <c r="G76" s="74">
        <f t="shared" si="2"/>
        <v>1415.3425233008202</v>
      </c>
    </row>
    <row r="77" spans="3:7" x14ac:dyDescent="0.35">
      <c r="C77">
        <f t="shared" si="3"/>
        <v>56</v>
      </c>
      <c r="D77" s="31">
        <v>45962</v>
      </c>
      <c r="E77" s="74">
        <f t="shared" si="0"/>
        <v>29.121277552194293</v>
      </c>
      <c r="F77" s="74">
        <f t="shared" si="1"/>
        <v>1386.2212457486257</v>
      </c>
      <c r="G77" s="74">
        <f t="shared" si="2"/>
        <v>1415.3425233008199</v>
      </c>
    </row>
    <row r="78" spans="3:7" x14ac:dyDescent="0.35">
      <c r="C78">
        <f t="shared" si="3"/>
        <v>57</v>
      </c>
      <c r="D78" s="31">
        <v>45992</v>
      </c>
      <c r="E78" s="74">
        <f t="shared" si="0"/>
        <v>23.345355694908356</v>
      </c>
      <c r="F78" s="74">
        <f t="shared" si="1"/>
        <v>1391.9971676059117</v>
      </c>
      <c r="G78" s="74">
        <f t="shared" si="2"/>
        <v>1415.3425233008202</v>
      </c>
    </row>
    <row r="79" spans="3:7" x14ac:dyDescent="0.35">
      <c r="C79">
        <f t="shared" si="3"/>
        <v>58</v>
      </c>
      <c r="D79" s="31">
        <v>46023</v>
      </c>
      <c r="E79" s="74">
        <f t="shared" si="0"/>
        <v>17.545367496550394</v>
      </c>
      <c r="F79" s="74">
        <f t="shared" si="1"/>
        <v>1397.7971558042698</v>
      </c>
      <c r="G79" s="74">
        <f t="shared" si="2"/>
        <v>1415.3425233008202</v>
      </c>
    </row>
    <row r="80" spans="3:7" x14ac:dyDescent="0.35">
      <c r="C80">
        <f t="shared" si="3"/>
        <v>59</v>
      </c>
      <c r="D80" s="31">
        <v>46054</v>
      </c>
      <c r="E80" s="74">
        <f t="shared" si="0"/>
        <v>11.721212680699271</v>
      </c>
      <c r="F80" s="74">
        <f t="shared" si="1"/>
        <v>1403.621310620121</v>
      </c>
      <c r="G80" s="74">
        <f t="shared" si="2"/>
        <v>1415.3425233008202</v>
      </c>
    </row>
    <row r="81" spans="3:7" x14ac:dyDescent="0.35">
      <c r="C81">
        <f t="shared" si="3"/>
        <v>60</v>
      </c>
      <c r="D81" s="31">
        <v>46082</v>
      </c>
      <c r="E81" s="76">
        <f t="shared" si="0"/>
        <v>5.8727905531154354</v>
      </c>
      <c r="F81" s="76">
        <f t="shared" si="1"/>
        <v>1409.4697327477047</v>
      </c>
      <c r="G81" s="76">
        <f t="shared" si="2"/>
        <v>1415.3425233008202</v>
      </c>
    </row>
    <row r="82" spans="3:7" x14ac:dyDescent="0.35">
      <c r="C82" t="s">
        <v>42</v>
      </c>
      <c r="D82" s="31" t="s">
        <v>306</v>
      </c>
      <c r="E82" s="75">
        <f>SUM(E22:E81)</f>
        <v>9920.5513980491942</v>
      </c>
      <c r="F82" s="75">
        <f t="shared" ref="F82:G82" si="5">SUM(F22:F81)</f>
        <v>74999.999999999985</v>
      </c>
      <c r="G82" s="75">
        <f t="shared" si="5"/>
        <v>84920.551398049094</v>
      </c>
    </row>
    <row r="83" spans="3:7" x14ac:dyDescent="0.35">
      <c r="C83" t="s">
        <v>42</v>
      </c>
      <c r="D83" s="31"/>
      <c r="E83" s="73"/>
      <c r="F83" s="73"/>
      <c r="G83" s="73"/>
    </row>
    <row r="84" spans="3:7" x14ac:dyDescent="0.35">
      <c r="C84" t="s">
        <v>307</v>
      </c>
      <c r="D84" s="31"/>
      <c r="E84" s="73">
        <f>SUM(E22:E30)</f>
        <v>2645.4552155419724</v>
      </c>
      <c r="F84" s="73">
        <f>SUM(F22:F30)</f>
        <v>10092.627494165408</v>
      </c>
      <c r="G84" s="73">
        <f>SUM(E84:F84)</f>
        <v>12738.082709707382</v>
      </c>
    </row>
    <row r="85" spans="3:7" x14ac:dyDescent="0.35">
      <c r="C85" t="s">
        <v>308</v>
      </c>
      <c r="D85" s="31"/>
      <c r="E85" s="73">
        <f>SUM(E31:E42)</f>
        <v>2926.1083287750939</v>
      </c>
      <c r="F85" s="73">
        <f>SUM(F31:F42)</f>
        <v>14058.001950834749</v>
      </c>
      <c r="G85" s="73">
        <f t="shared" ref="G85:G90" si="6">SUM(E85:F85)</f>
        <v>16984.110279609842</v>
      </c>
    </row>
    <row r="86" spans="3:7" x14ac:dyDescent="0.35">
      <c r="C86" t="s">
        <v>309</v>
      </c>
      <c r="D86" s="31"/>
      <c r="E86" s="73">
        <f>SUM(E43:E54)</f>
        <v>2206.8742685452817</v>
      </c>
      <c r="F86" s="73">
        <f>SUM(F43:F54)</f>
        <v>14777.23601106456</v>
      </c>
      <c r="G86" s="73">
        <f t="shared" si="6"/>
        <v>16984.110279609842</v>
      </c>
    </row>
    <row r="87" spans="3:7" x14ac:dyDescent="0.35">
      <c r="C87" t="s">
        <v>310</v>
      </c>
      <c r="D87" s="31"/>
      <c r="E87" s="73">
        <f>SUM(E55:E66)</f>
        <v>1450.8428287729264</v>
      </c>
      <c r="F87" s="73">
        <f>SUM(F55:F66)</f>
        <v>15533.267450836916</v>
      </c>
      <c r="G87" s="73">
        <f t="shared" si="6"/>
        <v>16984.110279609842</v>
      </c>
    </row>
    <row r="88" spans="3:7" x14ac:dyDescent="0.35">
      <c r="C88" t="s">
        <v>311</v>
      </c>
      <c r="D88" s="31"/>
      <c r="E88" s="73">
        <f>SUM(E67:E78)</f>
        <v>656.13138568355805</v>
      </c>
      <c r="F88" s="73">
        <f>SUM(F67:F78)</f>
        <v>16327.978893926285</v>
      </c>
      <c r="G88" s="73">
        <f t="shared" si="6"/>
        <v>16984.110279609842</v>
      </c>
    </row>
    <row r="89" spans="3:7" x14ac:dyDescent="0.35">
      <c r="C89" t="s">
        <v>312</v>
      </c>
      <c r="D89" s="31"/>
      <c r="E89" s="77">
        <f>SUM(E79:E81)</f>
        <v>35.139370730365101</v>
      </c>
      <c r="F89" s="77">
        <f>SUM(F79:F81)</f>
        <v>4210.8881991720955</v>
      </c>
      <c r="G89" s="77">
        <f t="shared" si="6"/>
        <v>4246.0275699024605</v>
      </c>
    </row>
    <row r="90" spans="3:7" x14ac:dyDescent="0.35">
      <c r="D90" s="31" t="s">
        <v>306</v>
      </c>
      <c r="E90" s="75">
        <f>SUM(E84:E89)</f>
        <v>9920.5513980491978</v>
      </c>
      <c r="F90" s="75">
        <f>SUM(F84:F89)</f>
        <v>75000.000000000015</v>
      </c>
      <c r="G90" s="75">
        <f t="shared" si="6"/>
        <v>84920.551398049211</v>
      </c>
    </row>
    <row r="91" spans="3:7" x14ac:dyDescent="0.35">
      <c r="D91" s="31"/>
      <c r="E91" s="73"/>
      <c r="F91" s="73"/>
      <c r="G91" s="73"/>
    </row>
    <row r="92" spans="3:7" x14ac:dyDescent="0.35">
      <c r="C92" t="s">
        <v>42</v>
      </c>
      <c r="D92" s="31"/>
      <c r="E92" s="73"/>
      <c r="F92" s="73"/>
      <c r="G92" s="73"/>
    </row>
    <row r="93" spans="3:7" x14ac:dyDescent="0.35">
      <c r="D93" s="31"/>
      <c r="E93" s="73"/>
      <c r="F93" s="73"/>
      <c r="G93" s="73"/>
    </row>
    <row r="94" spans="3:7" x14ac:dyDescent="0.35">
      <c r="D94" s="31"/>
      <c r="E94" s="73"/>
      <c r="F94" s="73"/>
      <c r="G94" s="73"/>
    </row>
    <row r="95" spans="3:7" x14ac:dyDescent="0.35">
      <c r="D95" s="31"/>
      <c r="E95" s="73"/>
      <c r="F95" s="73"/>
      <c r="G95" s="73"/>
    </row>
    <row r="96" spans="3:7" x14ac:dyDescent="0.35">
      <c r="D96" s="31"/>
      <c r="E96" s="73"/>
      <c r="F96" s="73"/>
      <c r="G96" s="73"/>
    </row>
    <row r="97" spans="4:7" x14ac:dyDescent="0.35">
      <c r="D97" s="31"/>
      <c r="E97" s="73"/>
      <c r="F97" s="73"/>
      <c r="G97" s="73"/>
    </row>
    <row r="98" spans="4:7" x14ac:dyDescent="0.35">
      <c r="D98" s="31"/>
      <c r="E98" s="73"/>
      <c r="F98" s="73"/>
      <c r="G98" s="73"/>
    </row>
    <row r="99" spans="4:7" x14ac:dyDescent="0.35">
      <c r="D99" s="31"/>
      <c r="E99" s="73"/>
      <c r="F99" s="73"/>
      <c r="G99" s="73"/>
    </row>
    <row r="100" spans="4:7" x14ac:dyDescent="0.35">
      <c r="D100" s="31"/>
      <c r="E100" s="73"/>
      <c r="F100" s="73"/>
      <c r="G100" s="73"/>
    </row>
    <row r="101" spans="4:7" x14ac:dyDescent="0.35">
      <c r="D101" s="31"/>
      <c r="E101" s="73"/>
      <c r="F101" s="73"/>
      <c r="G101" s="73"/>
    </row>
    <row r="102" spans="4:7" x14ac:dyDescent="0.35">
      <c r="D102" s="31"/>
      <c r="E102" s="73"/>
      <c r="F102" s="73"/>
      <c r="G102" s="73"/>
    </row>
    <row r="103" spans="4:7" x14ac:dyDescent="0.35">
      <c r="D103" s="31"/>
      <c r="E103" s="73"/>
      <c r="F103" s="73"/>
      <c r="G103" s="73"/>
    </row>
    <row r="104" spans="4:7" x14ac:dyDescent="0.35">
      <c r="D104" s="31"/>
      <c r="E104" s="73"/>
      <c r="F104" s="73"/>
      <c r="G104" s="73"/>
    </row>
    <row r="105" spans="4:7" x14ac:dyDescent="0.35">
      <c r="D105" s="31"/>
      <c r="E105" s="73"/>
      <c r="F105" s="73"/>
      <c r="G105" s="73"/>
    </row>
    <row r="106" spans="4:7" x14ac:dyDescent="0.35">
      <c r="D106" s="31"/>
      <c r="E106" s="73"/>
      <c r="F106" s="73"/>
      <c r="G106" s="73"/>
    </row>
    <row r="107" spans="4:7" x14ac:dyDescent="0.35">
      <c r="D107" s="31"/>
      <c r="E107" s="73"/>
      <c r="F107" s="73"/>
      <c r="G107" s="73"/>
    </row>
    <row r="108" spans="4:7" x14ac:dyDescent="0.35">
      <c r="D108" s="31"/>
      <c r="E108" s="73"/>
      <c r="F108" s="73"/>
      <c r="G108" s="73"/>
    </row>
    <row r="109" spans="4:7" x14ac:dyDescent="0.35">
      <c r="D109" s="31"/>
      <c r="E109" s="73"/>
      <c r="F109" s="73"/>
      <c r="G109" s="73"/>
    </row>
    <row r="110" spans="4:7" x14ac:dyDescent="0.35">
      <c r="D110" s="31"/>
      <c r="E110" s="73"/>
      <c r="F110" s="73"/>
      <c r="G110" s="73"/>
    </row>
    <row r="111" spans="4:7" x14ac:dyDescent="0.35">
      <c r="D111" s="31"/>
      <c r="E111" s="73"/>
      <c r="F111" s="73"/>
      <c r="G111" s="73"/>
    </row>
    <row r="112" spans="4:7" x14ac:dyDescent="0.35">
      <c r="D112" s="31"/>
      <c r="E112" s="73"/>
      <c r="F112" s="73"/>
      <c r="G112" s="73"/>
    </row>
    <row r="113" spans="4:7" x14ac:dyDescent="0.35">
      <c r="D113" s="31"/>
      <c r="E113" s="73"/>
      <c r="F113" s="73"/>
      <c r="G113" s="73"/>
    </row>
    <row r="114" spans="4:7" x14ac:dyDescent="0.35">
      <c r="D114" s="31"/>
      <c r="E114" s="73"/>
      <c r="F114" s="73"/>
      <c r="G114" s="73"/>
    </row>
    <row r="115" spans="4:7" x14ac:dyDescent="0.35">
      <c r="D115" s="31"/>
      <c r="E115" s="73"/>
      <c r="F115" s="73"/>
      <c r="G115" s="73"/>
    </row>
    <row r="116" spans="4:7" x14ac:dyDescent="0.35">
      <c r="D116" s="31"/>
      <c r="E116" s="73"/>
      <c r="F116" s="73"/>
      <c r="G116" s="73"/>
    </row>
    <row r="117" spans="4:7" x14ac:dyDescent="0.35">
      <c r="D117" s="31"/>
      <c r="E117" s="73"/>
      <c r="F117" s="73"/>
      <c r="G117" s="73"/>
    </row>
    <row r="118" spans="4:7" x14ac:dyDescent="0.35">
      <c r="D118" s="31"/>
      <c r="E118" s="73"/>
      <c r="F118" s="73"/>
      <c r="G118" s="73"/>
    </row>
    <row r="119" spans="4:7" x14ac:dyDescent="0.35">
      <c r="E119" s="73"/>
      <c r="F119" s="73"/>
      <c r="G119" s="73"/>
    </row>
    <row r="120" spans="4:7" x14ac:dyDescent="0.35">
      <c r="E120" s="73"/>
      <c r="F120" s="73"/>
      <c r="G120" s="73"/>
    </row>
  </sheetData>
  <hyperlinks>
    <hyperlink ref="J2" location="'1 - Total Startup Costs'!A1" display="Tab 1 - Estimate Your Total Startup Costs" xr:uid="{C59244C3-7FB1-4793-BBB1-B27B36D4AB0B}"/>
    <hyperlink ref="J3" location="'2 - Staffing Labor'!A1" display="Tab 2 - Estimate Your Startup Labor Costs" xr:uid="{CAC99671-9512-4715-9257-B6AE0E73D25E}"/>
    <hyperlink ref="J4" location="'3 - Sales Estimate'!A1" display="Tab 3 - Estimate Your Sales for Year 1" xr:uid="{0055BAAA-D2A6-4784-A095-A9033A2B2D03}"/>
    <hyperlink ref="J5" location="'4 - Income Statement'!A1" display="Tab 4 - Compile 3 Years of Income Statements" xr:uid="{874D9AE4-1102-4D1B-B09F-CB779BBA007B}"/>
    <hyperlink ref="J6" location="'5 - Financing Needed'!A1" display="Tab 5 - Finalize Your Startup Costs and Funding" xr:uid="{99A129C6-56FD-4097-B30D-B7537517A4EC}"/>
    <hyperlink ref="J7" location="'6 - Loan Schedule'!A1" display="Tab 6 - Loan Amortization Schedule" xr:uid="{2B8893BD-B3BC-4838-A169-F3879D51E13F}"/>
    <hyperlink ref="J8" location="'7 - Post Transactions'!A1" display="Tab 7 - Post All Financial Transactions" xr:uid="{65DDC2E0-B4F9-4881-A63C-A2B257DE64F1}"/>
    <hyperlink ref="J9" location="'8 - Inventory'!A1" display="Tab 8 - Reconcile Inventory Activity" xr:uid="{1B280B90-F9A7-44FF-9310-A83C67D6E5B7}"/>
    <hyperlink ref="J10" location="'9 - Cash Flow Stmts'!A1" display="Tab 9 - Compile Cash Flow Statements" xr:uid="{696CFCE1-CE5A-4E6C-B920-D56B185E7000}"/>
    <hyperlink ref="J11" location="'10 - Balance Sheets'!A1" display="Tab 10 - Compile Balance Sheets" xr:uid="{CBFBEBAB-6051-45ED-A7D6-25916FC4FF49}"/>
    <hyperlink ref="J12" location="'11 - Income Stmt Summaries'!A1" display="Tab 11 - Compile Summarize Income Statements" xr:uid="{99FED1FB-2C1C-4BBD-8FD3-EB00D4D2A536}"/>
    <hyperlink ref="J13" location="Key_Ratios" display="Key Ratios" xr:uid="{EB7B2CC5-19E2-4645-AE2E-5905C7969EFE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13DA9-E335-43D1-BC50-E9F79FA1B4C7}">
  <dimension ref="A1:AF155"/>
  <sheetViews>
    <sheetView topLeftCell="A13" workbookViewId="0">
      <selection activeCell="B17" sqref="B17"/>
    </sheetView>
  </sheetViews>
  <sheetFormatPr defaultRowHeight="14.5" x14ac:dyDescent="0.35"/>
  <cols>
    <col min="1" max="1" width="25.90625" customWidth="1"/>
    <col min="2" max="2" width="35.36328125" customWidth="1"/>
    <col min="3" max="43" width="11.6328125" customWidth="1"/>
  </cols>
  <sheetData>
    <row r="1" spans="1:32" ht="26" x14ac:dyDescent="0.6">
      <c r="B1" s="1" t="s">
        <v>336</v>
      </c>
    </row>
    <row r="3" spans="1:32" x14ac:dyDescent="0.35">
      <c r="A3" t="s">
        <v>337</v>
      </c>
    </row>
    <row r="4" spans="1:32" x14ac:dyDescent="0.35">
      <c r="A4" t="s">
        <v>338</v>
      </c>
    </row>
    <row r="5" spans="1:32" x14ac:dyDescent="0.35">
      <c r="A5" t="s">
        <v>339</v>
      </c>
    </row>
    <row r="6" spans="1:32" x14ac:dyDescent="0.35">
      <c r="A6" t="s">
        <v>340</v>
      </c>
    </row>
    <row r="7" spans="1:32" x14ac:dyDescent="0.35">
      <c r="A7" t="s">
        <v>341</v>
      </c>
    </row>
    <row r="8" spans="1:32" x14ac:dyDescent="0.35">
      <c r="A8" t="s">
        <v>342</v>
      </c>
    </row>
    <row r="9" spans="1:32" x14ac:dyDescent="0.35">
      <c r="A9" t="s">
        <v>344</v>
      </c>
      <c r="F9">
        <v>-1</v>
      </c>
    </row>
    <row r="10" spans="1:32" x14ac:dyDescent="0.35">
      <c r="A10" t="s">
        <v>433</v>
      </c>
    </row>
    <row r="11" spans="1:32" x14ac:dyDescent="0.35">
      <c r="A11" t="s">
        <v>507</v>
      </c>
    </row>
    <row r="12" spans="1:32" x14ac:dyDescent="0.35">
      <c r="A12" t="s">
        <v>508</v>
      </c>
      <c r="P12" s="57" t="s">
        <v>42</v>
      </c>
      <c r="Q12" s="57"/>
      <c r="R12" s="57"/>
      <c r="S12" s="57"/>
      <c r="T12" s="57"/>
      <c r="U12" s="57"/>
      <c r="V12" s="57"/>
    </row>
    <row r="13" spans="1:32" x14ac:dyDescent="0.35">
      <c r="A13" s="11"/>
      <c r="B13" s="11"/>
      <c r="C13" s="91" t="s">
        <v>347</v>
      </c>
      <c r="D13" s="98"/>
      <c r="E13" s="11" t="s">
        <v>351</v>
      </c>
      <c r="F13" s="11"/>
      <c r="G13" s="91" t="s">
        <v>348</v>
      </c>
      <c r="H13" s="98"/>
      <c r="I13" s="11" t="s">
        <v>349</v>
      </c>
      <c r="J13" s="11"/>
      <c r="K13" s="105" t="s">
        <v>350</v>
      </c>
      <c r="L13" s="98"/>
      <c r="M13" s="11" t="s">
        <v>354</v>
      </c>
      <c r="N13" s="11"/>
      <c r="O13" s="105" t="s">
        <v>355</v>
      </c>
      <c r="P13" s="100"/>
      <c r="Q13" s="11" t="s">
        <v>380</v>
      </c>
      <c r="R13" s="11"/>
      <c r="S13" s="91" t="s">
        <v>381</v>
      </c>
      <c r="T13" s="98"/>
      <c r="U13" s="11" t="s">
        <v>379</v>
      </c>
      <c r="W13" s="105" t="s">
        <v>357</v>
      </c>
      <c r="X13" s="100"/>
      <c r="Y13" s="11" t="s">
        <v>370</v>
      </c>
      <c r="AA13" s="105" t="s">
        <v>371</v>
      </c>
      <c r="AB13" s="100"/>
      <c r="AC13" s="11" t="s">
        <v>372</v>
      </c>
      <c r="AE13" s="91" t="s">
        <v>373</v>
      </c>
      <c r="AF13" s="100"/>
    </row>
    <row r="14" spans="1:32" x14ac:dyDescent="0.35">
      <c r="A14" s="78" t="s">
        <v>343</v>
      </c>
      <c r="B14" s="78" t="s">
        <v>19</v>
      </c>
      <c r="C14" s="92" t="s">
        <v>345</v>
      </c>
      <c r="D14" s="99" t="s">
        <v>346</v>
      </c>
      <c r="E14" s="78" t="s">
        <v>345</v>
      </c>
      <c r="F14" s="78" t="s">
        <v>346</v>
      </c>
      <c r="G14" s="92" t="s">
        <v>345</v>
      </c>
      <c r="H14" s="99" t="s">
        <v>346</v>
      </c>
      <c r="I14" s="78" t="s">
        <v>345</v>
      </c>
      <c r="J14" s="78" t="s">
        <v>346</v>
      </c>
      <c r="K14" s="92" t="s">
        <v>345</v>
      </c>
      <c r="L14" s="99" t="s">
        <v>346</v>
      </c>
      <c r="M14" s="78" t="s">
        <v>345</v>
      </c>
      <c r="N14" s="78" t="s">
        <v>346</v>
      </c>
      <c r="O14" s="92" t="s">
        <v>345</v>
      </c>
      <c r="P14" s="99" t="s">
        <v>346</v>
      </c>
      <c r="Q14" s="78" t="s">
        <v>345</v>
      </c>
      <c r="R14" s="78" t="s">
        <v>346</v>
      </c>
      <c r="S14" s="92" t="s">
        <v>345</v>
      </c>
      <c r="T14" s="99" t="s">
        <v>346</v>
      </c>
      <c r="U14" s="78" t="s">
        <v>345</v>
      </c>
      <c r="V14" s="78" t="s">
        <v>346</v>
      </c>
      <c r="W14" s="92" t="s">
        <v>345</v>
      </c>
      <c r="X14" s="99" t="s">
        <v>346</v>
      </c>
      <c r="Y14" s="78" t="s">
        <v>345</v>
      </c>
      <c r="Z14" s="78" t="s">
        <v>346</v>
      </c>
      <c r="AA14" s="92" t="s">
        <v>345</v>
      </c>
      <c r="AB14" s="99" t="s">
        <v>346</v>
      </c>
      <c r="AC14" s="78" t="s">
        <v>345</v>
      </c>
      <c r="AD14" s="78" t="s">
        <v>346</v>
      </c>
      <c r="AE14" s="92" t="s">
        <v>345</v>
      </c>
      <c r="AF14" s="99" t="s">
        <v>346</v>
      </c>
    </row>
    <row r="15" spans="1:32" x14ac:dyDescent="0.35">
      <c r="A15" s="83" t="s">
        <v>431</v>
      </c>
      <c r="B15" s="3"/>
      <c r="C15" s="93"/>
      <c r="D15" s="100"/>
      <c r="G15" s="93"/>
      <c r="H15" s="100"/>
      <c r="K15" s="93"/>
      <c r="L15" s="100"/>
      <c r="O15" s="93"/>
      <c r="P15" s="100"/>
      <c r="S15" s="93"/>
      <c r="T15" s="100"/>
      <c r="W15" s="93"/>
      <c r="X15" s="100"/>
      <c r="AA15" s="93"/>
      <c r="AB15" s="100"/>
      <c r="AE15" s="93"/>
      <c r="AF15" s="100"/>
    </row>
    <row r="16" spans="1:32" x14ac:dyDescent="0.35">
      <c r="A16" t="s">
        <v>352</v>
      </c>
      <c r="B16" t="s">
        <v>358</v>
      </c>
      <c r="C16" s="94">
        <f>'5 - Financing Needed'!D31</f>
        <v>25000</v>
      </c>
      <c r="D16" s="101"/>
      <c r="E16" s="33"/>
      <c r="F16" s="33"/>
      <c r="G16" s="94"/>
      <c r="H16" s="101"/>
      <c r="I16" s="33"/>
      <c r="J16" s="33"/>
      <c r="K16" s="94"/>
      <c r="L16" s="101"/>
      <c r="M16" s="33"/>
      <c r="N16" s="33">
        <f>C16</f>
        <v>25000</v>
      </c>
      <c r="O16" s="94"/>
      <c r="P16" s="101"/>
      <c r="Q16" s="33"/>
      <c r="R16" s="33"/>
      <c r="S16" s="94"/>
      <c r="T16" s="101"/>
      <c r="U16" s="33"/>
      <c r="V16" s="33"/>
      <c r="W16" s="94"/>
      <c r="X16" s="101"/>
      <c r="Y16" s="33"/>
      <c r="Z16" s="33"/>
      <c r="AA16" s="94"/>
      <c r="AB16" s="101"/>
      <c r="AC16" s="33"/>
      <c r="AD16" s="33"/>
      <c r="AE16" s="94"/>
      <c r="AF16" s="101"/>
    </row>
    <row r="17" spans="1:32" x14ac:dyDescent="0.35">
      <c r="A17" t="s">
        <v>352</v>
      </c>
      <c r="B17" t="s">
        <v>359</v>
      </c>
      <c r="C17" s="94">
        <f>'5 - Financing Needed'!D34</f>
        <v>20000</v>
      </c>
      <c r="D17" s="101"/>
      <c r="E17" s="33"/>
      <c r="F17" s="33"/>
      <c r="G17" s="94"/>
      <c r="H17" s="101"/>
      <c r="I17" s="33"/>
      <c r="J17" s="33"/>
      <c r="K17" s="94"/>
      <c r="L17" s="101"/>
      <c r="M17" s="33"/>
      <c r="N17" s="33"/>
      <c r="O17" s="94"/>
      <c r="P17" s="101">
        <f>C17</f>
        <v>20000</v>
      </c>
      <c r="Q17" s="33"/>
      <c r="R17" s="33"/>
      <c r="S17" s="94"/>
      <c r="T17" s="101"/>
      <c r="U17" s="33"/>
      <c r="V17" s="33"/>
      <c r="W17" s="94"/>
      <c r="X17" s="101"/>
      <c r="Y17" s="33"/>
      <c r="Z17" s="33"/>
      <c r="AA17" s="94"/>
      <c r="AB17" s="101"/>
      <c r="AC17" s="33"/>
      <c r="AD17" s="33"/>
      <c r="AE17" s="94"/>
      <c r="AF17" s="101"/>
    </row>
    <row r="18" spans="1:32" x14ac:dyDescent="0.35">
      <c r="A18" t="s">
        <v>352</v>
      </c>
      <c r="B18" t="s">
        <v>360</v>
      </c>
      <c r="C18" s="94">
        <f>'5 - Financing Needed'!D35</f>
        <v>10000</v>
      </c>
      <c r="D18" s="101"/>
      <c r="E18" s="33"/>
      <c r="F18" s="33"/>
      <c r="G18" s="94"/>
      <c r="H18" s="101"/>
      <c r="I18" s="33"/>
      <c r="J18" s="33"/>
      <c r="K18" s="94"/>
      <c r="L18" s="101"/>
      <c r="M18" s="33"/>
      <c r="N18" s="33">
        <f>C18</f>
        <v>10000</v>
      </c>
      <c r="O18" s="94"/>
      <c r="P18" s="101"/>
      <c r="Q18" s="33"/>
      <c r="R18" s="33"/>
      <c r="S18" s="94"/>
      <c r="T18" s="101"/>
      <c r="U18" s="33"/>
      <c r="V18" s="33"/>
      <c r="W18" s="94"/>
      <c r="X18" s="101"/>
      <c r="Y18" s="33"/>
      <c r="Z18" s="33"/>
      <c r="AA18" s="94"/>
      <c r="AB18" s="101"/>
      <c r="AC18" s="33"/>
      <c r="AD18" s="33"/>
      <c r="AE18" s="94"/>
      <c r="AF18" s="101"/>
    </row>
    <row r="19" spans="1:32" x14ac:dyDescent="0.35">
      <c r="A19" t="s">
        <v>352</v>
      </c>
      <c r="B19" t="s">
        <v>361</v>
      </c>
      <c r="C19" s="95">
        <f>'5 - Financing Needed'!D40</f>
        <v>75000</v>
      </c>
      <c r="D19" s="102"/>
      <c r="E19" s="48"/>
      <c r="F19" s="48"/>
      <c r="G19" s="95"/>
      <c r="H19" s="102"/>
      <c r="I19" s="48"/>
      <c r="J19" s="48"/>
      <c r="K19" s="95"/>
      <c r="L19" s="102">
        <f>C19</f>
        <v>75000</v>
      </c>
      <c r="M19" s="48"/>
      <c r="N19" s="48"/>
      <c r="O19" s="95"/>
      <c r="P19" s="102"/>
      <c r="Q19" s="48"/>
      <c r="R19" s="48"/>
      <c r="S19" s="95"/>
      <c r="T19" s="102"/>
      <c r="U19" s="48"/>
      <c r="V19" s="48"/>
      <c r="W19" s="94"/>
      <c r="X19" s="101"/>
      <c r="Y19" s="33"/>
      <c r="Z19" s="33"/>
      <c r="AA19" s="94"/>
      <c r="AB19" s="101"/>
      <c r="AC19" s="33"/>
      <c r="AD19" s="33"/>
      <c r="AE19" s="94"/>
      <c r="AF19" s="101"/>
    </row>
    <row r="20" spans="1:32" x14ac:dyDescent="0.35">
      <c r="C20" s="94"/>
      <c r="D20" s="101"/>
      <c r="E20" s="33"/>
      <c r="F20" s="33"/>
      <c r="G20" s="94"/>
      <c r="H20" s="101"/>
      <c r="I20" s="33"/>
      <c r="J20" s="33"/>
      <c r="K20" s="94"/>
      <c r="L20" s="101"/>
      <c r="M20" s="33"/>
      <c r="N20" s="33"/>
      <c r="O20" s="94"/>
      <c r="P20" s="101"/>
      <c r="Q20" s="33"/>
      <c r="R20" s="33"/>
      <c r="S20" s="94"/>
      <c r="T20" s="101"/>
      <c r="U20" s="33"/>
      <c r="V20" s="33"/>
      <c r="W20" s="94"/>
      <c r="X20" s="101"/>
      <c r="Y20" s="33"/>
      <c r="Z20" s="33"/>
      <c r="AA20" s="94"/>
      <c r="AB20" s="101"/>
      <c r="AC20" s="33"/>
      <c r="AD20" s="33"/>
      <c r="AE20" s="94"/>
      <c r="AF20" s="101"/>
    </row>
    <row r="21" spans="1:32" ht="15" thickBot="1" x14ac:dyDescent="0.4">
      <c r="A21" s="11" t="s">
        <v>353</v>
      </c>
      <c r="B21" s="11"/>
      <c r="C21" s="96">
        <f>SUM(C16:C20)</f>
        <v>130000</v>
      </c>
      <c r="D21" s="103">
        <f t="shared" ref="D21:M21" si="0">SUM(D16:D20)</f>
        <v>0</v>
      </c>
      <c r="E21" s="68">
        <f t="shared" si="0"/>
        <v>0</v>
      </c>
      <c r="F21" s="68">
        <f t="shared" si="0"/>
        <v>0</v>
      </c>
      <c r="G21" s="96">
        <f t="shared" si="0"/>
        <v>0</v>
      </c>
      <c r="H21" s="103">
        <f t="shared" si="0"/>
        <v>0</v>
      </c>
      <c r="I21" s="68">
        <f t="shared" si="0"/>
        <v>0</v>
      </c>
      <c r="J21" s="68">
        <f t="shared" si="0"/>
        <v>0</v>
      </c>
      <c r="K21" s="96">
        <f t="shared" si="0"/>
        <v>0</v>
      </c>
      <c r="L21" s="103">
        <f t="shared" si="0"/>
        <v>75000</v>
      </c>
      <c r="M21" s="68">
        <f t="shared" si="0"/>
        <v>0</v>
      </c>
      <c r="N21" s="68">
        <f t="shared" ref="N21" si="1">SUM(N16:N20)</f>
        <v>35000</v>
      </c>
      <c r="O21" s="96">
        <f t="shared" ref="O21" si="2">SUM(O16:O20)</f>
        <v>0</v>
      </c>
      <c r="P21" s="103">
        <f t="shared" ref="P21" si="3">SUM(P16:P20)</f>
        <v>20000</v>
      </c>
      <c r="Q21" s="79"/>
      <c r="R21" s="79"/>
      <c r="S21" s="97"/>
      <c r="T21" s="104"/>
      <c r="U21" s="79"/>
      <c r="V21" s="79"/>
      <c r="W21" s="94"/>
      <c r="X21" s="101"/>
      <c r="Y21" s="33"/>
      <c r="Z21" s="33"/>
      <c r="AA21" s="94"/>
      <c r="AB21" s="101"/>
      <c r="AC21" s="33"/>
      <c r="AD21" s="33"/>
      <c r="AE21" s="94"/>
      <c r="AF21" s="101"/>
    </row>
    <row r="22" spans="1:32" ht="15" thickTop="1" x14ac:dyDescent="0.35">
      <c r="A22" s="11"/>
      <c r="B22" s="11"/>
      <c r="C22" s="97"/>
      <c r="D22" s="104"/>
      <c r="E22" s="79"/>
      <c r="F22" s="79"/>
      <c r="G22" s="97"/>
      <c r="H22" s="104"/>
      <c r="I22" s="79"/>
      <c r="J22" s="79"/>
      <c r="K22" s="97"/>
      <c r="L22" s="104"/>
      <c r="M22" s="79"/>
      <c r="N22" s="79"/>
      <c r="O22" s="97"/>
      <c r="P22" s="104"/>
      <c r="Q22" s="79"/>
      <c r="R22" s="79"/>
      <c r="S22" s="97"/>
      <c r="T22" s="104"/>
      <c r="U22" s="79"/>
      <c r="V22" s="79"/>
      <c r="W22" s="94"/>
      <c r="X22" s="101"/>
      <c r="Y22" s="33"/>
      <c r="Z22" s="33"/>
      <c r="AA22" s="94"/>
      <c r="AB22" s="101"/>
      <c r="AC22" s="33"/>
      <c r="AD22" s="33"/>
      <c r="AE22" s="94"/>
      <c r="AF22" s="101"/>
    </row>
    <row r="23" spans="1:32" x14ac:dyDescent="0.35">
      <c r="A23" s="83" t="s">
        <v>432</v>
      </c>
      <c r="B23" s="83"/>
      <c r="C23" s="94"/>
      <c r="D23" s="101"/>
      <c r="E23" s="33"/>
      <c r="F23" s="33"/>
      <c r="G23" s="94"/>
      <c r="H23" s="101"/>
      <c r="I23" s="33"/>
      <c r="J23" s="33"/>
      <c r="K23" s="94"/>
      <c r="L23" s="101"/>
      <c r="M23" s="33"/>
      <c r="N23" s="33"/>
      <c r="O23" s="94"/>
      <c r="P23" s="101"/>
      <c r="Q23" s="33"/>
      <c r="R23" s="33"/>
      <c r="S23" s="94"/>
      <c r="T23" s="101"/>
      <c r="U23" s="33"/>
      <c r="V23" s="33"/>
      <c r="W23" s="94"/>
      <c r="X23" s="101"/>
      <c r="Y23" s="33"/>
      <c r="Z23" s="33"/>
      <c r="AA23" s="94"/>
      <c r="AB23" s="101"/>
      <c r="AC23" s="33"/>
      <c r="AD23" s="33"/>
      <c r="AE23" s="94"/>
      <c r="AF23" s="101"/>
    </row>
    <row r="24" spans="1:32" x14ac:dyDescent="0.35">
      <c r="A24">
        <f>Overview!$M$16</f>
        <v>2021</v>
      </c>
      <c r="B24" t="s">
        <v>362</v>
      </c>
      <c r="C24" s="94"/>
      <c r="D24" s="101">
        <f>E24</f>
        <v>7500</v>
      </c>
      <c r="E24" s="33">
        <f>'5 - Financing Needed'!D13</f>
        <v>7500</v>
      </c>
      <c r="F24" s="33"/>
      <c r="G24" s="94"/>
      <c r="H24" s="101"/>
      <c r="I24" s="33"/>
      <c r="J24" s="33"/>
      <c r="K24" s="94"/>
      <c r="L24" s="101"/>
      <c r="M24" s="33"/>
      <c r="N24" s="33"/>
      <c r="O24" s="94"/>
      <c r="P24" s="101"/>
      <c r="Q24" s="33"/>
      <c r="R24" s="33"/>
      <c r="S24" s="94"/>
      <c r="T24" s="101"/>
      <c r="U24" s="33"/>
      <c r="V24" s="33"/>
      <c r="W24" s="94"/>
      <c r="X24" s="101"/>
      <c r="Y24" s="33"/>
      <c r="Z24" s="33"/>
      <c r="AA24" s="94"/>
      <c r="AB24" s="101"/>
      <c r="AC24" s="33"/>
      <c r="AD24" s="33"/>
      <c r="AE24" s="94"/>
      <c r="AF24" s="101"/>
    </row>
    <row r="25" spans="1:32" x14ac:dyDescent="0.35">
      <c r="A25">
        <f>Overview!$M$16</f>
        <v>2021</v>
      </c>
      <c r="B25" t="s">
        <v>363</v>
      </c>
      <c r="C25" s="94"/>
      <c r="D25" s="101">
        <f>G25</f>
        <v>12000</v>
      </c>
      <c r="E25" s="33"/>
      <c r="F25" s="33"/>
      <c r="G25" s="94">
        <f>'5 - Financing Needed'!D21</f>
        <v>12000</v>
      </c>
      <c r="H25" s="101"/>
      <c r="I25" s="33"/>
      <c r="J25" s="33"/>
      <c r="K25" s="94"/>
      <c r="L25" s="101"/>
      <c r="M25" s="33"/>
      <c r="N25" s="33"/>
      <c r="O25" s="94"/>
      <c r="P25" s="101"/>
      <c r="Q25" s="33"/>
      <c r="R25" s="33"/>
      <c r="S25" s="94"/>
      <c r="T25" s="101"/>
      <c r="U25" s="33"/>
      <c r="V25" s="33"/>
      <c r="W25" s="94"/>
      <c r="X25" s="101"/>
      <c r="Y25" s="33"/>
      <c r="Z25" s="33"/>
      <c r="AA25" s="94"/>
      <c r="AB25" s="101"/>
      <c r="AC25" s="33"/>
      <c r="AD25" s="33"/>
      <c r="AE25" s="94"/>
      <c r="AF25" s="101"/>
    </row>
    <row r="26" spans="1:32" x14ac:dyDescent="0.35">
      <c r="A26">
        <f>Overview!$M$16</f>
        <v>2021</v>
      </c>
      <c r="B26" t="s">
        <v>364</v>
      </c>
      <c r="C26" s="94">
        <f>'4 - Income Statement'!N10</f>
        <v>487680</v>
      </c>
      <c r="D26" s="101"/>
      <c r="E26" s="33"/>
      <c r="F26" s="33"/>
      <c r="G26" s="94"/>
      <c r="H26" s="101"/>
      <c r="I26" s="33"/>
      <c r="J26" s="33"/>
      <c r="K26" s="94"/>
      <c r="L26" s="101"/>
      <c r="M26" s="33"/>
      <c r="N26" s="33"/>
      <c r="O26" s="94"/>
      <c r="P26" s="101"/>
      <c r="Q26" s="33"/>
      <c r="R26" s="33"/>
      <c r="S26" s="94"/>
      <c r="T26" s="101"/>
      <c r="U26" s="33"/>
      <c r="V26" s="33"/>
      <c r="W26" s="94" t="s">
        <v>42</v>
      </c>
      <c r="X26" s="101">
        <f>C26</f>
        <v>487680</v>
      </c>
      <c r="Y26" s="33"/>
      <c r="Z26" s="33"/>
      <c r="AA26" s="94"/>
      <c r="AB26" s="101"/>
      <c r="AC26" s="33"/>
      <c r="AD26" s="33"/>
      <c r="AE26" s="94"/>
      <c r="AF26" s="101"/>
    </row>
    <row r="27" spans="1:32" x14ac:dyDescent="0.35">
      <c r="A27">
        <f>Overview!$M$16</f>
        <v>2021</v>
      </c>
      <c r="B27" t="s">
        <v>365</v>
      </c>
      <c r="C27" s="94"/>
      <c r="D27" s="101"/>
      <c r="E27" s="33"/>
      <c r="F27" s="33">
        <f>'8 - Inventory'!B17*F9</f>
        <v>201066</v>
      </c>
      <c r="G27" s="94"/>
      <c r="H27" s="101"/>
      <c r="I27" s="33"/>
      <c r="J27" s="33"/>
      <c r="K27" s="94"/>
      <c r="L27" s="101"/>
      <c r="M27" s="33"/>
      <c r="N27" s="33"/>
      <c r="O27" s="94"/>
      <c r="P27" s="101"/>
      <c r="Q27" s="33"/>
      <c r="R27" s="33"/>
      <c r="S27" s="94"/>
      <c r="T27" s="101"/>
      <c r="U27" s="33"/>
      <c r="V27" s="33"/>
      <c r="W27" s="94"/>
      <c r="X27" s="101"/>
      <c r="Y27" s="33">
        <f>F27</f>
        <v>201066</v>
      </c>
      <c r="Z27" s="33"/>
      <c r="AA27" s="94"/>
      <c r="AB27" s="101"/>
      <c r="AC27" s="33"/>
      <c r="AD27" s="33"/>
      <c r="AE27" s="94"/>
      <c r="AF27" s="101"/>
    </row>
    <row r="28" spans="1:32" x14ac:dyDescent="0.35">
      <c r="A28">
        <f>Overview!$M$16</f>
        <v>2021</v>
      </c>
      <c r="B28" t="s">
        <v>366</v>
      </c>
      <c r="C28" s="94"/>
      <c r="D28" s="101">
        <f>E28</f>
        <v>198566</v>
      </c>
      <c r="E28" s="33">
        <f>'8 - Inventory'!B21</f>
        <v>198566</v>
      </c>
      <c r="F28" s="33"/>
      <c r="G28" s="94"/>
      <c r="H28" s="101"/>
      <c r="I28" s="33"/>
      <c r="J28" s="33"/>
      <c r="K28" s="94"/>
      <c r="L28" s="101"/>
      <c r="M28" s="33"/>
      <c r="N28" s="33"/>
      <c r="O28" s="94"/>
      <c r="P28" s="101"/>
      <c r="Q28" s="33"/>
      <c r="R28" s="33"/>
      <c r="S28" s="94"/>
      <c r="T28" s="101"/>
      <c r="U28" s="33"/>
      <c r="V28" s="33"/>
      <c r="W28" s="94"/>
      <c r="X28" s="101"/>
      <c r="Y28" s="33"/>
      <c r="Z28" s="33"/>
      <c r="AA28" s="94"/>
      <c r="AB28" s="101"/>
      <c r="AC28" s="33"/>
      <c r="AD28" s="33"/>
      <c r="AE28" s="94"/>
      <c r="AF28" s="101"/>
    </row>
    <row r="29" spans="1:32" x14ac:dyDescent="0.35">
      <c r="A29">
        <f>Overview!$M$16</f>
        <v>2021</v>
      </c>
      <c r="B29" t="s">
        <v>367</v>
      </c>
      <c r="C29" s="94"/>
      <c r="D29" s="101">
        <f>'4 - Income Statement'!N25</f>
        <v>279274.71499999997</v>
      </c>
      <c r="E29" s="33"/>
      <c r="F29" s="33"/>
      <c r="G29" s="94"/>
      <c r="H29" s="101"/>
      <c r="I29" s="33"/>
      <c r="J29" s="33"/>
      <c r="K29" s="94"/>
      <c r="L29" s="101"/>
      <c r="M29" s="33"/>
      <c r="N29" s="33"/>
      <c r="O29" s="94"/>
      <c r="P29" s="101"/>
      <c r="Q29" s="33"/>
      <c r="R29" s="33"/>
      <c r="S29" s="94"/>
      <c r="T29" s="101"/>
      <c r="U29" s="33"/>
      <c r="V29" s="33"/>
      <c r="W29" s="94"/>
      <c r="X29" s="101"/>
      <c r="Y29" s="33"/>
      <c r="Z29" s="33"/>
      <c r="AA29" s="94">
        <f>D29</f>
        <v>279274.71499999997</v>
      </c>
      <c r="AB29" s="101"/>
      <c r="AC29" s="33"/>
      <c r="AD29" s="33"/>
      <c r="AE29" s="94"/>
      <c r="AF29" s="101"/>
    </row>
    <row r="30" spans="1:32" x14ac:dyDescent="0.35">
      <c r="A30">
        <f>Overview!$M$16</f>
        <v>2021</v>
      </c>
      <c r="B30" t="s">
        <v>368</v>
      </c>
      <c r="C30" s="94"/>
      <c r="D30" s="101">
        <f>'6 - Loan Schedule'!G84</f>
        <v>12738.082709707382</v>
      </c>
      <c r="E30" s="33"/>
      <c r="F30" s="33"/>
      <c r="G30" s="94"/>
      <c r="H30" s="101"/>
      <c r="I30" s="33"/>
      <c r="J30" s="33"/>
      <c r="K30" s="94">
        <f>'6 - Loan Schedule'!F84</f>
        <v>10092.627494165408</v>
      </c>
      <c r="L30" s="101"/>
      <c r="M30" s="33"/>
      <c r="N30" s="33"/>
      <c r="O30" s="94"/>
      <c r="P30" s="101"/>
      <c r="Q30" s="33"/>
      <c r="R30" s="33"/>
      <c r="S30" s="94"/>
      <c r="T30" s="101"/>
      <c r="U30" s="33"/>
      <c r="V30" s="33"/>
      <c r="W30" s="94"/>
      <c r="X30" s="101"/>
      <c r="Y30" s="33"/>
      <c r="Z30" s="33"/>
      <c r="AA30" s="94"/>
      <c r="AB30" s="101"/>
      <c r="AC30" s="33">
        <f>'6 - Loan Schedule'!E84</f>
        <v>2645.4552155419724</v>
      </c>
      <c r="AD30" s="33"/>
      <c r="AE30" s="94"/>
      <c r="AF30" s="101"/>
    </row>
    <row r="31" spans="1:32" x14ac:dyDescent="0.35">
      <c r="A31">
        <f>Overview!$M$16</f>
        <v>2021</v>
      </c>
      <c r="B31" t="s">
        <v>376</v>
      </c>
      <c r="C31" s="94"/>
      <c r="D31" s="101">
        <f>'9 - Cash Flow Stmts'!D28*F9</f>
        <v>60000</v>
      </c>
      <c r="E31" s="33"/>
      <c r="F31" s="33"/>
      <c r="G31" s="94"/>
      <c r="H31" s="101"/>
      <c r="I31" s="33"/>
      <c r="J31" s="33"/>
      <c r="K31" s="94"/>
      <c r="L31" s="101"/>
      <c r="M31" s="33"/>
      <c r="N31" s="33"/>
      <c r="O31" s="94"/>
      <c r="P31" s="101"/>
      <c r="Q31" s="33">
        <f>D31</f>
        <v>60000</v>
      </c>
      <c r="R31" s="33"/>
      <c r="S31" s="94"/>
      <c r="T31" s="101"/>
      <c r="U31" s="33"/>
      <c r="V31" s="33"/>
      <c r="W31" s="94"/>
      <c r="X31" s="101"/>
      <c r="Y31" s="33"/>
      <c r="Z31" s="33"/>
      <c r="AA31" s="94"/>
      <c r="AB31" s="101"/>
      <c r="AC31" s="33"/>
      <c r="AD31" s="33"/>
      <c r="AE31" s="94"/>
      <c r="AF31" s="101"/>
    </row>
    <row r="32" spans="1:32" x14ac:dyDescent="0.35">
      <c r="A32">
        <f>Overview!$M$16</f>
        <v>2021</v>
      </c>
      <c r="B32" t="s">
        <v>377</v>
      </c>
      <c r="C32" s="94"/>
      <c r="D32" s="101">
        <f>'9 - Cash Flow Stmts'!D29*F9</f>
        <v>30000</v>
      </c>
      <c r="E32" s="33"/>
      <c r="F32" s="33"/>
      <c r="G32" s="94"/>
      <c r="H32" s="101"/>
      <c r="I32" s="33"/>
      <c r="J32" s="33"/>
      <c r="K32" s="94"/>
      <c r="L32" s="101"/>
      <c r="M32" s="33"/>
      <c r="N32" s="33"/>
      <c r="O32" s="94"/>
      <c r="P32" s="101"/>
      <c r="Q32" s="33"/>
      <c r="R32" s="33"/>
      <c r="S32" s="94">
        <f>D32</f>
        <v>30000</v>
      </c>
      <c r="T32" s="101"/>
      <c r="U32" s="33"/>
      <c r="V32" s="33"/>
      <c r="W32" s="94"/>
      <c r="X32" s="101"/>
      <c r="Y32" s="33"/>
      <c r="Z32" s="33"/>
      <c r="AA32" s="94"/>
      <c r="AB32" s="101"/>
      <c r="AC32" s="33"/>
      <c r="AD32" s="33"/>
      <c r="AE32" s="94"/>
      <c r="AF32" s="101"/>
    </row>
    <row r="33" spans="1:32" ht="14" customHeight="1" x14ac:dyDescent="0.35">
      <c r="A33">
        <f>Overview!$M$16</f>
        <v>2021</v>
      </c>
      <c r="B33" t="s">
        <v>369</v>
      </c>
      <c r="C33" s="95"/>
      <c r="D33" s="102"/>
      <c r="E33" s="48"/>
      <c r="F33" s="48"/>
      <c r="G33" s="95"/>
      <c r="H33" s="102"/>
      <c r="I33" s="48"/>
      <c r="J33" s="48">
        <f>AE33</f>
        <v>2400</v>
      </c>
      <c r="K33" s="95"/>
      <c r="L33" s="102"/>
      <c r="M33" s="48"/>
      <c r="N33" s="48"/>
      <c r="O33" s="95"/>
      <c r="P33" s="102"/>
      <c r="Q33" s="48"/>
      <c r="R33" s="48"/>
      <c r="S33" s="95"/>
      <c r="T33" s="102"/>
      <c r="U33" s="48"/>
      <c r="V33" s="48"/>
      <c r="W33" s="95"/>
      <c r="X33" s="102"/>
      <c r="Y33" s="48"/>
      <c r="Z33" s="48"/>
      <c r="AA33" s="95"/>
      <c r="AB33" s="102"/>
      <c r="AC33" s="48"/>
      <c r="AD33" s="48"/>
      <c r="AE33" s="95">
        <f>'1 - Total Startup Costs'!E35</f>
        <v>2400</v>
      </c>
      <c r="AF33" s="102"/>
    </row>
    <row r="34" spans="1:32" x14ac:dyDescent="0.35">
      <c r="C34" s="94"/>
      <c r="D34" s="101"/>
      <c r="E34" s="33"/>
      <c r="F34" s="33"/>
      <c r="G34" s="94"/>
      <c r="H34" s="101"/>
      <c r="I34" s="33"/>
      <c r="J34" s="33"/>
      <c r="K34" s="94"/>
      <c r="L34" s="101"/>
      <c r="M34" s="33"/>
      <c r="N34" s="33"/>
      <c r="O34" s="94"/>
      <c r="P34" s="101"/>
      <c r="Q34" s="33"/>
      <c r="R34" s="33"/>
      <c r="S34" s="94"/>
      <c r="T34" s="101"/>
      <c r="U34" s="33"/>
      <c r="V34" s="33"/>
      <c r="W34" s="94"/>
      <c r="X34" s="101"/>
      <c r="Y34" s="33"/>
      <c r="Z34" s="33"/>
      <c r="AA34" s="94"/>
      <c r="AB34" s="101"/>
      <c r="AC34" s="33"/>
      <c r="AD34" s="33"/>
      <c r="AE34" s="94"/>
      <c r="AF34" s="101"/>
    </row>
    <row r="35" spans="1:32" x14ac:dyDescent="0.35">
      <c r="A35" t="s">
        <v>374</v>
      </c>
      <c r="C35" s="94">
        <f>SUM(C24:C33)</f>
        <v>487680</v>
      </c>
      <c r="D35" s="101">
        <f t="shared" ref="D35:AF35" si="4">SUM(D24:D33)</f>
        <v>600078.7977097074</v>
      </c>
      <c r="E35" s="33">
        <f>SUM(E24:E33)</f>
        <v>206066</v>
      </c>
      <c r="F35" s="33">
        <f t="shared" si="4"/>
        <v>201066</v>
      </c>
      <c r="G35" s="94">
        <f t="shared" si="4"/>
        <v>12000</v>
      </c>
      <c r="H35" s="101">
        <f t="shared" si="4"/>
        <v>0</v>
      </c>
      <c r="I35" s="33">
        <f t="shared" si="4"/>
        <v>0</v>
      </c>
      <c r="J35" s="33">
        <f t="shared" si="4"/>
        <v>2400</v>
      </c>
      <c r="K35" s="94">
        <f t="shared" si="4"/>
        <v>10092.627494165408</v>
      </c>
      <c r="L35" s="101">
        <f t="shared" si="4"/>
        <v>0</v>
      </c>
      <c r="M35" s="33">
        <f t="shared" si="4"/>
        <v>0</v>
      </c>
      <c r="N35" s="33">
        <f t="shared" si="4"/>
        <v>0</v>
      </c>
      <c r="O35" s="94">
        <f t="shared" si="4"/>
        <v>0</v>
      </c>
      <c r="P35" s="101">
        <f t="shared" si="4"/>
        <v>0</v>
      </c>
      <c r="Q35" s="33">
        <f t="shared" si="4"/>
        <v>60000</v>
      </c>
      <c r="R35" s="33">
        <f t="shared" si="4"/>
        <v>0</v>
      </c>
      <c r="S35" s="94">
        <f t="shared" si="4"/>
        <v>30000</v>
      </c>
      <c r="T35" s="101">
        <f t="shared" si="4"/>
        <v>0</v>
      </c>
      <c r="U35" s="84" t="s">
        <v>42</v>
      </c>
      <c r="V35" s="84" t="s">
        <v>42</v>
      </c>
      <c r="W35" s="94">
        <f t="shared" si="4"/>
        <v>0</v>
      </c>
      <c r="X35" s="101">
        <f t="shared" si="4"/>
        <v>487680</v>
      </c>
      <c r="Y35" s="33">
        <f t="shared" si="4"/>
        <v>201066</v>
      </c>
      <c r="Z35" s="33">
        <f t="shared" si="4"/>
        <v>0</v>
      </c>
      <c r="AA35" s="94">
        <f t="shared" si="4"/>
        <v>279274.71499999997</v>
      </c>
      <c r="AB35" s="101">
        <f t="shared" si="4"/>
        <v>0</v>
      </c>
      <c r="AC35" s="33">
        <f t="shared" si="4"/>
        <v>2645.4552155419724</v>
      </c>
      <c r="AD35" s="33">
        <f t="shared" si="4"/>
        <v>0</v>
      </c>
      <c r="AE35" s="94">
        <f t="shared" si="4"/>
        <v>2400</v>
      </c>
      <c r="AF35" s="101">
        <f t="shared" si="4"/>
        <v>0</v>
      </c>
    </row>
    <row r="36" spans="1:32" x14ac:dyDescent="0.35">
      <c r="A36" s="11" t="s">
        <v>375</v>
      </c>
      <c r="B36" s="11"/>
      <c r="C36" s="97">
        <f>C21+C35-D35</f>
        <v>17601.202290292596</v>
      </c>
      <c r="D36" s="104"/>
      <c r="E36" s="70">
        <f>E35-F35</f>
        <v>5000</v>
      </c>
      <c r="F36" s="70"/>
      <c r="G36" s="97">
        <f>G35</f>
        <v>12000</v>
      </c>
      <c r="H36" s="104"/>
      <c r="I36" s="70"/>
      <c r="J36" s="70">
        <f>I35-J35</f>
        <v>-2400</v>
      </c>
      <c r="K36" s="97"/>
      <c r="L36" s="104">
        <f>L21-K35</f>
        <v>64907.372505834588</v>
      </c>
      <c r="M36" s="70"/>
      <c r="N36" s="70">
        <f>N21-M35+N35</f>
        <v>35000</v>
      </c>
      <c r="O36" s="97"/>
      <c r="P36" s="104">
        <f>P21-O35+P35</f>
        <v>20000</v>
      </c>
      <c r="Q36" s="70">
        <f>Q35</f>
        <v>60000</v>
      </c>
      <c r="R36" s="70"/>
      <c r="S36" s="97">
        <f>S35</f>
        <v>30000</v>
      </c>
      <c r="T36" s="104"/>
      <c r="U36" s="70"/>
      <c r="V36" s="70"/>
      <c r="W36" s="97"/>
      <c r="X36" s="104"/>
      <c r="Y36" s="70"/>
      <c r="Z36" s="70"/>
      <c r="AA36" s="97"/>
      <c r="AB36" s="104"/>
      <c r="AC36" s="70"/>
      <c r="AD36" s="70"/>
      <c r="AE36" s="97"/>
      <c r="AF36" s="104"/>
    </row>
    <row r="37" spans="1:32" x14ac:dyDescent="0.35">
      <c r="A37" t="s">
        <v>382</v>
      </c>
      <c r="B37" t="s">
        <v>436</v>
      </c>
      <c r="C37" s="94"/>
      <c r="D37" s="101"/>
      <c r="E37" s="33"/>
      <c r="F37" s="33"/>
      <c r="G37" s="94"/>
      <c r="H37" s="101"/>
      <c r="I37" s="33"/>
      <c r="J37" s="33"/>
      <c r="K37" s="94"/>
      <c r="L37" s="101"/>
      <c r="M37" s="33"/>
      <c r="N37" s="33"/>
      <c r="O37" s="94"/>
      <c r="P37" s="101"/>
      <c r="Q37" s="33"/>
      <c r="R37" s="33"/>
      <c r="S37" s="94"/>
      <c r="T37" s="101"/>
      <c r="U37" s="33">
        <f>X35</f>
        <v>487680</v>
      </c>
      <c r="V37" s="33">
        <f>SUM(Y35:AF35)</f>
        <v>485386.17021554196</v>
      </c>
      <c r="W37" s="94" t="s">
        <v>42</v>
      </c>
      <c r="X37" s="101"/>
      <c r="Y37" s="33"/>
      <c r="Z37" s="33"/>
      <c r="AA37" s="94"/>
      <c r="AB37" s="101"/>
      <c r="AC37" s="33"/>
      <c r="AD37" s="33"/>
      <c r="AE37" s="94"/>
      <c r="AF37" s="101"/>
    </row>
    <row r="38" spans="1:32" x14ac:dyDescent="0.35">
      <c r="A38" t="s">
        <v>383</v>
      </c>
      <c r="B38" t="s">
        <v>437</v>
      </c>
      <c r="C38" s="94"/>
      <c r="D38" s="101"/>
      <c r="E38" s="33"/>
      <c r="F38" s="33"/>
      <c r="G38" s="94"/>
      <c r="H38" s="101"/>
      <c r="I38" s="33"/>
      <c r="J38" s="33"/>
      <c r="K38" s="94"/>
      <c r="L38" s="101"/>
      <c r="M38" s="33"/>
      <c r="N38" s="33"/>
      <c r="O38" s="94"/>
      <c r="P38" s="101"/>
      <c r="Q38" s="33"/>
      <c r="R38" s="33"/>
      <c r="S38" s="94"/>
      <c r="T38" s="101"/>
      <c r="U38" s="33"/>
      <c r="V38" s="33">
        <f>U37-V37</f>
        <v>2293.8297844580375</v>
      </c>
      <c r="W38" s="94" t="s">
        <v>42</v>
      </c>
      <c r="X38" s="101"/>
      <c r="Y38" s="33"/>
      <c r="Z38" s="33"/>
      <c r="AA38" s="94"/>
      <c r="AB38" s="101"/>
      <c r="AC38" s="33"/>
      <c r="AD38" s="33"/>
      <c r="AE38" s="94"/>
      <c r="AF38" s="101"/>
    </row>
    <row r="39" spans="1:32" x14ac:dyDescent="0.35">
      <c r="C39" s="94"/>
      <c r="D39" s="101"/>
      <c r="E39" s="33"/>
      <c r="F39" s="33"/>
      <c r="G39" s="94"/>
      <c r="H39" s="101"/>
      <c r="I39" s="33"/>
      <c r="J39" s="33"/>
      <c r="K39" s="94"/>
      <c r="L39" s="101"/>
      <c r="M39" s="33"/>
      <c r="N39" s="33"/>
      <c r="O39" s="94"/>
      <c r="P39" s="101"/>
      <c r="Q39" s="33"/>
      <c r="R39" s="33"/>
      <c r="S39" s="94"/>
      <c r="T39" s="101"/>
      <c r="U39" s="33"/>
      <c r="V39" s="33"/>
      <c r="W39" s="94" t="s">
        <v>42</v>
      </c>
      <c r="X39" s="101"/>
      <c r="Y39" s="33"/>
      <c r="Z39" s="33"/>
      <c r="AA39" s="94"/>
      <c r="AB39" s="101"/>
      <c r="AC39" s="33"/>
      <c r="AD39" s="33"/>
      <c r="AE39" s="94"/>
      <c r="AF39" s="101"/>
    </row>
    <row r="40" spans="1:32" x14ac:dyDescent="0.35">
      <c r="A40" s="83" t="s">
        <v>434</v>
      </c>
      <c r="B40" s="83"/>
      <c r="C40" s="94"/>
      <c r="D40" s="101"/>
      <c r="E40" s="33"/>
      <c r="F40" s="33"/>
      <c r="G40" s="94"/>
      <c r="H40" s="101"/>
      <c r="I40" s="33"/>
      <c r="J40" s="33"/>
      <c r="K40" s="94"/>
      <c r="L40" s="101"/>
      <c r="M40" s="33"/>
      <c r="N40" s="33"/>
      <c r="O40" s="94"/>
      <c r="P40" s="101"/>
      <c r="Q40" s="33"/>
      <c r="R40" s="33"/>
      <c r="S40" s="94"/>
      <c r="T40" s="101"/>
      <c r="U40" s="33"/>
      <c r="V40" s="33"/>
      <c r="W40" s="94" t="s">
        <v>42</v>
      </c>
      <c r="X40" s="101"/>
      <c r="Y40" s="33"/>
      <c r="Z40" s="33"/>
      <c r="AA40" s="94"/>
      <c r="AB40" s="101"/>
      <c r="AC40" s="33"/>
      <c r="AD40" s="33"/>
      <c r="AE40" s="94"/>
      <c r="AF40" s="101"/>
    </row>
    <row r="41" spans="1:32" x14ac:dyDescent="0.35">
      <c r="A41">
        <f>Overview!$M$17</f>
        <v>2022</v>
      </c>
      <c r="B41" t="s">
        <v>392</v>
      </c>
      <c r="C41" s="94"/>
      <c r="D41" s="101">
        <f>G41</f>
        <v>42000</v>
      </c>
      <c r="E41" s="33"/>
      <c r="F41" s="33"/>
      <c r="G41" s="94">
        <f>'4 - Income Statement'!F62</f>
        <v>42000</v>
      </c>
      <c r="H41" s="101"/>
      <c r="I41" s="33"/>
      <c r="J41" s="33"/>
      <c r="K41" s="94"/>
      <c r="L41" s="101"/>
      <c r="M41" s="33"/>
      <c r="N41" s="33"/>
      <c r="O41" s="94"/>
      <c r="P41" s="101"/>
      <c r="Q41" s="33"/>
      <c r="R41" s="33"/>
      <c r="S41" s="94"/>
      <c r="T41" s="101"/>
      <c r="U41" s="33"/>
      <c r="V41" s="33"/>
      <c r="W41" s="94"/>
      <c r="X41" s="101"/>
      <c r="Y41" s="33"/>
      <c r="Z41" s="33"/>
      <c r="AA41" s="94"/>
      <c r="AB41" s="101"/>
      <c r="AC41" s="33"/>
      <c r="AD41" s="33"/>
      <c r="AE41" s="94"/>
      <c r="AF41" s="101"/>
    </row>
    <row r="42" spans="1:32" x14ac:dyDescent="0.35">
      <c r="A42">
        <f>Overview!$M$17</f>
        <v>2022</v>
      </c>
      <c r="B42" t="s">
        <v>393</v>
      </c>
      <c r="C42" s="94">
        <f>'4 - Income Statement'!N74</f>
        <v>1764367.3071201271</v>
      </c>
      <c r="D42" s="101"/>
      <c r="E42" s="33"/>
      <c r="F42" s="33"/>
      <c r="G42" s="94"/>
      <c r="H42" s="101"/>
      <c r="I42" s="33"/>
      <c r="J42" s="33"/>
      <c r="K42" s="94"/>
      <c r="L42" s="101"/>
      <c r="M42" s="33"/>
      <c r="N42" s="33"/>
      <c r="O42" s="94"/>
      <c r="P42" s="101"/>
      <c r="Q42" s="33"/>
      <c r="R42" s="33"/>
      <c r="S42" s="94"/>
      <c r="T42" s="101"/>
      <c r="U42" s="33"/>
      <c r="V42" s="33"/>
      <c r="W42" s="94" t="s">
        <v>42</v>
      </c>
      <c r="X42" s="101">
        <f>C42</f>
        <v>1764367.3071201271</v>
      </c>
      <c r="Y42" s="33"/>
      <c r="Z42" s="33"/>
      <c r="AA42" s="94"/>
      <c r="AB42" s="101"/>
      <c r="AC42" s="33"/>
      <c r="AD42" s="33"/>
      <c r="AE42" s="94"/>
      <c r="AF42" s="101"/>
    </row>
    <row r="43" spans="1:32" x14ac:dyDescent="0.35">
      <c r="A43">
        <f>Overview!$M$17</f>
        <v>2022</v>
      </c>
      <c r="B43" t="s">
        <v>365</v>
      </c>
      <c r="C43" s="94"/>
      <c r="D43" s="101"/>
      <c r="E43" s="33"/>
      <c r="F43" s="33">
        <f>'8 - Inventory'!C17*F9</f>
        <v>734543.97003137029</v>
      </c>
      <c r="G43" s="94"/>
      <c r="H43" s="101"/>
      <c r="I43" s="33"/>
      <c r="J43" s="33"/>
      <c r="K43" s="94"/>
      <c r="L43" s="101"/>
      <c r="M43" s="33"/>
      <c r="N43" s="33"/>
      <c r="O43" s="94"/>
      <c r="P43" s="101"/>
      <c r="Q43" s="33"/>
      <c r="R43" s="33"/>
      <c r="S43" s="94"/>
      <c r="T43" s="101"/>
      <c r="U43" s="33"/>
      <c r="V43" s="33"/>
      <c r="W43" s="94"/>
      <c r="X43" s="101"/>
      <c r="Y43" s="33">
        <f>F43</f>
        <v>734543.97003137029</v>
      </c>
      <c r="Z43" s="33"/>
      <c r="AA43" s="94"/>
      <c r="AB43" s="101"/>
      <c r="AC43" s="33"/>
      <c r="AD43" s="33"/>
      <c r="AE43" s="94"/>
      <c r="AF43" s="101"/>
    </row>
    <row r="44" spans="1:32" x14ac:dyDescent="0.35">
      <c r="A44">
        <f>Overview!$M$17</f>
        <v>2022</v>
      </c>
      <c r="B44" t="s">
        <v>366</v>
      </c>
      <c r="C44" s="94"/>
      <c r="D44" s="101">
        <f>E44</f>
        <v>744543.97003137029</v>
      </c>
      <c r="E44" s="33">
        <f>'8 - Inventory'!C21</f>
        <v>744543.97003137029</v>
      </c>
      <c r="F44" s="33"/>
      <c r="G44" s="94"/>
      <c r="H44" s="101"/>
      <c r="I44" s="33"/>
      <c r="J44" s="33"/>
      <c r="K44" s="94"/>
      <c r="L44" s="101"/>
      <c r="M44" s="33"/>
      <c r="N44" s="33"/>
      <c r="O44" s="94"/>
      <c r="P44" s="101"/>
      <c r="Q44" s="33"/>
      <c r="R44" s="33"/>
      <c r="S44" s="94"/>
      <c r="T44" s="101"/>
      <c r="U44" s="33"/>
      <c r="V44" s="33"/>
      <c r="W44" s="94"/>
      <c r="X44" s="101"/>
      <c r="Y44" s="33"/>
      <c r="Z44" s="33"/>
      <c r="AA44" s="94"/>
      <c r="AB44" s="101"/>
      <c r="AC44" s="33"/>
      <c r="AD44" s="33"/>
      <c r="AE44" s="94"/>
      <c r="AF44" s="101"/>
    </row>
    <row r="45" spans="1:32" x14ac:dyDescent="0.35">
      <c r="A45">
        <f>Overview!$M$17</f>
        <v>2022</v>
      </c>
      <c r="B45" t="s">
        <v>367</v>
      </c>
      <c r="C45" s="94"/>
      <c r="D45" s="101">
        <f>'4 - Income Statement'!N92</f>
        <v>549751.13000000012</v>
      </c>
      <c r="E45" s="33"/>
      <c r="F45" s="33"/>
      <c r="G45" s="94"/>
      <c r="H45" s="101"/>
      <c r="I45" s="33"/>
      <c r="J45" s="33"/>
      <c r="K45" s="94"/>
      <c r="L45" s="101"/>
      <c r="M45" s="33"/>
      <c r="N45" s="33"/>
      <c r="O45" s="94"/>
      <c r="P45" s="101"/>
      <c r="Q45" s="33"/>
      <c r="R45" s="33"/>
      <c r="S45" s="94"/>
      <c r="T45" s="101"/>
      <c r="U45" s="33"/>
      <c r="V45" s="33"/>
      <c r="W45" s="94"/>
      <c r="X45" s="101"/>
      <c r="Y45" s="33"/>
      <c r="Z45" s="33"/>
      <c r="AA45" s="94">
        <f>D45</f>
        <v>549751.13000000012</v>
      </c>
      <c r="AB45" s="101"/>
      <c r="AC45" s="33"/>
      <c r="AD45" s="33"/>
      <c r="AE45" s="94"/>
      <c r="AF45" s="101"/>
    </row>
    <row r="46" spans="1:32" x14ac:dyDescent="0.35">
      <c r="A46">
        <f>Overview!$M$17</f>
        <v>2022</v>
      </c>
      <c r="B46" t="s">
        <v>368</v>
      </c>
      <c r="C46" s="94"/>
      <c r="D46" s="101">
        <f>K46+AC46</f>
        <v>16984.110279609842</v>
      </c>
      <c r="E46" s="33"/>
      <c r="F46" s="33"/>
      <c r="G46" s="94"/>
      <c r="H46" s="101"/>
      <c r="I46" s="33"/>
      <c r="J46" s="33"/>
      <c r="K46" s="94">
        <f>'6 - Loan Schedule'!F85</f>
        <v>14058.001950834749</v>
      </c>
      <c r="L46" s="101"/>
      <c r="M46" s="33"/>
      <c r="N46" s="33"/>
      <c r="O46" s="94"/>
      <c r="P46" s="101"/>
      <c r="Q46" s="33"/>
      <c r="R46" s="33"/>
      <c r="S46" s="94"/>
      <c r="T46" s="101"/>
      <c r="U46" s="33"/>
      <c r="V46" s="33"/>
      <c r="W46" s="94"/>
      <c r="X46" s="101"/>
      <c r="Y46" s="33"/>
      <c r="Z46" s="33"/>
      <c r="AA46" s="94"/>
      <c r="AB46" s="101"/>
      <c r="AC46" s="33">
        <f>'6 - Loan Schedule'!E85</f>
        <v>2926.1083287750939</v>
      </c>
      <c r="AD46" s="33"/>
      <c r="AE46" s="94"/>
      <c r="AF46" s="101"/>
    </row>
    <row r="47" spans="1:32" x14ac:dyDescent="0.35">
      <c r="A47">
        <f>Overview!$M$17</f>
        <v>2022</v>
      </c>
      <c r="B47" t="s">
        <v>376</v>
      </c>
      <c r="C47" s="94"/>
      <c r="D47" s="101">
        <f>'9 - Cash Flow Stmts'!E28*F9</f>
        <v>350000</v>
      </c>
      <c r="E47" s="33"/>
      <c r="F47" s="33"/>
      <c r="G47" s="94"/>
      <c r="H47" s="101"/>
      <c r="I47" s="33"/>
      <c r="J47" s="33"/>
      <c r="K47" s="94"/>
      <c r="L47" s="101"/>
      <c r="M47" s="33"/>
      <c r="N47" s="33"/>
      <c r="O47" s="94"/>
      <c r="P47" s="101"/>
      <c r="Q47" s="33">
        <f>D47</f>
        <v>350000</v>
      </c>
      <c r="R47" s="33"/>
      <c r="S47" s="94"/>
      <c r="T47" s="101"/>
      <c r="U47" s="33"/>
      <c r="V47" s="33"/>
      <c r="W47" s="94"/>
      <c r="X47" s="101"/>
      <c r="Y47" s="33"/>
      <c r="Z47" s="33"/>
      <c r="AA47" s="94"/>
      <c r="AB47" s="101"/>
      <c r="AC47" s="33"/>
      <c r="AD47" s="33"/>
      <c r="AE47" s="94"/>
      <c r="AF47" s="101"/>
    </row>
    <row r="48" spans="1:32" x14ac:dyDescent="0.35">
      <c r="A48">
        <f>Overview!$M$17</f>
        <v>2022</v>
      </c>
      <c r="B48" t="s">
        <v>377</v>
      </c>
      <c r="C48" s="94"/>
      <c r="D48" s="101">
        <f>'9 - Cash Flow Stmts'!E29*F9</f>
        <v>20000</v>
      </c>
      <c r="E48" s="33"/>
      <c r="F48" s="33"/>
      <c r="G48" s="94"/>
      <c r="H48" s="101"/>
      <c r="I48" s="33"/>
      <c r="J48" s="33"/>
      <c r="K48" s="94"/>
      <c r="L48" s="101"/>
      <c r="M48" s="33"/>
      <c r="N48" s="33"/>
      <c r="O48" s="94"/>
      <c r="P48" s="101"/>
      <c r="Q48" s="33"/>
      <c r="R48" s="33"/>
      <c r="S48" s="94"/>
      <c r="T48" s="101"/>
      <c r="U48" s="33"/>
      <c r="V48" s="33"/>
      <c r="W48" s="94"/>
      <c r="X48" s="101"/>
      <c r="Y48" s="33"/>
      <c r="Z48" s="33"/>
      <c r="AA48" s="94"/>
      <c r="AB48" s="101"/>
      <c r="AC48" s="33"/>
      <c r="AD48" s="33"/>
      <c r="AE48" s="94"/>
      <c r="AF48" s="101"/>
    </row>
    <row r="49" spans="1:32" x14ac:dyDescent="0.35">
      <c r="A49">
        <f>Overview!$M$17</f>
        <v>2022</v>
      </c>
      <c r="B49" t="s">
        <v>369</v>
      </c>
      <c r="C49" s="95"/>
      <c r="D49" s="102"/>
      <c r="E49" s="48"/>
      <c r="F49" s="48"/>
      <c r="G49" s="95"/>
      <c r="H49" s="102"/>
      <c r="I49" s="48"/>
      <c r="J49" s="48">
        <f>AE49</f>
        <v>10800</v>
      </c>
      <c r="K49" s="95"/>
      <c r="L49" s="102"/>
      <c r="M49" s="48"/>
      <c r="N49" s="48"/>
      <c r="O49" s="95"/>
      <c r="P49" s="102"/>
      <c r="Q49" s="48"/>
      <c r="R49" s="48"/>
      <c r="S49" s="95"/>
      <c r="T49" s="102"/>
      <c r="U49" s="48"/>
      <c r="V49" s="48"/>
      <c r="W49" s="95"/>
      <c r="X49" s="102"/>
      <c r="Y49" s="48"/>
      <c r="Z49" s="48"/>
      <c r="AA49" s="95"/>
      <c r="AB49" s="102"/>
      <c r="AC49" s="48"/>
      <c r="AD49" s="48"/>
      <c r="AE49" s="95">
        <f>'4 - Income Statement'!F66</f>
        <v>10800</v>
      </c>
      <c r="AF49" s="102"/>
    </row>
    <row r="50" spans="1:32" x14ac:dyDescent="0.35">
      <c r="C50" s="94"/>
      <c r="D50" s="101"/>
      <c r="E50" s="33"/>
      <c r="F50" s="33"/>
      <c r="G50" s="94"/>
      <c r="H50" s="101"/>
      <c r="I50" s="33"/>
      <c r="J50" s="33"/>
      <c r="K50" s="94"/>
      <c r="L50" s="101"/>
      <c r="M50" s="33"/>
      <c r="N50" s="33"/>
      <c r="O50" s="94"/>
      <c r="P50" s="101"/>
      <c r="Q50" s="33"/>
      <c r="R50" s="33"/>
      <c r="S50" s="94"/>
      <c r="T50" s="101"/>
      <c r="U50" s="33"/>
      <c r="V50" s="33"/>
      <c r="W50" s="94"/>
      <c r="X50" s="101"/>
      <c r="Y50" s="33"/>
      <c r="Z50" s="33"/>
      <c r="AA50" s="94"/>
      <c r="AB50" s="101"/>
      <c r="AC50" s="33"/>
      <c r="AD50" s="33"/>
      <c r="AE50" s="94"/>
      <c r="AF50" s="101"/>
    </row>
    <row r="51" spans="1:32" x14ac:dyDescent="0.35">
      <c r="A51" t="s">
        <v>396</v>
      </c>
      <c r="C51" s="94">
        <f>SUM(C41:C49)</f>
        <v>1764367.3071201271</v>
      </c>
      <c r="D51" s="101">
        <f t="shared" ref="D51:AF51" si="5">SUM(D41:D49)</f>
        <v>1723279.2103109802</v>
      </c>
      <c r="E51" s="33">
        <f t="shared" si="5"/>
        <v>744543.97003137029</v>
      </c>
      <c r="F51" s="33">
        <f t="shared" si="5"/>
        <v>734543.97003137029</v>
      </c>
      <c r="G51" s="94">
        <f t="shared" si="5"/>
        <v>42000</v>
      </c>
      <c r="H51" s="101">
        <f t="shared" si="5"/>
        <v>0</v>
      </c>
      <c r="I51" s="33">
        <f t="shared" si="5"/>
        <v>0</v>
      </c>
      <c r="J51" s="33">
        <f t="shared" si="5"/>
        <v>10800</v>
      </c>
      <c r="K51" s="94">
        <f t="shared" si="5"/>
        <v>14058.001950834749</v>
      </c>
      <c r="L51" s="101">
        <f t="shared" si="5"/>
        <v>0</v>
      </c>
      <c r="M51" s="33">
        <f t="shared" si="5"/>
        <v>0</v>
      </c>
      <c r="N51" s="33">
        <f t="shared" si="5"/>
        <v>0</v>
      </c>
      <c r="O51" s="94">
        <f t="shared" si="5"/>
        <v>0</v>
      </c>
      <c r="P51" s="101">
        <f t="shared" si="5"/>
        <v>0</v>
      </c>
      <c r="Q51" s="33">
        <f t="shared" si="5"/>
        <v>350000</v>
      </c>
      <c r="R51" s="33">
        <f t="shared" si="5"/>
        <v>0</v>
      </c>
      <c r="S51" s="94">
        <f t="shared" si="5"/>
        <v>0</v>
      </c>
      <c r="T51" s="101">
        <f t="shared" si="5"/>
        <v>0</v>
      </c>
      <c r="U51" s="33">
        <f t="shared" si="5"/>
        <v>0</v>
      </c>
      <c r="V51" s="33">
        <f t="shared" si="5"/>
        <v>0</v>
      </c>
      <c r="W51" s="94">
        <f t="shared" si="5"/>
        <v>0</v>
      </c>
      <c r="X51" s="101">
        <f t="shared" si="5"/>
        <v>1764367.3071201271</v>
      </c>
      <c r="Y51" s="33">
        <f t="shared" si="5"/>
        <v>734543.97003137029</v>
      </c>
      <c r="Z51" s="33">
        <f t="shared" si="5"/>
        <v>0</v>
      </c>
      <c r="AA51" s="94">
        <f t="shared" si="5"/>
        <v>549751.13000000012</v>
      </c>
      <c r="AB51" s="101">
        <f t="shared" si="5"/>
        <v>0</v>
      </c>
      <c r="AC51" s="33">
        <f t="shared" si="5"/>
        <v>2926.1083287750939</v>
      </c>
      <c r="AD51" s="33">
        <f t="shared" si="5"/>
        <v>0</v>
      </c>
      <c r="AE51" s="94">
        <f t="shared" si="5"/>
        <v>10800</v>
      </c>
      <c r="AF51" s="101">
        <f t="shared" si="5"/>
        <v>0</v>
      </c>
    </row>
    <row r="52" spans="1:32" x14ac:dyDescent="0.35">
      <c r="A52" s="11" t="s">
        <v>397</v>
      </c>
      <c r="B52" s="11"/>
      <c r="C52" s="97">
        <f>C36+C51-D51</f>
        <v>58689.299099439522</v>
      </c>
      <c r="D52" s="104"/>
      <c r="E52" s="70">
        <f>E36+E51-F51</f>
        <v>15000</v>
      </c>
      <c r="F52" s="70"/>
      <c r="G52" s="97">
        <f>G36+G51</f>
        <v>54000</v>
      </c>
      <c r="H52" s="104"/>
      <c r="I52" s="70"/>
      <c r="J52" s="70">
        <f>J36-J51</f>
        <v>-13200</v>
      </c>
      <c r="K52" s="97"/>
      <c r="L52" s="104">
        <f>L36-K51</f>
        <v>50849.370554999841</v>
      </c>
      <c r="M52" s="70"/>
      <c r="N52" s="70">
        <f>N36-M51+N51</f>
        <v>35000</v>
      </c>
      <c r="O52" s="97"/>
      <c r="P52" s="104">
        <f>P36-O51+P51</f>
        <v>20000</v>
      </c>
      <c r="Q52" s="70">
        <f>Q36+Q51-R51</f>
        <v>410000</v>
      </c>
      <c r="R52" s="70"/>
      <c r="S52" s="97">
        <f>S36+S51-T51</f>
        <v>30000</v>
      </c>
      <c r="T52" s="104"/>
      <c r="U52" s="70" t="s">
        <v>42</v>
      </c>
      <c r="V52" s="70">
        <f>V38+V54</f>
        <v>468639.92854443984</v>
      </c>
      <c r="W52" s="97"/>
      <c r="X52" s="104"/>
      <c r="Y52" s="70"/>
      <c r="Z52" s="70"/>
      <c r="AA52" s="97"/>
      <c r="AB52" s="104"/>
      <c r="AC52" s="70"/>
      <c r="AD52" s="70"/>
      <c r="AE52" s="97"/>
      <c r="AF52" s="104"/>
    </row>
    <row r="53" spans="1:32" x14ac:dyDescent="0.35">
      <c r="A53" t="s">
        <v>438</v>
      </c>
      <c r="B53" t="s">
        <v>436</v>
      </c>
      <c r="C53" s="94"/>
      <c r="D53" s="101"/>
      <c r="E53" s="33"/>
      <c r="F53" s="33"/>
      <c r="G53" s="94"/>
      <c r="H53" s="101"/>
      <c r="I53" s="33"/>
      <c r="J53" s="33"/>
      <c r="K53" s="94"/>
      <c r="L53" s="101"/>
      <c r="M53" s="33"/>
      <c r="N53" s="33"/>
      <c r="O53" s="94"/>
      <c r="P53" s="101"/>
      <c r="Q53" s="33"/>
      <c r="R53" s="33"/>
      <c r="S53" s="94"/>
      <c r="T53" s="101"/>
      <c r="U53" s="33">
        <f>X51</f>
        <v>1764367.3071201271</v>
      </c>
      <c r="V53" s="33">
        <f>SUM(Y51:AF51)</f>
        <v>1298021.2083601453</v>
      </c>
      <c r="W53" s="94" t="s">
        <v>42</v>
      </c>
      <c r="X53" s="101"/>
      <c r="Y53" s="33"/>
      <c r="Z53" s="33"/>
      <c r="AA53" s="94"/>
      <c r="AB53" s="101"/>
      <c r="AC53" s="33"/>
      <c r="AD53" s="33"/>
      <c r="AE53" s="94"/>
      <c r="AF53" s="101"/>
    </row>
    <row r="54" spans="1:32" x14ac:dyDescent="0.35">
      <c r="A54" t="s">
        <v>439</v>
      </c>
      <c r="B54" t="s">
        <v>437</v>
      </c>
      <c r="C54" s="94"/>
      <c r="D54" s="101"/>
      <c r="E54" s="33"/>
      <c r="F54" s="33"/>
      <c r="G54" s="94"/>
      <c r="H54" s="101"/>
      <c r="I54" s="33"/>
      <c r="J54" s="33"/>
      <c r="K54" s="94"/>
      <c r="L54" s="101"/>
      <c r="M54" s="33"/>
      <c r="N54" s="33"/>
      <c r="O54" s="94"/>
      <c r="P54" s="101"/>
      <c r="Q54" s="33"/>
      <c r="R54" s="33"/>
      <c r="S54" s="94"/>
      <c r="T54" s="101"/>
      <c r="U54" s="33"/>
      <c r="V54" s="33">
        <f>U53-V53</f>
        <v>466346.0987599818</v>
      </c>
      <c r="W54" s="94" t="s">
        <v>42</v>
      </c>
      <c r="X54" s="101"/>
      <c r="Y54" s="33"/>
      <c r="Z54" s="33"/>
      <c r="AA54" s="94"/>
      <c r="AB54" s="101"/>
      <c r="AC54" s="33"/>
      <c r="AD54" s="33"/>
      <c r="AE54" s="94"/>
      <c r="AF54" s="101"/>
    </row>
    <row r="55" spans="1:32" x14ac:dyDescent="0.35">
      <c r="C55" s="94"/>
      <c r="D55" s="101"/>
      <c r="E55" s="33"/>
      <c r="F55" s="33"/>
      <c r="G55" s="94"/>
      <c r="H55" s="101"/>
      <c r="I55" s="33"/>
      <c r="J55" s="33"/>
      <c r="K55" s="94"/>
      <c r="L55" s="101"/>
      <c r="M55" s="33"/>
      <c r="N55" s="33"/>
      <c r="O55" s="94"/>
      <c r="P55" s="101"/>
      <c r="Q55" s="33"/>
      <c r="R55" s="33"/>
      <c r="S55" s="94"/>
      <c r="T55" s="101"/>
      <c r="U55" s="33" t="s">
        <v>42</v>
      </c>
      <c r="V55" s="33"/>
      <c r="W55" s="94"/>
      <c r="X55" s="101"/>
      <c r="Y55" s="33"/>
      <c r="Z55" s="33"/>
      <c r="AA55" s="94"/>
      <c r="AB55" s="101"/>
      <c r="AC55" s="33"/>
      <c r="AD55" s="33"/>
      <c r="AE55" s="94"/>
      <c r="AF55" s="101"/>
    </row>
    <row r="56" spans="1:32" x14ac:dyDescent="0.35">
      <c r="A56" s="83" t="s">
        <v>531</v>
      </c>
      <c r="B56" s="83"/>
      <c r="C56" s="94"/>
      <c r="D56" s="101"/>
      <c r="E56" s="33"/>
      <c r="F56" s="33"/>
      <c r="G56" s="94"/>
      <c r="H56" s="101"/>
      <c r="I56" s="33"/>
      <c r="J56" s="33"/>
      <c r="K56" s="94"/>
      <c r="L56" s="101"/>
      <c r="M56" s="33"/>
      <c r="N56" s="33"/>
      <c r="O56" s="94"/>
      <c r="P56" s="101"/>
      <c r="Q56" s="33"/>
      <c r="R56" s="33"/>
      <c r="S56" s="94"/>
      <c r="T56" s="101"/>
      <c r="U56" s="33"/>
      <c r="V56" s="33"/>
      <c r="W56" s="94"/>
      <c r="X56" s="101"/>
      <c r="Y56" s="33"/>
      <c r="Z56" s="33"/>
      <c r="AA56" s="94"/>
      <c r="AB56" s="101"/>
      <c r="AC56" s="33"/>
      <c r="AD56" s="33"/>
      <c r="AE56" s="94"/>
      <c r="AF56" s="101"/>
    </row>
    <row r="57" spans="1:32" x14ac:dyDescent="0.35">
      <c r="A57">
        <f>Overview!$M$18</f>
        <v>2023</v>
      </c>
      <c r="B57" t="s">
        <v>392</v>
      </c>
      <c r="C57" s="94"/>
      <c r="D57" s="101">
        <f>G57</f>
        <v>40000</v>
      </c>
      <c r="E57" s="33"/>
      <c r="F57" s="33"/>
      <c r="G57" s="94">
        <f>'4 - Income Statement'!G62</f>
        <v>40000</v>
      </c>
      <c r="H57" s="101"/>
      <c r="I57" s="33"/>
      <c r="J57" s="33"/>
      <c r="K57" s="94"/>
      <c r="L57" s="101"/>
      <c r="M57" s="33"/>
      <c r="N57" s="33"/>
      <c r="O57" s="94"/>
      <c r="P57" s="101"/>
      <c r="Q57" s="33"/>
      <c r="R57" s="33"/>
      <c r="S57" s="94"/>
      <c r="T57" s="101"/>
      <c r="U57" s="33"/>
      <c r="V57" s="33"/>
      <c r="W57" s="94"/>
      <c r="X57" s="101"/>
      <c r="Y57" s="33"/>
      <c r="Z57" s="33"/>
      <c r="AA57" s="94"/>
      <c r="AB57" s="101"/>
      <c r="AC57" s="33"/>
      <c r="AD57" s="33"/>
      <c r="AE57" s="94"/>
      <c r="AF57" s="101"/>
    </row>
    <row r="58" spans="1:32" x14ac:dyDescent="0.35">
      <c r="A58">
        <f>Overview!$M$18</f>
        <v>2023</v>
      </c>
      <c r="B58" t="s">
        <v>393</v>
      </c>
      <c r="C58" s="94">
        <f>'4 - Income Statement'!N107</f>
        <v>2354239.2096196939</v>
      </c>
      <c r="D58" s="101"/>
      <c r="E58" s="33"/>
      <c r="F58" s="33"/>
      <c r="G58" s="94"/>
      <c r="H58" s="101"/>
      <c r="I58" s="33"/>
      <c r="J58" s="33"/>
      <c r="K58" s="94"/>
      <c r="L58" s="101"/>
      <c r="M58" s="33"/>
      <c r="N58" s="33"/>
      <c r="O58" s="94"/>
      <c r="P58" s="101"/>
      <c r="Q58" s="33"/>
      <c r="R58" s="33"/>
      <c r="S58" s="94"/>
      <c r="T58" s="101"/>
      <c r="U58" s="33"/>
      <c r="V58" s="33"/>
      <c r="W58" s="94"/>
      <c r="X58" s="101">
        <f>C58</f>
        <v>2354239.2096196939</v>
      </c>
      <c r="Y58" s="33"/>
      <c r="Z58" s="33"/>
      <c r="AA58" s="94"/>
      <c r="AB58" s="101"/>
      <c r="AC58" s="33"/>
      <c r="AD58" s="33"/>
      <c r="AE58" s="94"/>
      <c r="AF58" s="101"/>
    </row>
    <row r="59" spans="1:32" x14ac:dyDescent="0.35">
      <c r="A59">
        <f>Overview!$M$18</f>
        <v>2023</v>
      </c>
      <c r="B59" t="s">
        <v>365</v>
      </c>
      <c r="C59" s="94"/>
      <c r="D59" s="101"/>
      <c r="E59" s="33"/>
      <c r="F59" s="33">
        <f>'4 - Income Statement'!N108</f>
        <v>980120.30060803331</v>
      </c>
      <c r="G59" s="94"/>
      <c r="H59" s="101"/>
      <c r="I59" s="33"/>
      <c r="J59" s="33"/>
      <c r="K59" s="94"/>
      <c r="L59" s="101"/>
      <c r="M59" s="33"/>
      <c r="N59" s="33"/>
      <c r="O59" s="94"/>
      <c r="P59" s="101"/>
      <c r="Q59" s="33"/>
      <c r="R59" s="33"/>
      <c r="S59" s="94"/>
      <c r="T59" s="101"/>
      <c r="U59" s="33"/>
      <c r="V59" s="33"/>
      <c r="W59" s="94"/>
      <c r="X59" s="101"/>
      <c r="Y59" s="33">
        <f>F59</f>
        <v>980120.30060803331</v>
      </c>
      <c r="Z59" s="33"/>
      <c r="AA59" s="94"/>
      <c r="AB59" s="101"/>
      <c r="AC59" s="33"/>
      <c r="AD59" s="33"/>
      <c r="AE59" s="94"/>
      <c r="AF59" s="101"/>
    </row>
    <row r="60" spans="1:32" x14ac:dyDescent="0.35">
      <c r="A60">
        <f>Overview!$M$18</f>
        <v>2023</v>
      </c>
      <c r="B60" t="s">
        <v>366</v>
      </c>
      <c r="C60" s="94"/>
      <c r="D60" s="101">
        <f>E60</f>
        <v>990120.30060803331</v>
      </c>
      <c r="E60" s="33">
        <f>'8 - Inventory'!D21</f>
        <v>990120.30060803331</v>
      </c>
      <c r="F60" s="33"/>
      <c r="G60" s="94"/>
      <c r="H60" s="101"/>
      <c r="I60" s="33"/>
      <c r="J60" s="33"/>
      <c r="K60" s="94"/>
      <c r="L60" s="101"/>
      <c r="M60" s="33"/>
      <c r="N60" s="33"/>
      <c r="O60" s="94"/>
      <c r="P60" s="101"/>
      <c r="Q60" s="33"/>
      <c r="R60" s="33"/>
      <c r="S60" s="94"/>
      <c r="T60" s="101"/>
      <c r="U60" s="33"/>
      <c r="V60" s="33"/>
      <c r="W60" s="94"/>
      <c r="X60" s="101"/>
      <c r="Y60" s="33"/>
      <c r="Z60" s="33"/>
      <c r="AA60" s="94"/>
      <c r="AB60" s="101"/>
      <c r="AC60" s="33"/>
      <c r="AD60" s="33"/>
      <c r="AE60" s="94"/>
      <c r="AF60" s="101"/>
    </row>
    <row r="61" spans="1:32" x14ac:dyDescent="0.35">
      <c r="A61">
        <f>Overview!$M$18</f>
        <v>2023</v>
      </c>
      <c r="B61" t="s">
        <v>367</v>
      </c>
      <c r="C61" s="94"/>
      <c r="D61" s="101">
        <f>'4 - Income Statement'!N125</f>
        <v>791251.13000000012</v>
      </c>
      <c r="E61" s="33"/>
      <c r="F61" s="33"/>
      <c r="G61" s="94"/>
      <c r="H61" s="101"/>
      <c r="I61" s="33"/>
      <c r="J61" s="33"/>
      <c r="K61" s="94"/>
      <c r="L61" s="101"/>
      <c r="M61" s="33"/>
      <c r="N61" s="33"/>
      <c r="O61" s="94"/>
      <c r="P61" s="101"/>
      <c r="Q61" s="33"/>
      <c r="R61" s="33"/>
      <c r="S61" s="94"/>
      <c r="T61" s="101"/>
      <c r="U61" s="33"/>
      <c r="V61" s="33"/>
      <c r="W61" s="94"/>
      <c r="X61" s="101"/>
      <c r="Y61" s="33"/>
      <c r="Z61" s="33"/>
      <c r="AA61" s="94">
        <f>D61</f>
        <v>791251.13000000012</v>
      </c>
      <c r="AB61" s="101"/>
      <c r="AC61" s="33"/>
      <c r="AD61" s="33"/>
      <c r="AE61" s="94"/>
      <c r="AF61" s="101"/>
    </row>
    <row r="62" spans="1:32" x14ac:dyDescent="0.35">
      <c r="A62">
        <f>Overview!$M$18</f>
        <v>2023</v>
      </c>
      <c r="B62" t="s">
        <v>368</v>
      </c>
      <c r="C62" s="94"/>
      <c r="D62" s="101">
        <f>K62+AC62</f>
        <v>16984.110279609842</v>
      </c>
      <c r="E62" s="33"/>
      <c r="F62" s="33"/>
      <c r="G62" s="94"/>
      <c r="H62" s="101"/>
      <c r="I62" s="33"/>
      <c r="J62" s="33"/>
      <c r="K62" s="94">
        <f>'6 - Loan Schedule'!F86</f>
        <v>14777.23601106456</v>
      </c>
      <c r="L62" s="101"/>
      <c r="M62" s="33"/>
      <c r="N62" s="33"/>
      <c r="O62" s="94"/>
      <c r="P62" s="101"/>
      <c r="Q62" s="33"/>
      <c r="R62" s="33"/>
      <c r="S62" s="94"/>
      <c r="T62" s="101"/>
      <c r="U62" s="33"/>
      <c r="V62" s="33"/>
      <c r="W62" s="94"/>
      <c r="X62" s="101"/>
      <c r="Y62" s="33"/>
      <c r="Z62" s="33"/>
      <c r="AA62" s="94"/>
      <c r="AB62" s="101"/>
      <c r="AC62" s="33">
        <f>'6 - Loan Schedule'!E86</f>
        <v>2206.8742685452817</v>
      </c>
      <c r="AD62" s="33"/>
      <c r="AE62" s="94"/>
      <c r="AF62" s="101"/>
    </row>
    <row r="63" spans="1:32" x14ac:dyDescent="0.35">
      <c r="A63">
        <f>Overview!$M$18</f>
        <v>2023</v>
      </c>
      <c r="B63" t="s">
        <v>376</v>
      </c>
      <c r="C63" s="94"/>
      <c r="D63" s="101">
        <f>'9 - Cash Flow Stmts'!F28*F9</f>
        <v>500000</v>
      </c>
      <c r="E63" s="33"/>
      <c r="F63" s="33"/>
      <c r="G63" s="94"/>
      <c r="H63" s="101"/>
      <c r="I63" s="33"/>
      <c r="J63" s="33"/>
      <c r="K63" s="94"/>
      <c r="L63" s="101"/>
      <c r="M63" s="33"/>
      <c r="N63" s="33"/>
      <c r="O63" s="94"/>
      <c r="P63" s="101"/>
      <c r="Q63" s="33">
        <f>D63</f>
        <v>500000</v>
      </c>
      <c r="R63" s="33"/>
      <c r="S63" s="94"/>
      <c r="T63" s="101"/>
      <c r="U63" s="33"/>
      <c r="V63" s="33"/>
      <c r="W63" s="94"/>
      <c r="X63" s="101"/>
      <c r="Y63" s="33"/>
      <c r="Z63" s="33"/>
      <c r="AA63" s="94"/>
      <c r="AB63" s="101"/>
      <c r="AC63" s="33"/>
      <c r="AD63" s="33"/>
      <c r="AE63" s="94"/>
      <c r="AF63" s="101"/>
    </row>
    <row r="64" spans="1:32" x14ac:dyDescent="0.35">
      <c r="A64">
        <f>Overview!$M$18</f>
        <v>2023</v>
      </c>
      <c r="B64" t="s">
        <v>377</v>
      </c>
      <c r="C64" s="94"/>
      <c r="D64" s="101">
        <f>'9 - Cash Flow Stmts'!F29*F9</f>
        <v>10000</v>
      </c>
      <c r="E64" s="33"/>
      <c r="F64" s="33"/>
      <c r="G64" s="94"/>
      <c r="H64" s="101"/>
      <c r="I64" s="33"/>
      <c r="J64" s="33"/>
      <c r="K64" s="94"/>
      <c r="L64" s="101"/>
      <c r="M64" s="33"/>
      <c r="N64" s="33"/>
      <c r="O64" s="94"/>
      <c r="P64" s="101"/>
      <c r="Q64" s="33"/>
      <c r="R64" s="33"/>
      <c r="S64" s="94">
        <f>D64</f>
        <v>10000</v>
      </c>
      <c r="T64" s="101"/>
      <c r="U64" s="33"/>
      <c r="V64" s="33"/>
      <c r="W64" s="94"/>
      <c r="X64" s="101"/>
      <c r="Y64" s="33"/>
      <c r="Z64" s="33"/>
      <c r="AA64" s="94"/>
      <c r="AB64" s="101"/>
      <c r="AC64" s="33"/>
      <c r="AD64" s="33"/>
      <c r="AE64" s="94"/>
      <c r="AF64" s="101"/>
    </row>
    <row r="65" spans="1:32" x14ac:dyDescent="0.35">
      <c r="A65">
        <f>Overview!$M$18</f>
        <v>2023</v>
      </c>
      <c r="B65" t="s">
        <v>369</v>
      </c>
      <c r="C65" s="95"/>
      <c r="D65" s="102"/>
      <c r="E65" s="48"/>
      <c r="F65" s="48"/>
      <c r="G65" s="95"/>
      <c r="H65" s="102"/>
      <c r="I65" s="48"/>
      <c r="J65" s="48">
        <f>AE65</f>
        <v>18800</v>
      </c>
      <c r="K65" s="95"/>
      <c r="L65" s="102"/>
      <c r="M65" s="48"/>
      <c r="N65" s="48"/>
      <c r="O65" s="95"/>
      <c r="P65" s="102"/>
      <c r="Q65" s="48"/>
      <c r="R65" s="48"/>
      <c r="S65" s="95"/>
      <c r="T65" s="102"/>
      <c r="U65" s="48"/>
      <c r="V65" s="48"/>
      <c r="W65" s="95"/>
      <c r="X65" s="102"/>
      <c r="Y65" s="48"/>
      <c r="Z65" s="48"/>
      <c r="AA65" s="95"/>
      <c r="AB65" s="102"/>
      <c r="AC65" s="48"/>
      <c r="AD65" s="48"/>
      <c r="AE65" s="95">
        <f>'4 - Income Statement'!G66</f>
        <v>18800</v>
      </c>
      <c r="AF65" s="102"/>
    </row>
    <row r="66" spans="1:32" x14ac:dyDescent="0.35">
      <c r="C66" s="94"/>
      <c r="D66" s="101"/>
      <c r="E66" s="33"/>
      <c r="F66" s="33"/>
      <c r="G66" s="94"/>
      <c r="H66" s="101"/>
      <c r="I66" s="33"/>
      <c r="J66" s="33"/>
      <c r="K66" s="94"/>
      <c r="L66" s="101"/>
      <c r="M66" s="33"/>
      <c r="N66" s="33"/>
      <c r="O66" s="94"/>
      <c r="P66" s="101"/>
      <c r="Q66" s="33"/>
      <c r="R66" s="33"/>
      <c r="S66" s="94"/>
      <c r="T66" s="101"/>
      <c r="U66" s="33"/>
      <c r="V66" s="33"/>
      <c r="W66" s="94"/>
      <c r="X66" s="101"/>
      <c r="Y66" s="33"/>
      <c r="Z66" s="33"/>
      <c r="AA66" s="94"/>
      <c r="AB66" s="101"/>
      <c r="AC66" s="33"/>
      <c r="AD66" s="33"/>
      <c r="AE66" s="94"/>
      <c r="AF66" s="101"/>
    </row>
    <row r="67" spans="1:32" x14ac:dyDescent="0.35">
      <c r="A67" t="s">
        <v>435</v>
      </c>
      <c r="C67" s="94">
        <f>SUM(C57:C65)</f>
        <v>2354239.2096196939</v>
      </c>
      <c r="D67" s="101">
        <f t="shared" ref="D67:AF67" si="6">SUM(D57:D65)</f>
        <v>2348355.5408876436</v>
      </c>
      <c r="E67" s="33">
        <f t="shared" si="6"/>
        <v>990120.30060803331</v>
      </c>
      <c r="F67" s="33">
        <f t="shared" si="6"/>
        <v>980120.30060803331</v>
      </c>
      <c r="G67" s="94">
        <f t="shared" si="6"/>
        <v>40000</v>
      </c>
      <c r="H67" s="101">
        <f t="shared" si="6"/>
        <v>0</v>
      </c>
      <c r="I67" s="33">
        <f t="shared" si="6"/>
        <v>0</v>
      </c>
      <c r="J67" s="33">
        <f t="shared" si="6"/>
        <v>18800</v>
      </c>
      <c r="K67" s="94">
        <f t="shared" si="6"/>
        <v>14777.23601106456</v>
      </c>
      <c r="L67" s="101">
        <f t="shared" si="6"/>
        <v>0</v>
      </c>
      <c r="M67" s="33">
        <f t="shared" si="6"/>
        <v>0</v>
      </c>
      <c r="N67" s="33">
        <f t="shared" si="6"/>
        <v>0</v>
      </c>
      <c r="O67" s="94">
        <f t="shared" si="6"/>
        <v>0</v>
      </c>
      <c r="P67" s="101">
        <f t="shared" si="6"/>
        <v>0</v>
      </c>
      <c r="Q67" s="33">
        <f t="shared" si="6"/>
        <v>500000</v>
      </c>
      <c r="R67" s="33">
        <f t="shared" si="6"/>
        <v>0</v>
      </c>
      <c r="S67" s="94">
        <f t="shared" si="6"/>
        <v>10000</v>
      </c>
      <c r="T67" s="101">
        <f t="shared" si="6"/>
        <v>0</v>
      </c>
      <c r="U67" s="33">
        <f t="shared" si="6"/>
        <v>0</v>
      </c>
      <c r="V67" s="33">
        <f t="shared" si="6"/>
        <v>0</v>
      </c>
      <c r="W67" s="94">
        <f t="shared" si="6"/>
        <v>0</v>
      </c>
      <c r="X67" s="101">
        <f t="shared" si="6"/>
        <v>2354239.2096196939</v>
      </c>
      <c r="Y67" s="33">
        <f t="shared" si="6"/>
        <v>980120.30060803331</v>
      </c>
      <c r="Z67" s="33">
        <f t="shared" si="6"/>
        <v>0</v>
      </c>
      <c r="AA67" s="94">
        <f t="shared" si="6"/>
        <v>791251.13000000012</v>
      </c>
      <c r="AB67" s="101">
        <f t="shared" si="6"/>
        <v>0</v>
      </c>
      <c r="AC67" s="33">
        <f t="shared" si="6"/>
        <v>2206.8742685452817</v>
      </c>
      <c r="AD67" s="33">
        <f t="shared" si="6"/>
        <v>0</v>
      </c>
      <c r="AE67" s="94">
        <f t="shared" si="6"/>
        <v>18800</v>
      </c>
      <c r="AF67" s="101">
        <f t="shared" si="6"/>
        <v>0</v>
      </c>
    </row>
    <row r="68" spans="1:32" x14ac:dyDescent="0.35">
      <c r="A68" s="11" t="s">
        <v>397</v>
      </c>
      <c r="B68" s="11"/>
      <c r="C68" s="97">
        <f>C52+C67-D67</f>
        <v>64572.96783148963</v>
      </c>
      <c r="D68" s="104"/>
      <c r="E68" s="70">
        <f>E52+E67-F67</f>
        <v>25000</v>
      </c>
      <c r="F68" s="70"/>
      <c r="G68" s="97">
        <f>G52+G67-H67</f>
        <v>94000</v>
      </c>
      <c r="H68" s="104"/>
      <c r="I68" s="70"/>
      <c r="J68" s="70">
        <f>J52-J67</f>
        <v>-32000</v>
      </c>
      <c r="K68" s="97"/>
      <c r="L68" s="104">
        <f>L52-K67+L67</f>
        <v>36072.134543935281</v>
      </c>
      <c r="M68" s="70"/>
      <c r="N68" s="70">
        <f>N52-M67+N67</f>
        <v>35000</v>
      </c>
      <c r="O68" s="97"/>
      <c r="P68" s="104">
        <f>P52-O67+P67</f>
        <v>20000</v>
      </c>
      <c r="Q68" s="70">
        <f>Q52+Q67-R67</f>
        <v>910000</v>
      </c>
      <c r="R68" s="70"/>
      <c r="S68" s="97">
        <f>S52+S67-T67</f>
        <v>40000</v>
      </c>
      <c r="T68" s="104"/>
      <c r="U68" s="70"/>
      <c r="V68" s="70">
        <f>V52+V70</f>
        <v>1030500.833287555</v>
      </c>
      <c r="W68" s="97"/>
      <c r="X68" s="104"/>
      <c r="Y68" s="70"/>
      <c r="Z68" s="70"/>
      <c r="AA68" s="97"/>
      <c r="AB68" s="104"/>
      <c r="AC68" s="70"/>
      <c r="AD68" s="70"/>
      <c r="AE68" s="97"/>
      <c r="AF68" s="104"/>
    </row>
    <row r="69" spans="1:32" x14ac:dyDescent="0.35">
      <c r="A69" t="s">
        <v>532</v>
      </c>
      <c r="B69" t="s">
        <v>436</v>
      </c>
      <c r="C69" s="94"/>
      <c r="D69" s="101"/>
      <c r="E69" s="33"/>
      <c r="F69" s="33"/>
      <c r="G69" s="94"/>
      <c r="H69" s="101"/>
      <c r="I69" s="33"/>
      <c r="J69" s="33"/>
      <c r="K69" s="94"/>
      <c r="L69" s="101"/>
      <c r="M69" s="33"/>
      <c r="N69" s="33"/>
      <c r="O69" s="94"/>
      <c r="P69" s="101"/>
      <c r="Q69" s="33"/>
      <c r="R69" s="33"/>
      <c r="S69" s="94"/>
      <c r="T69" s="101"/>
      <c r="U69" s="33">
        <f>X67</f>
        <v>2354239.2096196939</v>
      </c>
      <c r="V69" s="33">
        <f>SUM(Y67:AF67)</f>
        <v>1792378.3048765787</v>
      </c>
      <c r="W69" s="94" t="s">
        <v>42</v>
      </c>
      <c r="X69" s="101"/>
      <c r="Y69" s="33"/>
      <c r="Z69" s="33"/>
      <c r="AA69" s="94"/>
      <c r="AB69" s="101"/>
      <c r="AC69" s="33"/>
      <c r="AD69" s="33"/>
      <c r="AE69" s="94"/>
      <c r="AF69" s="101"/>
    </row>
    <row r="70" spans="1:32" x14ac:dyDescent="0.35">
      <c r="A70" t="s">
        <v>533</v>
      </c>
      <c r="B70" t="s">
        <v>437</v>
      </c>
      <c r="C70" s="94"/>
      <c r="D70" s="101"/>
      <c r="E70" s="33"/>
      <c r="F70" s="33"/>
      <c r="G70" s="94"/>
      <c r="H70" s="101"/>
      <c r="I70" s="33"/>
      <c r="J70" s="33"/>
      <c r="K70" s="94"/>
      <c r="L70" s="101"/>
      <c r="M70" s="33"/>
      <c r="N70" s="33"/>
      <c r="O70" s="94"/>
      <c r="P70" s="101"/>
      <c r="Q70" s="33"/>
      <c r="R70" s="33"/>
      <c r="S70" s="94"/>
      <c r="T70" s="101"/>
      <c r="U70" s="33"/>
      <c r="V70" s="33">
        <f>U69-V69</f>
        <v>561860.90474311518</v>
      </c>
      <c r="W70" s="94" t="s">
        <v>42</v>
      </c>
      <c r="X70" s="101"/>
      <c r="Y70" s="33"/>
      <c r="Z70" s="33"/>
      <c r="AA70" s="94"/>
      <c r="AB70" s="101"/>
      <c r="AC70" s="33"/>
      <c r="AD70" s="33"/>
      <c r="AE70" s="94"/>
      <c r="AF70" s="101"/>
    </row>
    <row r="71" spans="1:32" x14ac:dyDescent="0.35"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</row>
    <row r="72" spans="1:32" x14ac:dyDescent="0.35"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</row>
    <row r="73" spans="1:32" x14ac:dyDescent="0.35"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</row>
    <row r="74" spans="1:32" x14ac:dyDescent="0.35"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</row>
    <row r="75" spans="1:32" x14ac:dyDescent="0.35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</row>
    <row r="76" spans="1:32" x14ac:dyDescent="0.35"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</row>
    <row r="77" spans="1:32" x14ac:dyDescent="0.35"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</row>
    <row r="78" spans="1:32" x14ac:dyDescent="0.35"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</row>
    <row r="79" spans="1:32" x14ac:dyDescent="0.35"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</row>
    <row r="80" spans="1:32" x14ac:dyDescent="0.35"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</row>
    <row r="81" spans="3:32" x14ac:dyDescent="0.35"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</row>
    <row r="82" spans="3:32" x14ac:dyDescent="0.35"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</row>
    <row r="83" spans="3:32" x14ac:dyDescent="0.35"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</row>
    <row r="84" spans="3:32" x14ac:dyDescent="0.35"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</row>
    <row r="85" spans="3:32" x14ac:dyDescent="0.35"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3:32" x14ac:dyDescent="0.35"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3:32" x14ac:dyDescent="0.35"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</row>
    <row r="88" spans="3:32" x14ac:dyDescent="0.35"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</row>
    <row r="89" spans="3:32" x14ac:dyDescent="0.35"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</row>
    <row r="90" spans="3:32" x14ac:dyDescent="0.35"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</row>
    <row r="91" spans="3:32" x14ac:dyDescent="0.35"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</row>
    <row r="92" spans="3:32" x14ac:dyDescent="0.35"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</row>
    <row r="93" spans="3:32" x14ac:dyDescent="0.35"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</row>
    <row r="94" spans="3:32" x14ac:dyDescent="0.35"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</row>
    <row r="95" spans="3:32" x14ac:dyDescent="0.35"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</row>
    <row r="96" spans="3:32" x14ac:dyDescent="0.35"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</row>
    <row r="97" spans="3:32" x14ac:dyDescent="0.35"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3:32" x14ac:dyDescent="0.35"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3:32" x14ac:dyDescent="0.35"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</row>
    <row r="100" spans="3:32" x14ac:dyDescent="0.35"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</row>
    <row r="101" spans="3:32" x14ac:dyDescent="0.35"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</row>
    <row r="102" spans="3:32" x14ac:dyDescent="0.35"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</row>
    <row r="103" spans="3:32" x14ac:dyDescent="0.35"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</row>
    <row r="104" spans="3:32" x14ac:dyDescent="0.35"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</row>
    <row r="105" spans="3:32" x14ac:dyDescent="0.35"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</row>
    <row r="106" spans="3:32" x14ac:dyDescent="0.35"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</row>
    <row r="107" spans="3:32" x14ac:dyDescent="0.35"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</row>
    <row r="108" spans="3:32" x14ac:dyDescent="0.35"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</row>
    <row r="109" spans="3:32" x14ac:dyDescent="0.35"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3:32" x14ac:dyDescent="0.35"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3:32" x14ac:dyDescent="0.35"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</row>
    <row r="112" spans="3:32" x14ac:dyDescent="0.35"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</row>
    <row r="113" spans="3:32" x14ac:dyDescent="0.35"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</row>
    <row r="114" spans="3:32" x14ac:dyDescent="0.35"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</row>
    <row r="115" spans="3:32" x14ac:dyDescent="0.35"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</row>
    <row r="116" spans="3:32" x14ac:dyDescent="0.35"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</row>
    <row r="117" spans="3:32" x14ac:dyDescent="0.35"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</row>
    <row r="118" spans="3:32" x14ac:dyDescent="0.35"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pans="3:32" x14ac:dyDescent="0.35"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pans="3:32" x14ac:dyDescent="0.35"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pans="3:32" x14ac:dyDescent="0.35"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pans="3:32" x14ac:dyDescent="0.35"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</row>
    <row r="123" spans="3:32" x14ac:dyDescent="0.35"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pans="3:32" x14ac:dyDescent="0.35"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pans="3:32" x14ac:dyDescent="0.35"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pans="3:32" x14ac:dyDescent="0.35"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pans="3:32" x14ac:dyDescent="0.35"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pans="3:32" x14ac:dyDescent="0.35"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pans="3:32" x14ac:dyDescent="0.35"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pans="3:32" x14ac:dyDescent="0.35"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pans="3:32" x14ac:dyDescent="0.35"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pans="3:32" x14ac:dyDescent="0.35"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pans="3:32" x14ac:dyDescent="0.35"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pans="3:32" x14ac:dyDescent="0.35"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</row>
    <row r="135" spans="3:32" x14ac:dyDescent="0.35"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pans="3:32" x14ac:dyDescent="0.35"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pans="3:32" x14ac:dyDescent="0.35"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pans="3:32" x14ac:dyDescent="0.35"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pans="3:32" x14ac:dyDescent="0.35"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pans="3:32" x14ac:dyDescent="0.35"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pans="3:32" x14ac:dyDescent="0.35"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pans="3:32" x14ac:dyDescent="0.35"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pans="3:32" x14ac:dyDescent="0.35"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pans="3:32" x14ac:dyDescent="0.35"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pans="3:32" x14ac:dyDescent="0.35"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pans="3:32" x14ac:dyDescent="0.35"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pans="3:32" x14ac:dyDescent="0.35"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pans="3:32" x14ac:dyDescent="0.35"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pans="3:32" x14ac:dyDescent="0.35"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</row>
    <row r="150" spans="3:32" x14ac:dyDescent="0.35"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pans="3:32" x14ac:dyDescent="0.35"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</row>
    <row r="152" spans="3:32" x14ac:dyDescent="0.35"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pans="3:32" x14ac:dyDescent="0.35"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pans="3:32" x14ac:dyDescent="0.35"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pans="3:32" x14ac:dyDescent="0.35"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</sheetData>
  <phoneticPr fontId="11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25401-B9E8-4C82-92FE-FF90A5E5D668}">
  <dimension ref="A1:F31"/>
  <sheetViews>
    <sheetView workbookViewId="0">
      <selection activeCell="D14" sqref="D14"/>
    </sheetView>
  </sheetViews>
  <sheetFormatPr defaultRowHeight="14.5" x14ac:dyDescent="0.35"/>
  <cols>
    <col min="1" max="1" width="37.90625" customWidth="1"/>
    <col min="2" max="5" width="13.6328125" customWidth="1"/>
    <col min="6" max="6" width="42.81640625" customWidth="1"/>
    <col min="7" max="7" width="13.6328125" customWidth="1"/>
  </cols>
  <sheetData>
    <row r="1" spans="1:6" ht="26" x14ac:dyDescent="0.6">
      <c r="A1" s="1" t="s">
        <v>229</v>
      </c>
      <c r="F1" s="65" t="s">
        <v>442</v>
      </c>
    </row>
    <row r="2" spans="1:6" x14ac:dyDescent="0.35">
      <c r="F2" s="85" t="s">
        <v>443</v>
      </c>
    </row>
    <row r="3" spans="1:6" x14ac:dyDescent="0.35">
      <c r="A3" t="s">
        <v>230</v>
      </c>
      <c r="F3" s="85" t="s">
        <v>444</v>
      </c>
    </row>
    <row r="4" spans="1:6" x14ac:dyDescent="0.35">
      <c r="A4" t="s">
        <v>231</v>
      </c>
      <c r="F4" s="85" t="s">
        <v>445</v>
      </c>
    </row>
    <row r="5" spans="1:6" x14ac:dyDescent="0.35">
      <c r="A5" t="s">
        <v>232</v>
      </c>
      <c r="F5" s="85" t="s">
        <v>446</v>
      </c>
    </row>
    <row r="6" spans="1:6" x14ac:dyDescent="0.35">
      <c r="A6" t="s">
        <v>235</v>
      </c>
      <c r="F6" s="85" t="s">
        <v>447</v>
      </c>
    </row>
    <row r="7" spans="1:6" x14ac:dyDescent="0.35">
      <c r="A7" t="s">
        <v>261</v>
      </c>
      <c r="C7" s="64" t="s">
        <v>262</v>
      </c>
      <c r="D7" s="33">
        <v>5000</v>
      </c>
      <c r="F7" s="85" t="s">
        <v>448</v>
      </c>
    </row>
    <row r="8" spans="1:6" x14ac:dyDescent="0.35">
      <c r="C8" s="64" t="s">
        <v>263</v>
      </c>
      <c r="D8" s="33">
        <v>15000</v>
      </c>
      <c r="F8" s="85" t="s">
        <v>449</v>
      </c>
    </row>
    <row r="9" spans="1:6" x14ac:dyDescent="0.35">
      <c r="C9" s="64" t="s">
        <v>264</v>
      </c>
      <c r="D9" s="33">
        <v>25000</v>
      </c>
      <c r="F9" s="85" t="s">
        <v>450</v>
      </c>
    </row>
    <row r="10" spans="1:6" x14ac:dyDescent="0.35">
      <c r="F10" s="85" t="s">
        <v>451</v>
      </c>
    </row>
    <row r="11" spans="1:6" x14ac:dyDescent="0.35">
      <c r="A11" t="s">
        <v>42</v>
      </c>
      <c r="B11" s="18" t="s">
        <v>42</v>
      </c>
      <c r="C11">
        <v>-1</v>
      </c>
      <c r="F11" s="85" t="s">
        <v>452</v>
      </c>
    </row>
    <row r="12" spans="1:6" x14ac:dyDescent="0.35">
      <c r="F12" s="85" t="s">
        <v>454</v>
      </c>
    </row>
    <row r="13" spans="1:6" x14ac:dyDescent="0.35">
      <c r="B13" s="53">
        <f>Overview!M16</f>
        <v>2021</v>
      </c>
      <c r="C13" s="53">
        <f>Overview!M17</f>
        <v>2022</v>
      </c>
      <c r="D13" s="53">
        <f>Overview!M18</f>
        <v>2023</v>
      </c>
      <c r="F13" s="85" t="s">
        <v>478</v>
      </c>
    </row>
    <row r="14" spans="1:6" x14ac:dyDescent="0.35">
      <c r="F14" s="85" t="s">
        <v>503</v>
      </c>
    </row>
    <row r="15" spans="1:6" x14ac:dyDescent="0.35">
      <c r="A15" t="s">
        <v>233</v>
      </c>
      <c r="B15" s="33">
        <f>'1 - Total Startup Costs'!E48</f>
        <v>7500</v>
      </c>
      <c r="C15" s="33">
        <f>B23</f>
        <v>5000</v>
      </c>
      <c r="D15" s="33">
        <f>C23</f>
        <v>15000</v>
      </c>
    </row>
    <row r="16" spans="1:6" x14ac:dyDescent="0.35">
      <c r="B16" s="33"/>
      <c r="C16" s="33"/>
      <c r="D16" s="33"/>
    </row>
    <row r="17" spans="1:4" x14ac:dyDescent="0.35">
      <c r="A17" t="s">
        <v>234</v>
      </c>
      <c r="B17" s="33">
        <f>'3 - Sales Estimate'!N122*C11</f>
        <v>-201066</v>
      </c>
      <c r="C17" s="33">
        <f>'4 - Income Statement'!N75*C11</f>
        <v>-734543.97003137029</v>
      </c>
      <c r="D17" s="33">
        <f>'4 - Income Statement'!N108*C11</f>
        <v>-980120.30060803331</v>
      </c>
    </row>
    <row r="18" spans="1:4" x14ac:dyDescent="0.35">
      <c r="B18" s="33"/>
      <c r="C18" s="33"/>
      <c r="D18" s="33"/>
    </row>
    <row r="19" spans="1:4" x14ac:dyDescent="0.35">
      <c r="A19" t="s">
        <v>384</v>
      </c>
      <c r="B19" s="33">
        <f>SUM(B15:B17)</f>
        <v>-193566</v>
      </c>
      <c r="C19" s="33">
        <f t="shared" ref="C19:D19" si="0">SUM(C15:C17)</f>
        <v>-729543.97003137029</v>
      </c>
      <c r="D19" s="33">
        <f t="shared" si="0"/>
        <v>-965120.30060803331</v>
      </c>
    </row>
    <row r="20" spans="1:4" x14ac:dyDescent="0.35">
      <c r="B20" s="33"/>
      <c r="C20" s="33"/>
      <c r="D20" s="33"/>
    </row>
    <row r="21" spans="1:4" x14ac:dyDescent="0.35">
      <c r="A21" t="s">
        <v>283</v>
      </c>
      <c r="B21" s="33">
        <f>(B19*$C$11)+D7</f>
        <v>198566</v>
      </c>
      <c r="C21" s="33">
        <f>(C19*$C$11)+D8</f>
        <v>744543.97003137029</v>
      </c>
      <c r="D21" s="33">
        <f>(D19*$C$11)+D9</f>
        <v>990120.30060803331</v>
      </c>
    </row>
    <row r="22" spans="1:4" x14ac:dyDescent="0.35">
      <c r="B22" s="33"/>
      <c r="C22" s="33"/>
      <c r="D22" s="33"/>
    </row>
    <row r="23" spans="1:4" x14ac:dyDescent="0.35">
      <c r="A23" t="s">
        <v>282</v>
      </c>
      <c r="B23" s="33">
        <f>D7</f>
        <v>5000</v>
      </c>
      <c r="C23" s="33">
        <f>D8</f>
        <v>15000</v>
      </c>
      <c r="D23" s="33">
        <f>D9</f>
        <v>25000</v>
      </c>
    </row>
    <row r="24" spans="1:4" x14ac:dyDescent="0.35">
      <c r="B24" s="33"/>
    </row>
    <row r="25" spans="1:4" x14ac:dyDescent="0.35">
      <c r="A25" t="s">
        <v>284</v>
      </c>
      <c r="B25" s="33">
        <f>B15+B21+B17</f>
        <v>5000</v>
      </c>
      <c r="C25" s="33">
        <f t="shared" ref="C25:D25" si="1">C15+C21+C17</f>
        <v>15000</v>
      </c>
      <c r="D25" s="33">
        <f t="shared" si="1"/>
        <v>25000</v>
      </c>
    </row>
    <row r="26" spans="1:4" x14ac:dyDescent="0.35">
      <c r="B26" s="33"/>
    </row>
    <row r="27" spans="1:4" x14ac:dyDescent="0.35">
      <c r="B27" s="33"/>
    </row>
    <row r="28" spans="1:4" x14ac:dyDescent="0.35">
      <c r="B28" s="33"/>
    </row>
    <row r="29" spans="1:4" x14ac:dyDescent="0.35">
      <c r="B29" s="33"/>
    </row>
    <row r="30" spans="1:4" x14ac:dyDescent="0.35">
      <c r="B30" s="33"/>
    </row>
    <row r="31" spans="1:4" x14ac:dyDescent="0.35">
      <c r="B31" s="33"/>
    </row>
  </sheetData>
  <hyperlinks>
    <hyperlink ref="F2" location="'1 - Total Startup Costs'!A1" display="Tab 1 - Estimate Your Total Startup Costs" xr:uid="{605A3C05-1F48-4507-95B8-51D364034408}"/>
    <hyperlink ref="F3" location="'2 - Staffing Labor'!A1" display="Tab 2 - Estimate Your Startup Labor Costs" xr:uid="{076B6080-BC25-4158-9B80-D165CF3BB38B}"/>
    <hyperlink ref="F4" location="'3 - Sales Estimate'!A1" display="Tab 3 - Estimate Your Sales for Year 1" xr:uid="{CC4F5A2A-1597-4ECA-ABB2-A9181900C52D}"/>
    <hyperlink ref="F5" location="'4 - Income Statement'!A1" display="Tab 4 - Compile 3 Years of Income Statements" xr:uid="{C0E6FBC0-0C38-443A-A9AC-1F4D972CA5CB}"/>
    <hyperlink ref="F6" location="'5 - Financing Needed'!A1" display="Tab 5 - Finalize Your Startup Costs and Funding" xr:uid="{70319B8D-4187-48F2-9429-F29860046832}"/>
    <hyperlink ref="F7" location="'6 - Loan Schedule'!A1" display="Tab 6 - Loan Amortization Schedule" xr:uid="{00E7D8F0-DD2E-4CD2-BC68-E49A3CA78315}"/>
    <hyperlink ref="F8" location="'7 - Post Transactions'!A1" display="Tab 7 - Post All Financial Transactions" xr:uid="{39B8F8AE-4684-48B8-AD50-02F33C83594C}"/>
    <hyperlink ref="F9" location="'8 - Inventory'!A1" display="Tab 8 - Reconcile Inventory Activity" xr:uid="{3714F34C-7687-47CF-AF3F-3463B4E918C8}"/>
    <hyperlink ref="F10" location="'9 - Cash Flow Stmts'!A1" display="Tab 9 - Compile Cash Flow Statements" xr:uid="{E43AF91D-3640-4675-97ED-FE44311577A4}"/>
    <hyperlink ref="F11" location="'10 - Balance Sheets'!A1" display="Tab 10 - Compile Balance Sheets" xr:uid="{B45C6D43-9D3A-4195-9EE2-31CB67F4EB57}"/>
    <hyperlink ref="F12" location="'11 - Income Stmt Summaries'!A1" display="Tab 11 - Compile Summarize Income Statements" xr:uid="{F099E09A-9390-4B14-854B-B72334B4C0FA}"/>
    <hyperlink ref="F13" location="Key_Ratios" display="Key Ratios" xr:uid="{C67358A3-CEC8-4582-A4E7-DA1A15CECF09}"/>
    <hyperlink ref="F14" location="Breakeven" display="Breakeven" xr:uid="{A027D2F6-F09A-4FD3-BD2B-574613174B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Overview</vt:lpstr>
      <vt:lpstr>1 - Total Startup Costs</vt:lpstr>
      <vt:lpstr>2 - Staffing Labor</vt:lpstr>
      <vt:lpstr>3 - Sales Estimate</vt:lpstr>
      <vt:lpstr>4 - Income Statement</vt:lpstr>
      <vt:lpstr>5 - Financing Needed</vt:lpstr>
      <vt:lpstr>6 - Loan Schedule</vt:lpstr>
      <vt:lpstr>7 - Post Transactions</vt:lpstr>
      <vt:lpstr>8 - Inventory</vt:lpstr>
      <vt:lpstr>9 - Cash Flow Stmts</vt:lpstr>
      <vt:lpstr>10 - Balance Sheets</vt:lpstr>
      <vt:lpstr>11 - Income Stmt Summaries</vt:lpstr>
      <vt:lpstr>Balance_Sheet</vt:lpstr>
      <vt:lpstr>Breakeven</vt:lpstr>
      <vt:lpstr>Cash_Flow_Statement</vt:lpstr>
      <vt:lpstr>Cash_Flow_Statement_Summarized</vt:lpstr>
      <vt:lpstr>Detail_Income_Statement_Year_1</vt:lpstr>
      <vt:lpstr>Detail_Income_Statement_Year_2</vt:lpstr>
      <vt:lpstr>Detail_Income_Statement_Year_3</vt:lpstr>
      <vt:lpstr>Including_Accounts_Payable_in_the_Balance_Sheet</vt:lpstr>
      <vt:lpstr>Including_Accounts_Receivable_in_the_Balance_Sheet</vt:lpstr>
      <vt:lpstr>Key_Ratios</vt:lpstr>
      <vt:lpstr>Out_Year_Assumptions</vt:lpstr>
      <vt:lpstr>Summarized_Income_Statements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Plan Model - Simple</dc:title>
  <dc:subject>Projected Financial Statements</dc:subject>
  <dc:creator>Matt Evans</dc:creator>
  <dc:description>The basic steps of building a financial plan - Matt Evans, DC SCORE Mentor</dc:description>
  <cp:lastModifiedBy>mevanscpa</cp:lastModifiedBy>
  <cp:lastPrinted>2025-11-28T15:40:39Z</cp:lastPrinted>
  <dcterms:created xsi:type="dcterms:W3CDTF">2020-06-29T12:00:20Z</dcterms:created>
  <dcterms:modified xsi:type="dcterms:W3CDTF">2025-12-01T20:09:30Z</dcterms:modified>
</cp:coreProperties>
</file>