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ith.bradt\Desktop\"/>
    </mc:Choice>
  </mc:AlternateContent>
  <xr:revisionPtr revIDLastSave="0" documentId="13_ncr:1_{9C5ED6F3-AC6E-4D9F-A2F3-D93D6EBDEA46}" xr6:coauthVersionLast="47" xr6:coauthVersionMax="47" xr10:uidLastSave="{00000000-0000-0000-0000-000000000000}"/>
  <bookViews>
    <workbookView xWindow="-28920" yWindow="-120" windowWidth="29040" windowHeight="15840" tabRatio="874" xr2:uid="{00000000-000D-0000-FFFF-FFFF00000000}"/>
  </bookViews>
  <sheets>
    <sheet name="Dashboard" sheetId="45" r:id="rId1"/>
    <sheet name="Pipeline Activity" sheetId="29" r:id="rId2"/>
    <sheet name="Pipeline Calculations" sheetId="43" r:id="rId3"/>
    <sheet name="List" sheetId="41" r:id="rId4"/>
    <sheet name="Instructions" sheetId="47" r:id="rId5"/>
  </sheets>
  <definedNames>
    <definedName name="_xlnm._FilterDatabase" localSheetId="1" hidden="1">'Pipeline Activity'!$A$1:$N$5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43" l="1"/>
  <c r="O15" i="43"/>
  <c r="O14" i="43"/>
  <c r="N6" i="43"/>
  <c r="N5" i="43"/>
  <c r="N4" i="43"/>
  <c r="O4" i="43" s="1"/>
  <c r="N16" i="43"/>
  <c r="N15" i="43"/>
  <c r="N14" i="43"/>
  <c r="N9" i="43"/>
  <c r="N10" i="43" s="1"/>
  <c r="O9" i="43"/>
  <c r="O10" i="43" s="1"/>
  <c r="O6" i="43" l="1"/>
  <c r="O5" i="43"/>
  <c r="O11" i="43"/>
  <c r="N11" i="43"/>
  <c r="I8" i="43" l="1" a="1"/>
  <c r="I8" i="43" s="1"/>
  <c r="I7" i="43" a="1"/>
  <c r="I7" i="43" s="1"/>
  <c r="I6" i="43" a="1"/>
  <c r="I6" i="43" s="1"/>
  <c r="I5" i="43" a="1"/>
  <c r="I5" i="43" s="1"/>
  <c r="I4" i="43" a="1"/>
  <c r="I4" i="43" s="1"/>
  <c r="H8" i="43" a="1"/>
  <c r="H8" i="43" s="1"/>
  <c r="H7" i="43" a="1"/>
  <c r="H7" i="43" s="1"/>
  <c r="H6" i="43" a="1"/>
  <c r="H6" i="43" s="1"/>
  <c r="H5" i="43" a="1"/>
  <c r="H5" i="43" s="1"/>
  <c r="H4" i="43" a="1"/>
  <c r="H4" i="43" s="1"/>
  <c r="G8" i="43" a="1"/>
  <c r="G8" i="43" s="1"/>
  <c r="G7" i="43" a="1"/>
  <c r="G7" i="43" s="1"/>
  <c r="G6" i="43" a="1"/>
  <c r="G6" i="43" s="1"/>
  <c r="G5" i="43" a="1"/>
  <c r="G5" i="43" s="1"/>
  <c r="G4" i="43" a="1"/>
  <c r="G4" i="43" s="1"/>
  <c r="F8" i="43" a="1"/>
  <c r="F8" i="43" s="1"/>
  <c r="F7" i="43" a="1"/>
  <c r="F7" i="43" s="1"/>
  <c r="F6" i="43" a="1"/>
  <c r="F6" i="43" s="1"/>
  <c r="F5" i="43" a="1"/>
  <c r="F5" i="43" s="1"/>
  <c r="F4" i="43" a="1"/>
  <c r="F4" i="43" s="1"/>
  <c r="E8" i="43" a="1"/>
  <c r="E8" i="43" s="1"/>
  <c r="E7" i="43" a="1"/>
  <c r="E7" i="43" s="1"/>
  <c r="E6" i="43" a="1"/>
  <c r="E6" i="43" s="1"/>
  <c r="E5" i="43" a="1"/>
  <c r="E5" i="43" s="1"/>
  <c r="E4" i="43" a="1"/>
  <c r="E4" i="43" s="1"/>
  <c r="D8" i="43" a="1"/>
  <c r="D8" i="43" s="1"/>
  <c r="D7" i="43" a="1"/>
  <c r="D7" i="43" s="1"/>
  <c r="D6" i="43" a="1"/>
  <c r="D6" i="43" s="1"/>
  <c r="D5" i="43" a="1"/>
  <c r="D5" i="43" s="1"/>
  <c r="D4" i="43" a="1"/>
  <c r="D4" i="43" s="1"/>
  <c r="C7" i="43" a="1"/>
  <c r="C7" i="43" s="1"/>
  <c r="C6" i="43" a="1"/>
  <c r="C6" i="43" s="1"/>
  <c r="C8" i="43" a="1"/>
  <c r="C8" i="43" s="1"/>
  <c r="C5" i="43" a="1"/>
  <c r="C5" i="43" s="1"/>
  <c r="C4" i="43" a="1"/>
  <c r="C4" i="43" s="1"/>
  <c r="J6" i="43" l="1"/>
  <c r="J5" i="43"/>
  <c r="J4" i="43"/>
  <c r="J7" i="43"/>
  <c r="J8" i="43"/>
  <c r="E20" i="43" a="1"/>
  <c r="E20" i="43" s="1"/>
  <c r="E19" i="43" a="1"/>
  <c r="E19" i="43" s="1"/>
  <c r="E18" i="43" a="1"/>
  <c r="E18" i="43" s="1"/>
  <c r="E17" i="43" a="1"/>
  <c r="E17" i="43" s="1"/>
  <c r="E16" i="43" a="1"/>
  <c r="E16" i="43" s="1"/>
  <c r="E15" i="43" a="1"/>
  <c r="E15" i="43" s="1"/>
  <c r="E14" i="43" a="1"/>
  <c r="E14" i="43" s="1"/>
  <c r="E13" i="43" a="1"/>
  <c r="E13" i="43" s="1"/>
  <c r="E12" i="43" a="1"/>
  <c r="E12" i="43" s="1"/>
  <c r="D20" i="43" a="1"/>
  <c r="D20" i="43" s="1"/>
  <c r="D19" i="43" a="1"/>
  <c r="D19" i="43" s="1"/>
  <c r="D18" i="43" a="1"/>
  <c r="D18" i="43" s="1"/>
  <c r="D17" i="43" a="1"/>
  <c r="D17" i="43" s="1"/>
  <c r="D16" i="43" a="1"/>
  <c r="D16" i="43" s="1"/>
  <c r="D15" i="43" a="1"/>
  <c r="D15" i="43" s="1"/>
  <c r="D14" i="43" a="1"/>
  <c r="D14" i="43" s="1"/>
  <c r="D13" i="43" a="1"/>
  <c r="D13" i="43" s="1"/>
  <c r="D12" i="43" a="1"/>
  <c r="D12" i="43" s="1"/>
  <c r="C32" i="43"/>
  <c r="C31" i="43"/>
  <c r="C30" i="43"/>
  <c r="C27" i="43"/>
  <c r="C26" i="43"/>
  <c r="C25" i="43"/>
  <c r="C24" i="43"/>
  <c r="C20" i="43"/>
  <c r="C19" i="43"/>
  <c r="C18" i="43"/>
  <c r="C17" i="43"/>
  <c r="C16" i="43"/>
  <c r="C15" i="43"/>
  <c r="C14" i="43"/>
  <c r="C13" i="43"/>
  <c r="C12" i="43"/>
  <c r="J9" i="43" l="1"/>
  <c r="K7" i="43" s="1"/>
  <c r="D21" i="43"/>
  <c r="E21" i="43"/>
  <c r="C28" i="43"/>
  <c r="D25" i="43" s="1"/>
  <c r="C33" i="43"/>
  <c r="D30" i="43" s="1"/>
  <c r="C21" i="43"/>
  <c r="K4" i="43" l="1"/>
  <c r="K6" i="43"/>
  <c r="K5" i="43"/>
  <c r="K8" i="43"/>
  <c r="D24" i="43"/>
  <c r="D27" i="43"/>
  <c r="D26" i="43"/>
  <c r="D32" i="43"/>
  <c r="D31" i="4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<sst xmlns="http://schemas.openxmlformats.org/spreadsheetml/2006/main" count="158" uniqueCount="84">
  <si>
    <t>Part No.</t>
  </si>
  <si>
    <t>Deal Stage</t>
  </si>
  <si>
    <t>Sales Comments</t>
  </si>
  <si>
    <t>Probability</t>
  </si>
  <si>
    <t>Deal Name</t>
  </si>
  <si>
    <t>Deal Description</t>
  </si>
  <si>
    <t>Associated Company</t>
  </si>
  <si>
    <t>Total</t>
  </si>
  <si>
    <t>Next step</t>
  </si>
  <si>
    <t>Sales Reps</t>
  </si>
  <si>
    <t>Sales Rep 1</t>
  </si>
  <si>
    <t>Molding Part</t>
  </si>
  <si>
    <t>Sales Rep 2</t>
  </si>
  <si>
    <t>Tooling Only</t>
  </si>
  <si>
    <t>Transfer Tool</t>
  </si>
  <si>
    <t>Active Engagement</t>
  </si>
  <si>
    <t>Discovery</t>
  </si>
  <si>
    <t>Deal Identified</t>
  </si>
  <si>
    <t>Proposal Development</t>
  </si>
  <si>
    <t>Proposal Submitted</t>
  </si>
  <si>
    <t>Sales Follow-Up</t>
  </si>
  <si>
    <t>Won</t>
  </si>
  <si>
    <t>Lost</t>
  </si>
  <si>
    <t>Pre-Production Award</t>
  </si>
  <si>
    <t>Sales Rep</t>
  </si>
  <si>
    <t>Insert Above Row</t>
  </si>
  <si>
    <t>Job Type</t>
  </si>
  <si>
    <t>Deals by Stage</t>
  </si>
  <si>
    <t>% of Total Deals</t>
  </si>
  <si>
    <t>Project by Probability</t>
  </si>
  <si>
    <t>Deal Count</t>
  </si>
  <si>
    <t>Deal Value</t>
  </si>
  <si>
    <t xml:space="preserve">Revenue Range </t>
  </si>
  <si>
    <t>Deal by Job Type</t>
  </si>
  <si>
    <t>Project Count by Sales Rep</t>
  </si>
  <si>
    <t>www.kallansalesdev.com</t>
  </si>
  <si>
    <t>Instructions:</t>
  </si>
  <si>
    <t>Populate required data as defined by each column</t>
  </si>
  <si>
    <r>
      <t xml:space="preserve">Insert new row by selecting </t>
    </r>
    <r>
      <rPr>
        <b/>
        <sz val="11"/>
        <color theme="0"/>
        <rFont val="Calibri"/>
        <family val="2"/>
        <scheme val="minor"/>
      </rPr>
      <t>Insert Above Row</t>
    </r>
    <r>
      <rPr>
        <sz val="11"/>
        <color theme="0"/>
        <rFont val="Calibri"/>
        <family val="2"/>
        <scheme val="minor"/>
      </rPr>
      <t xml:space="preserve">, right click and select </t>
    </r>
    <r>
      <rPr>
        <b/>
        <sz val="11"/>
        <color theme="0"/>
        <rFont val="Calibri"/>
        <family val="2"/>
        <scheme val="minor"/>
      </rPr>
      <t>Insert</t>
    </r>
  </si>
  <si>
    <t>- Note you have to select the entire row by clicking the row number on the left hand side</t>
  </si>
  <si>
    <t>Once  inserted enter the data accordingly as noted above</t>
  </si>
  <si>
    <t>Support:</t>
  </si>
  <si>
    <t>For questions or support on this template contact us today</t>
  </si>
  <si>
    <t>https://kallansalesdev.com/contact-us</t>
  </si>
  <si>
    <t>Looking for something different?</t>
  </si>
  <si>
    <t>This is intended to be used as a basic, or starter template. Contact Kallan today to learn how we can format or create a custom solution to fit your needs.</t>
  </si>
  <si>
    <t>50 Percent</t>
  </si>
  <si>
    <t>75 Percent</t>
  </si>
  <si>
    <t>90 Percent</t>
  </si>
  <si>
    <t>25 Percent</t>
  </si>
  <si>
    <t>Pipeline Activity - Using the provided cells</t>
  </si>
  <si>
    <r>
      <t xml:space="preserve">Select drop down to set the appropriate </t>
    </r>
    <r>
      <rPr>
        <b/>
        <sz val="11"/>
        <color theme="1"/>
        <rFont val="Calibri"/>
        <family val="2"/>
        <scheme val="minor"/>
      </rPr>
      <t>Job Type, Deal Value, Probablility, Deal Stage, Sales Rep</t>
    </r>
  </si>
  <si>
    <t>Changing the drop down values</t>
  </si>
  <si>
    <r>
      <t>Drop down values can be modified on the</t>
    </r>
    <r>
      <rPr>
        <b/>
        <sz val="11"/>
        <rFont val="Calibri"/>
        <family val="2"/>
        <scheme val="minor"/>
      </rPr>
      <t xml:space="preserve"> List </t>
    </r>
    <r>
      <rPr>
        <sz val="11"/>
        <rFont val="Calibri"/>
        <family val="2"/>
        <scheme val="minor"/>
      </rPr>
      <t>tab</t>
    </r>
  </si>
  <si>
    <t>Once you modify the exisiting values, the drop down selections will change.</t>
  </si>
  <si>
    <t xml:space="preserve"> - Note this will not update the existing selections shown in the tables, the values will need to be reselected where required</t>
  </si>
  <si>
    <r>
      <t xml:space="preserve">If additional values are required, the drop downs will need to be reformatted using the </t>
    </r>
    <r>
      <rPr>
        <b/>
        <sz val="11"/>
        <rFont val="Calibri"/>
        <family val="2"/>
        <scheme val="minor"/>
      </rPr>
      <t>Data Validation</t>
    </r>
    <r>
      <rPr>
        <sz val="11"/>
        <rFont val="Calibri"/>
        <family val="2"/>
        <scheme val="minor"/>
      </rPr>
      <t xml:space="preserve"> tool under the </t>
    </r>
    <r>
      <rPr>
        <b/>
        <sz val="11"/>
        <rFont val="Calibri"/>
        <family val="2"/>
        <scheme val="minor"/>
      </rPr>
      <t>Data</t>
    </r>
    <r>
      <rPr>
        <sz val="11"/>
        <rFont val="Calibri"/>
        <family val="2"/>
        <scheme val="minor"/>
      </rPr>
      <t xml:space="preserve"> function</t>
    </r>
  </si>
  <si>
    <t>$51k - $100k</t>
  </si>
  <si>
    <t>$101k - $250k</t>
  </si>
  <si>
    <t>$251k - $500k</t>
  </si>
  <si>
    <t>$501k+</t>
  </si>
  <si>
    <t>$1k - $50k</t>
  </si>
  <si>
    <t>$0k</t>
  </si>
  <si>
    <t>Pre-Produciton Award</t>
  </si>
  <si>
    <t>Totals</t>
  </si>
  <si>
    <t>Deal Count by Stage for Revenue Range - In Process Deals Only</t>
  </si>
  <si>
    <t>Deal Created Date</t>
  </si>
  <si>
    <t>Last 30 Days</t>
  </si>
  <si>
    <t>Last 60 Days</t>
  </si>
  <si>
    <t>Last 90 Days</t>
  </si>
  <si>
    <t>New Deals Created</t>
  </si>
  <si>
    <t>Pipeline Activity Dashboard</t>
  </si>
  <si>
    <t>Close Date (Estimted)</t>
  </si>
  <si>
    <t>Close Date (Actual)</t>
  </si>
  <si>
    <t>Deal Closure Rate</t>
  </si>
  <si>
    <t>Estimated</t>
  </si>
  <si>
    <t>Actual</t>
  </si>
  <si>
    <t>Next 60 Days</t>
  </si>
  <si>
    <t>Next 30 Days</t>
  </si>
  <si>
    <t>Next 90 Days</t>
  </si>
  <si>
    <t>Rolling Total</t>
  </si>
  <si>
    <t xml:space="preserve">Actual </t>
  </si>
  <si>
    <t>Incremental</t>
  </si>
  <si>
    <t>Deals Closing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</si>
</sst>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15" fillId="0" borderId="0"/>
  </cellStyleXfs>
  <cellXfs count="91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left" vertical="top"/>
    </xf>
    <xf numFmtId="0" fontId="4" fillId="3" borderId="0" xfId="0" applyFont="1" applyFill="1"/>
    <xf numFmtId="0" fontId="3" fillId="0" borderId="0" xfId="0" applyFont="1"/>
    <xf numFmtId="0" fontId="5" fillId="0" borderId="0" xfId="2" applyFont="1"/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wrapText="1"/>
    </xf>
    <xf numFmtId="9" fontId="3" fillId="0" borderId="0" xfId="1" applyFont="1" applyAlignment="1">
      <alignment horizontal="left"/>
    </xf>
    <xf numFmtId="0" fontId="2" fillId="0" borderId="0" xfId="0" applyFont="1" applyAlignment="1">
      <alignment horizontal="left" wrapText="1"/>
    </xf>
    <xf numFmtId="49" fontId="9" fillId="0" borderId="0" xfId="0" applyNumberFormat="1" applyFont="1" applyFill="1" applyAlignment="1">
      <alignment vertical="center"/>
    </xf>
    <xf numFmtId="0" fontId="1" fillId="0" borderId="0" xfId="0" applyFont="1"/>
    <xf numFmtId="0" fontId="12" fillId="0" borderId="0" xfId="3" applyFill="1" applyAlignment="1">
      <alignment horizontal="right" vertical="center"/>
    </xf>
    <xf numFmtId="0" fontId="1" fillId="0" borderId="0" xfId="4" applyFont="1"/>
    <xf numFmtId="0" fontId="13" fillId="0" borderId="0" xfId="4" applyFont="1" applyAlignment="1">
      <alignment vertical="top"/>
    </xf>
    <xf numFmtId="0" fontId="1" fillId="0" borderId="0" xfId="4" applyFont="1" applyAlignment="1">
      <alignment horizontal="left" vertical="top"/>
    </xf>
    <xf numFmtId="0" fontId="6" fillId="2" borderId="0" xfId="4" applyFont="1" applyFill="1" applyAlignment="1">
      <alignment horizontal="left" vertical="top"/>
    </xf>
    <xf numFmtId="0" fontId="14" fillId="0" borderId="0" xfId="4" quotePrefix="1" applyFont="1" applyAlignment="1">
      <alignment horizontal="left" vertical="top"/>
    </xf>
    <xf numFmtId="0" fontId="1" fillId="0" borderId="0" xfId="4" quotePrefix="1" applyFont="1" applyAlignment="1">
      <alignment horizontal="left" vertical="top"/>
    </xf>
    <xf numFmtId="0" fontId="13" fillId="0" borderId="0" xfId="4" applyFont="1"/>
    <xf numFmtId="0" fontId="12" fillId="0" borderId="0" xfId="3"/>
    <xf numFmtId="0" fontId="6" fillId="3" borderId="0" xfId="4" applyFont="1" applyFill="1"/>
    <xf numFmtId="0" fontId="1" fillId="0" borderId="0" xfId="4" applyFont="1" applyAlignment="1">
      <alignment wrapText="1"/>
    </xf>
    <xf numFmtId="0" fontId="5" fillId="0" borderId="0" xfId="4" applyFont="1" applyFill="1" applyAlignment="1">
      <alignment horizontal="left" vertical="top"/>
    </xf>
    <xf numFmtId="0" fontId="5" fillId="0" borderId="0" xfId="4" applyFont="1"/>
    <xf numFmtId="0" fontId="6" fillId="2" borderId="0" xfId="4" applyFont="1" applyFill="1" applyAlignment="1">
      <alignment vertical="top"/>
    </xf>
    <xf numFmtId="0" fontId="0" fillId="0" borderId="0" xfId="0" applyNumberFormat="1" applyAlignment="1">
      <alignment horizontal="left" vertical="top"/>
    </xf>
    <xf numFmtId="6" fontId="1" fillId="0" borderId="0" xfId="0" quotePrefix="1" applyNumberFormat="1" applyFont="1" applyAlignment="1">
      <alignment horizontal="left"/>
    </xf>
    <xf numFmtId="0" fontId="16" fillId="5" borderId="0" xfId="0" applyFont="1" applyFill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left" vertical="top" wrapText="1"/>
    </xf>
    <xf numFmtId="0" fontId="17" fillId="3" borderId="5" xfId="0" applyFont="1" applyFill="1" applyBorder="1"/>
    <xf numFmtId="0" fontId="17" fillId="3" borderId="1" xfId="0" applyFont="1" applyFill="1" applyBorder="1" applyAlignment="1">
      <alignment horizontal="center"/>
    </xf>
    <xf numFmtId="1" fontId="18" fillId="6" borderId="2" xfId="0" applyNumberFormat="1" applyFont="1" applyFill="1" applyBorder="1" applyAlignment="1">
      <alignment horizontal="center"/>
    </xf>
    <xf numFmtId="1" fontId="18" fillId="6" borderId="3" xfId="0" applyNumberFormat="1" applyFont="1" applyFill="1" applyBorder="1" applyAlignment="1">
      <alignment horizontal="center"/>
    </xf>
    <xf numFmtId="1" fontId="18" fillId="6" borderId="4" xfId="0" applyNumberFormat="1" applyFont="1" applyFill="1" applyBorder="1" applyAlignment="1">
      <alignment horizontal="center"/>
    </xf>
    <xf numFmtId="0" fontId="19" fillId="0" borderId="0" xfId="0" applyFont="1"/>
    <xf numFmtId="0" fontId="20" fillId="5" borderId="12" xfId="0" applyFont="1" applyFill="1" applyBorder="1" applyAlignment="1">
      <alignment horizontal="center"/>
    </xf>
    <xf numFmtId="0" fontId="20" fillId="5" borderId="14" xfId="0" applyFont="1" applyFill="1" applyBorder="1" applyAlignment="1">
      <alignment horizontal="center"/>
    </xf>
    <xf numFmtId="0" fontId="20" fillId="5" borderId="13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5" fillId="0" borderId="5" xfId="0" applyFont="1" applyBorder="1"/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/>
    </xf>
    <xf numFmtId="9" fontId="19" fillId="2" borderId="2" xfId="0" applyNumberFormat="1" applyFont="1" applyFill="1" applyBorder="1" applyAlignment="1">
      <alignment horizontal="center"/>
    </xf>
    <xf numFmtId="0" fontId="15" fillId="0" borderId="7" xfId="0" applyFont="1" applyBorder="1"/>
    <xf numFmtId="0" fontId="19" fillId="2" borderId="3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1" fontId="19" fillId="2" borderId="0" xfId="0" applyNumberFormat="1" applyFont="1" applyFill="1" applyBorder="1" applyAlignment="1">
      <alignment horizontal="center"/>
    </xf>
    <xf numFmtId="9" fontId="19" fillId="2" borderId="3" xfId="0" applyNumberFormat="1" applyFont="1" applyFill="1" applyBorder="1" applyAlignment="1">
      <alignment horizontal="center"/>
    </xf>
    <xf numFmtId="0" fontId="15" fillId="0" borderId="8" xfId="0" applyFont="1" applyBorder="1"/>
    <xf numFmtId="0" fontId="19" fillId="2" borderId="4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1" fontId="19" fillId="2" borderId="10" xfId="0" applyNumberFormat="1" applyFont="1" applyFill="1" applyBorder="1" applyAlignment="1">
      <alignment horizontal="center"/>
    </xf>
    <xf numFmtId="9" fontId="19" fillId="2" borderId="4" xfId="0" applyNumberFormat="1" applyFont="1" applyFill="1" applyBorder="1" applyAlignment="1">
      <alignment horizontal="center"/>
    </xf>
    <xf numFmtId="1" fontId="19" fillId="2" borderId="0" xfId="0" applyNumberFormat="1" applyFont="1" applyFill="1" applyAlignment="1">
      <alignment horizontal="center"/>
    </xf>
    <xf numFmtId="1" fontId="19" fillId="2" borderId="6" xfId="0" applyNumberFormat="1" applyFont="1" applyFill="1" applyBorder="1" applyAlignment="1">
      <alignment horizontal="center"/>
    </xf>
    <xf numFmtId="1" fontId="19" fillId="2" borderId="2" xfId="0" applyNumberFormat="1" applyFont="1" applyFill="1" applyBorder="1" applyAlignment="1">
      <alignment horizontal="center"/>
    </xf>
    <xf numFmtId="1" fontId="19" fillId="2" borderId="9" xfId="0" applyNumberFormat="1" applyFont="1" applyFill="1" applyBorder="1" applyAlignment="1">
      <alignment horizontal="center"/>
    </xf>
    <xf numFmtId="1" fontId="19" fillId="2" borderId="3" xfId="0" applyNumberFormat="1" applyFont="1" applyFill="1" applyBorder="1" applyAlignment="1">
      <alignment horizontal="center"/>
    </xf>
    <xf numFmtId="1" fontId="19" fillId="2" borderId="11" xfId="0" applyNumberFormat="1" applyFont="1" applyFill="1" applyBorder="1" applyAlignment="1">
      <alignment horizontal="center"/>
    </xf>
    <xf numFmtId="1" fontId="19" fillId="2" borderId="4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19" fillId="2" borderId="0" xfId="0" applyFont="1" applyFill="1" applyBorder="1" applyAlignment="1">
      <alignment horizontal="center"/>
    </xf>
    <xf numFmtId="9" fontId="15" fillId="0" borderId="5" xfId="1" applyNumberFormat="1" applyFont="1" applyBorder="1" applyAlignment="1">
      <alignment horizontal="left"/>
    </xf>
    <xf numFmtId="0" fontId="19" fillId="2" borderId="2" xfId="0" applyFont="1" applyFill="1" applyBorder="1" applyAlignment="1">
      <alignment horizontal="center"/>
    </xf>
    <xf numFmtId="9" fontId="19" fillId="2" borderId="6" xfId="0" applyNumberFormat="1" applyFont="1" applyFill="1" applyBorder="1" applyAlignment="1">
      <alignment horizontal="center"/>
    </xf>
    <xf numFmtId="9" fontId="15" fillId="0" borderId="7" xfId="1" applyNumberFormat="1" applyFont="1" applyBorder="1" applyAlignment="1">
      <alignment horizontal="left"/>
    </xf>
    <xf numFmtId="0" fontId="19" fillId="2" borderId="3" xfId="0" applyFont="1" applyFill="1" applyBorder="1" applyAlignment="1">
      <alignment horizontal="center"/>
    </xf>
    <xf numFmtId="9" fontId="19" fillId="2" borderId="9" xfId="0" applyNumberFormat="1" applyFont="1" applyFill="1" applyBorder="1" applyAlignment="1">
      <alignment horizontal="center"/>
    </xf>
    <xf numFmtId="9" fontId="15" fillId="0" borderId="8" xfId="1" applyNumberFormat="1" applyFont="1" applyBorder="1" applyAlignment="1">
      <alignment horizontal="left"/>
    </xf>
    <xf numFmtId="0" fontId="19" fillId="2" borderId="4" xfId="0" applyFont="1" applyFill="1" applyBorder="1" applyAlignment="1">
      <alignment horizontal="center"/>
    </xf>
    <xf numFmtId="9" fontId="19" fillId="2" borderId="11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/>
    <xf numFmtId="0" fontId="18" fillId="0" borderId="5" xfId="2" applyFont="1" applyBorder="1"/>
    <xf numFmtId="0" fontId="18" fillId="0" borderId="7" xfId="2" applyFont="1" applyBorder="1"/>
    <xf numFmtId="0" fontId="18" fillId="0" borderId="8" xfId="2" applyFont="1" applyBorder="1"/>
    <xf numFmtId="9" fontId="19" fillId="0" borderId="0" xfId="0" applyNumberFormat="1" applyFont="1"/>
    <xf numFmtId="0" fontId="18" fillId="0" borderId="5" xfId="0" applyFont="1" applyBorder="1"/>
    <xf numFmtId="1" fontId="18" fillId="6" borderId="6" xfId="0" applyNumberFormat="1" applyFont="1" applyFill="1" applyBorder="1" applyAlignment="1">
      <alignment horizontal="center"/>
    </xf>
    <xf numFmtId="0" fontId="18" fillId="0" borderId="7" xfId="0" applyFont="1" applyBorder="1"/>
    <xf numFmtId="1" fontId="18" fillId="6" borderId="9" xfId="0" applyNumberFormat="1" applyFont="1" applyFill="1" applyBorder="1" applyAlignment="1">
      <alignment horizontal="center"/>
    </xf>
    <xf numFmtId="0" fontId="18" fillId="0" borderId="8" xfId="0" applyFont="1" applyBorder="1"/>
    <xf numFmtId="1" fontId="18" fillId="6" borderId="11" xfId="0" applyNumberFormat="1" applyFont="1" applyFill="1" applyBorder="1" applyAlignment="1">
      <alignment horizontal="center"/>
    </xf>
    <xf numFmtId="0" fontId="18" fillId="0" borderId="5" xfId="0" applyFont="1" applyFill="1" applyBorder="1"/>
    <xf numFmtId="0" fontId="18" fillId="0" borderId="7" xfId="0" applyFont="1" applyFill="1" applyBorder="1"/>
    <xf numFmtId="0" fontId="18" fillId="0" borderId="8" xfId="0" applyFont="1" applyFill="1" applyBorder="1"/>
  </cellXfs>
  <cellStyles count="5">
    <cellStyle name="Hyperlink 2" xfId="3" xr:uid="{2E1D36FF-D66C-46C7-BFDD-B6D7394ADC24}"/>
    <cellStyle name="Normal" xfId="0" builtinId="0"/>
    <cellStyle name="Normal 2" xfId="4" xr:uid="{9440A44C-DD9E-442D-A010-6E957814F01C}"/>
    <cellStyle name="Normal 3" xfId="2" xr:uid="{1DD2B771-D85B-4817-B261-9484E2893EC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In-Process Pipeline  </a:t>
            </a:r>
          </a:p>
          <a:p>
            <a:pPr>
              <a:defRPr/>
            </a:pPr>
            <a:r>
              <a:rPr lang="en-US" sz="1000"/>
              <a:t>(Deal Count by Stage)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'Pipeline Calculations'!$B$12:$B$18</c:f>
              <c:strCache>
                <c:ptCount val="7"/>
                <c:pt idx="0">
                  <c:v>Active Engagement</c:v>
                </c:pt>
                <c:pt idx="1">
                  <c:v>Discovery</c:v>
                </c:pt>
                <c:pt idx="2">
                  <c:v>Deal Identified</c:v>
                </c:pt>
                <c:pt idx="3">
                  <c:v>Proposal Development</c:v>
                </c:pt>
                <c:pt idx="4">
                  <c:v>Proposal Submitted</c:v>
                </c:pt>
                <c:pt idx="5">
                  <c:v>Sales Follow-Up</c:v>
                </c:pt>
                <c:pt idx="6">
                  <c:v>Pre-Production Award</c:v>
                </c:pt>
              </c:strCache>
            </c:strRef>
          </c:cat>
          <c:val>
            <c:numRef>
              <c:f>'Pipeline Calculations'!$C$12:$C$18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6-4F3E-AE02-27D2A692F77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67881960"/>
        <c:axId val="767882616"/>
      </c:barChart>
      <c:catAx>
        <c:axId val="767881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7882616"/>
        <c:crosses val="autoZero"/>
        <c:auto val="1"/>
        <c:lblAlgn val="ctr"/>
        <c:lblOffset val="100"/>
        <c:noMultiLvlLbl val="0"/>
      </c:catAx>
      <c:valAx>
        <c:axId val="767882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67881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Deal</a:t>
            </a:r>
            <a:r>
              <a:rPr lang="en-US" baseline="0"/>
              <a:t> Job Type Total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2">
                    <a:lumMod val="89000"/>
                  </a:schemeClr>
                </a:gs>
                <a:gs pos="23000">
                  <a:schemeClr val="accent2">
                    <a:lumMod val="89000"/>
                  </a:schemeClr>
                </a:gs>
                <a:gs pos="69000">
                  <a:schemeClr val="accent2">
                    <a:lumMod val="75000"/>
                  </a:schemeClr>
                </a:gs>
                <a:gs pos="97000">
                  <a:schemeClr val="accent2">
                    <a:lumMod val="70000"/>
                  </a:schemeClr>
                </a:gs>
              </a:gsLst>
              <a:path path="shape">
                <a:fillToRect l="50000" t="50000" r="50000" b="50000"/>
              </a:path>
              <a:tileRect/>
            </a:gradFill>
            <a:ln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'Pipeline Calculations'!$B$30:$B$32</c:f>
              <c:strCache>
                <c:ptCount val="3"/>
                <c:pt idx="0">
                  <c:v>Molding Part</c:v>
                </c:pt>
                <c:pt idx="1">
                  <c:v>Tooling Only</c:v>
                </c:pt>
                <c:pt idx="2">
                  <c:v>Transfer Tool</c:v>
                </c:pt>
              </c:strCache>
            </c:strRef>
          </c:cat>
          <c:val>
            <c:numRef>
              <c:f>'Pipeline Calculations'!$C$30:$C$32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A-4216-9768-39DCBF792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357330216"/>
        <c:axId val="357330544"/>
      </c:barChart>
      <c:catAx>
        <c:axId val="35733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330544"/>
        <c:crosses val="autoZero"/>
        <c:auto val="1"/>
        <c:lblAlgn val="ctr"/>
        <c:lblOffset val="100"/>
        <c:noMultiLvlLbl val="0"/>
      </c:catAx>
      <c:valAx>
        <c:axId val="3573305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57330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Deals WOn vs.</a:t>
            </a:r>
            <a:r>
              <a:rPr lang="en-US" baseline="0"/>
              <a:t> Lost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'Pipeline Calculations'!$B$19</c:f>
              <c:strCache>
                <c:ptCount val="1"/>
                <c:pt idx="0">
                  <c:v>Won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('Pipeline Calculations'!$D$11,'Pipeline Calculations'!$E$11)</c:f>
              <c:strCache>
                <c:ptCount val="2"/>
                <c:pt idx="0">
                  <c:v>Sales Rep 1</c:v>
                </c:pt>
                <c:pt idx="1">
                  <c:v>Sales Rep 2</c:v>
                </c:pt>
              </c:strCache>
            </c:strRef>
          </c:cat>
          <c:val>
            <c:numRef>
              <c:f>('Pipeline Calculations'!$D$19,'Pipeline Calculations'!$E$19)</c:f>
              <c:numCache>
                <c:formatCode>0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2-4F61-A1AE-370F2C716E4C}"/>
            </c:ext>
          </c:extLst>
        </c:ser>
        <c:ser>
          <c:idx val="1"/>
          <c:order val="1"/>
          <c:tx>
            <c:strRef>
              <c:f>'Pipeline Calculations'!$B$20</c:f>
              <c:strCache>
                <c:ptCount val="1"/>
                <c:pt idx="0">
                  <c:v>Lost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('Pipeline Calculations'!$D$11,'Pipeline Calculations'!$E$11)</c:f>
              <c:strCache>
                <c:ptCount val="2"/>
                <c:pt idx="0">
                  <c:v>Sales Rep 1</c:v>
                </c:pt>
                <c:pt idx="1">
                  <c:v>Sales Rep 2</c:v>
                </c:pt>
              </c:strCache>
            </c:strRef>
          </c:cat>
          <c:val>
            <c:numRef>
              <c:f>('Pipeline Calculations'!$D$20,'Pipeline Calculations'!$E$20)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2-4F61-A1AE-370F2C716E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43591424"/>
        <c:axId val="643598312"/>
      </c:barChart>
      <c:catAx>
        <c:axId val="64359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598312"/>
        <c:crosses val="autoZero"/>
        <c:auto val="1"/>
        <c:lblAlgn val="ctr"/>
        <c:lblOffset val="100"/>
        <c:noMultiLvlLbl val="0"/>
      </c:catAx>
      <c:valAx>
        <c:axId val="64359831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64359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Deal Probablility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13A-4705-9749-2E96E38F03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13A-4705-9749-2E96E38F0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13A-4705-9749-2E96E38F0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13A-4705-9749-2E96E38F03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13A-4705-9749-2E96E38F0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'Pipeline Calculations'!$B$24:$B$27</c:f>
              <c:strCache>
                <c:ptCount val="4"/>
                <c:pt idx="0">
                  <c:v>25 Percent</c:v>
                </c:pt>
                <c:pt idx="1">
                  <c:v>50 Percent</c:v>
                </c:pt>
                <c:pt idx="2">
                  <c:v>75 Percent</c:v>
                </c:pt>
                <c:pt idx="3">
                  <c:v>90 Percent</c:v>
                </c:pt>
              </c:strCache>
            </c:strRef>
          </c:cat>
          <c:val>
            <c:numRef>
              <c:f>'Pipeline Calculations'!$D$24:$D$27</c:f>
              <c:numCache>
                <c:formatCode>0%</c:formatCode>
                <c:ptCount val="4"/>
                <c:pt idx="0">
                  <c:v>0.14285714285714285</c:v>
                </c:pt>
                <c:pt idx="1">
                  <c:v>0.2857142857142857</c:v>
                </c:pt>
                <c:pt idx="2">
                  <c:v>0.42857142857142855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3A-4705-9749-2E96E38F033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Deal Pipeline Value </a:t>
            </a:r>
          </a:p>
          <a:p>
            <a:pPr>
              <a:defRPr/>
            </a:pPr>
            <a:r>
              <a:rPr lang="en-US" sz="800"/>
              <a:t>(In</a:t>
            </a:r>
            <a:r>
              <a:rPr lang="en-US" sz="800" baseline="0"/>
              <a:t> Process Distribution by Percentage)</a:t>
            </a:r>
            <a:endParaRPr lang="en-US" sz="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3BD-40C1-8269-0903157D4D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3BD-40C1-8269-0903157D4D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3BD-40C1-8269-0903157D4D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3BD-40C1-8269-0903157D4D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3BD-40C1-8269-0903157D4D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'Pipeline Calculations'!$B$4:$B$8</c:f>
              <c:strCache>
                <c:ptCount val="5"/>
                <c:pt idx="0">
                  <c:v>$1k - $50k</c:v>
                </c:pt>
                <c:pt idx="1">
                  <c:v>$51k - $100k</c:v>
                </c:pt>
                <c:pt idx="2">
                  <c:v>$101k - $250k</c:v>
                </c:pt>
                <c:pt idx="3">
                  <c:v>$251k - $500k</c:v>
                </c:pt>
                <c:pt idx="4">
                  <c:v>$501k+</c:v>
                </c:pt>
              </c:strCache>
            </c:strRef>
          </c:cat>
          <c:val>
            <c:numRef>
              <c:f>'Pipeline Calculations'!$K$4:$K$8</c:f>
              <c:numCache>
                <c:formatCode>0%</c:formatCode>
                <c:ptCount val="5"/>
                <c:pt idx="0">
                  <c:v>0.2857142857142857</c:v>
                </c:pt>
                <c:pt idx="1">
                  <c:v>0.2857142857142857</c:v>
                </c:pt>
                <c:pt idx="2">
                  <c:v>0.14285714285714285</c:v>
                </c:pt>
                <c:pt idx="3">
                  <c:v>0.14285714285714285</c:v>
                </c:pt>
                <c:pt idx="4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BD-40C1-8269-0903157D4D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Deal Creation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'Pipeline Calculations'!$N$3</c:f>
              <c:strCache>
                <c:ptCount val="1"/>
                <c:pt idx="0">
                  <c:v>Incremental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'Pipeline Calculations'!$M$4:$M$6</c:f>
              <c:strCache>
                <c:ptCount val="3"/>
                <c:pt idx="0">
                  <c:v>Last 30 Days</c:v>
                </c:pt>
                <c:pt idx="1">
                  <c:v>Last 60 Days</c:v>
                </c:pt>
                <c:pt idx="2">
                  <c:v>Last 90 Days</c:v>
                </c:pt>
              </c:strCache>
            </c:strRef>
          </c:cat>
          <c:val>
            <c:numRef>
              <c:f>'Pipeline Calculations'!$N$4:$N$6</c:f>
              <c:numCache>
                <c:formatCode>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E-43AD-B9F0-5ED3AF52D0C3}"/>
            </c:ext>
          </c:extLst>
        </c:ser>
        <c:ser>
          <c:idx val="1"/>
          <c:order val="1"/>
          <c:tx>
            <c:strRef>
              <c:f>'Pipeline Calculations'!$O$3</c:f>
              <c:strCache>
                <c:ptCount val="1"/>
                <c:pt idx="0">
                  <c:v>Rolling Total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'Pipeline Calculations'!$M$4:$M$6</c:f>
              <c:strCache>
                <c:ptCount val="3"/>
                <c:pt idx="0">
                  <c:v>Last 30 Days</c:v>
                </c:pt>
                <c:pt idx="1">
                  <c:v>Last 60 Days</c:v>
                </c:pt>
                <c:pt idx="2">
                  <c:v>Last 90 Days</c:v>
                </c:pt>
              </c:strCache>
            </c:strRef>
          </c:cat>
          <c:val>
            <c:numRef>
              <c:f>'Pipeline Calculations'!$O$4:$O$6</c:f>
              <c:numCache>
                <c:formatCode>0</c:formatCode>
                <c:ptCount val="3"/>
                <c:pt idx="0">
                  <c:v>5</c:v>
                </c:pt>
                <c:pt idx="1">
                  <c:v>7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E-43AD-B9F0-5ED3AF52D0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75975240"/>
        <c:axId val="675971960"/>
      </c:barChart>
      <c:catAx>
        <c:axId val="675975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971960"/>
        <c:crosses val="autoZero"/>
        <c:auto val="1"/>
        <c:lblAlgn val="ctr"/>
        <c:lblOffset val="100"/>
        <c:noMultiLvlLbl val="0"/>
      </c:catAx>
      <c:valAx>
        <c:axId val="6759719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75975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Deals Closing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'Pipeline Calculations'!$N$8</c:f>
              <c:strCache>
                <c:ptCount val="1"/>
                <c:pt idx="0">
                  <c:v>Estimated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'Pipeline Calculations'!$M$9:$M$11</c:f>
              <c:strCache>
                <c:ptCount val="3"/>
                <c:pt idx="0">
                  <c:v>Next 30 Days</c:v>
                </c:pt>
                <c:pt idx="1">
                  <c:v>Next 60 Days</c:v>
                </c:pt>
                <c:pt idx="2">
                  <c:v>Next 90 Days</c:v>
                </c:pt>
              </c:strCache>
            </c:strRef>
          </c:cat>
          <c:val>
            <c:numRef>
              <c:f>'Pipeline Calculations'!$N$9:$N$11</c:f>
              <c:numCache>
                <c:formatCode>0</c:formatCode>
                <c:ptCount val="3"/>
                <c:pt idx="0">
                  <c:v>2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1-4192-8DCE-0C3163743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119561432"/>
        <c:axId val="652620648"/>
      </c:barChart>
      <c:catAx>
        <c:axId val="119561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620648"/>
        <c:crosses val="autoZero"/>
        <c:auto val="1"/>
        <c:lblAlgn val="ctr"/>
        <c:lblOffset val="100"/>
        <c:noMultiLvlLbl val="0"/>
      </c:catAx>
      <c:valAx>
        <c:axId val="652620648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119561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Deal Closure Rate </a:t>
            </a:r>
          </a:p>
          <a:p>
            <a:pPr>
              <a:defRPr/>
            </a:pPr>
            <a:r>
              <a:rPr lang="en-US" sz="1200"/>
              <a:t>(Estimated vs. Actual Close)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'Pipeline Calculations'!$N$13</c:f>
              <c:strCache>
                <c:ptCount val="1"/>
                <c:pt idx="0">
                  <c:v>Actual </c:v>
                </c:pt>
              </c:strCache>
            </c:strRef>
          </c:tx>
          <c:spPr>
            <a:solidFill>
              <a:schemeClr val="bg1">
                <a:lumMod val="7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'Pipeline Calculations'!$M$14:$M$16</c:f>
              <c:strCache>
                <c:ptCount val="3"/>
                <c:pt idx="0">
                  <c:v>Last 30 Days</c:v>
                </c:pt>
                <c:pt idx="1">
                  <c:v>Last 60 Days</c:v>
                </c:pt>
                <c:pt idx="2">
                  <c:v>Last 90 Days</c:v>
                </c:pt>
              </c:strCache>
            </c:strRef>
          </c:cat>
          <c:val>
            <c:numRef>
              <c:f>'Pipeline Calculations'!$N$14:$N$16</c:f>
              <c:numCache>
                <c:formatCode>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E-4633-A875-2D457F834AD6}"/>
            </c:ext>
          </c:extLst>
        </c:ser>
        <c:ser>
          <c:idx val="1"/>
          <c:order val="1"/>
          <c:tx>
            <c:strRef>
              <c:f>'Pipeline Calculations'!$O$13</c:f>
              <c:strCache>
                <c:ptCount val="1"/>
                <c:pt idx="0">
                  <c:v>Estimated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'Pipeline Calculations'!$M$14:$M$16</c:f>
              <c:strCache>
                <c:ptCount val="3"/>
                <c:pt idx="0">
                  <c:v>Last 30 Days</c:v>
                </c:pt>
                <c:pt idx="1">
                  <c:v>Last 60 Days</c:v>
                </c:pt>
                <c:pt idx="2">
                  <c:v>Last 90 Days</c:v>
                </c:pt>
              </c:strCache>
            </c:strRef>
          </c:cat>
          <c:val>
            <c:numRef>
              <c:f>'Pipeline Calculations'!$O$14:$O$16</c:f>
              <c:numCache>
                <c:formatCode>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E-4633-A875-2D457F834AD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47624104"/>
        <c:axId val="647624432"/>
      </c:barChart>
      <c:catAx>
        <c:axId val="647624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624432"/>
        <c:crosses val="autoZero"/>
        <c:auto val="1"/>
        <c:lblAlgn val="ctr"/>
        <c:lblOffset val="100"/>
        <c:noMultiLvlLbl val="0"/>
      </c:catAx>
      <c:valAx>
        <c:axId val="647624432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4762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4497</xdr:colOff>
      <xdr:row>1</xdr:row>
      <xdr:rowOff>529</xdr:rowOff>
    </xdr:from>
    <xdr:to>
      <xdr:col>19</xdr:col>
      <xdr:colOff>560293</xdr:colOff>
      <xdr:row>19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EA52D3-A22F-4E4A-ACB6-EE78CF5D69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66675</xdr:rowOff>
    </xdr:from>
    <xdr:to>
      <xdr:col>2</xdr:col>
      <xdr:colOff>235478</xdr:colOff>
      <xdr:row>0</xdr:row>
      <xdr:rowOff>641738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AE14AF-3C74-4D87-A63C-83B696854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6675"/>
          <a:ext cx="2468562" cy="575063"/>
        </a:xfrm>
        <a:prstGeom prst="rect">
          <a:avLst/>
        </a:prstGeom>
      </xdr:spPr>
    </xdr:pic>
    <xdr:clientData/>
  </xdr:twoCellAnchor>
  <xdr:twoCellAnchor>
    <xdr:from>
      <xdr:col>20</xdr:col>
      <xdr:colOff>5291</xdr:colOff>
      <xdr:row>20</xdr:row>
      <xdr:rowOff>7934</xdr:rowOff>
    </xdr:from>
    <xdr:to>
      <xdr:col>26</xdr:col>
      <xdr:colOff>358588</xdr:colOff>
      <xdr:row>38</xdr:row>
      <xdr:rowOff>23812</xdr:rowOff>
    </xdr:to>
    <xdr:graphicFrame macro="">
      <xdr:nvGraphicFramePr>
        <xdr:cNvPr id="10" name="Chart 6">
          <a:extLst>
            <a:ext uri="{FF2B5EF4-FFF2-40B4-BE49-F238E27FC236}">
              <a16:creationId xmlns:a16="http://schemas.microsoft.com/office/drawing/2014/main" id="{7444ED60-BB16-43B7-B83F-7C4ED983F3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389733</xdr:colOff>
      <xdr:row>0</xdr:row>
      <xdr:rowOff>642406</xdr:rowOff>
    </xdr:from>
    <xdr:to>
      <xdr:col>31</xdr:col>
      <xdr:colOff>717176</xdr:colOff>
      <xdr:row>38</xdr:row>
      <xdr:rowOff>11906</xdr:rowOff>
    </xdr:to>
    <xdr:graphicFrame macro="">
      <xdr:nvGraphicFramePr>
        <xdr:cNvPr id="11" name="Chart 7">
          <a:extLst>
            <a:ext uri="{FF2B5EF4-FFF2-40B4-BE49-F238E27FC236}">
              <a16:creationId xmlns:a16="http://schemas.microsoft.com/office/drawing/2014/main" id="{C1F9C1D4-4577-4543-A425-A221014AA2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604838</xdr:colOff>
      <xdr:row>0</xdr:row>
      <xdr:rowOff>654840</xdr:rowOff>
    </xdr:from>
    <xdr:to>
      <xdr:col>26</xdr:col>
      <xdr:colOff>344737</xdr:colOff>
      <xdr:row>19</xdr:row>
      <xdr:rowOff>160071</xdr:rowOff>
    </xdr:to>
    <xdr:graphicFrame macro="">
      <xdr:nvGraphicFramePr>
        <xdr:cNvPr id="12" name="Chart 10">
          <a:extLst>
            <a:ext uri="{FF2B5EF4-FFF2-40B4-BE49-F238E27FC236}">
              <a16:creationId xmlns:a16="http://schemas.microsoft.com/office/drawing/2014/main" id="{EF36C511-6AE5-4834-9598-AAECB8C3E9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5292</xdr:colOff>
      <xdr:row>0</xdr:row>
      <xdr:rowOff>661988</xdr:rowOff>
    </xdr:from>
    <xdr:to>
      <xdr:col>3</xdr:col>
      <xdr:colOff>582084</xdr:colOff>
      <xdr:row>19</xdr:row>
      <xdr:rowOff>179918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1CC2667-5206-47DB-A9CE-7C5623325F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21167</xdr:colOff>
      <xdr:row>20</xdr:row>
      <xdr:rowOff>25401</xdr:rowOff>
    </xdr:from>
    <xdr:to>
      <xdr:col>3</xdr:col>
      <xdr:colOff>582084</xdr:colOff>
      <xdr:row>38</xdr:row>
      <xdr:rowOff>31750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0AD9894-7F64-4F34-9DBD-EA7418C3A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56621</xdr:colOff>
      <xdr:row>20</xdr:row>
      <xdr:rowOff>11905</xdr:rowOff>
    </xdr:from>
    <xdr:to>
      <xdr:col>19</xdr:col>
      <xdr:colOff>571500</xdr:colOff>
      <xdr:row>38</xdr:row>
      <xdr:rowOff>19843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9A01A00F-3C16-407D-B5BE-D16C34BA90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21432</xdr:colOff>
      <xdr:row>20</xdr:row>
      <xdr:rowOff>23811</xdr:rowOff>
    </xdr:from>
    <xdr:to>
      <xdr:col>12</xdr:col>
      <xdr:colOff>23812</xdr:colOff>
      <xdr:row>38</xdr:row>
      <xdr:rowOff>23812</xdr:rowOff>
    </xdr:to>
    <xdr:graphicFrame macro="">
      <xdr:nvGraphicFramePr>
        <xdr:cNvPr id="14" name="Chart 3">
          <a:extLst>
            <a:ext uri="{FF2B5EF4-FFF2-40B4-BE49-F238E27FC236}">
              <a16:creationId xmlns:a16="http://schemas.microsoft.com/office/drawing/2014/main" id="{4A0AAAC8-CB58-4D9E-A3D3-106771EE54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71437</xdr:rowOff>
    </xdr:from>
    <xdr:to>
      <xdr:col>0</xdr:col>
      <xdr:colOff>2555875</xdr:colOff>
      <xdr:row>0</xdr:row>
      <xdr:rowOff>646500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E5B1E5-CE2B-45C2-B044-9A0B48B7E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3" y="71437"/>
          <a:ext cx="2468562" cy="575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kallansalesdev.com/" TargetMode="External"/><Relationship Id="rId1" Type="http://schemas.openxmlformats.org/officeDocument/2006/relationships/hyperlink" Target="https://kallansalesdev.com/contact-us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C94C-39A8-4A08-8DC2-9D517AE7D7E0}">
  <sheetPr>
    <tabColor theme="5"/>
  </sheetPr>
  <dimension ref="A1:AF1"/>
  <sheetViews>
    <sheetView tabSelected="1" zoomScale="85" zoomScaleNormal="85" workbookViewId="0">
      <selection activeCell="A41" sqref="A41"/>
    </sheetView>
  </sheetViews>
  <sheetFormatPr defaultRowHeight="15" x14ac:dyDescent="0.25"/>
  <cols>
    <col min="1" max="1" width="18.5703125" customWidth="1"/>
    <col min="2" max="2" width="16" customWidth="1"/>
    <col min="3" max="3" width="14.7109375" customWidth="1"/>
    <col min="21" max="21" width="9.140625" customWidth="1"/>
    <col min="32" max="32" width="11" customWidth="1"/>
  </cols>
  <sheetData>
    <row r="1" spans="1:32" ht="52.5" customHeight="1" x14ac:dyDescent="0.25">
      <c r="A1" s="30" t="s">
        <v>71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</sheetData>
  <mergeCells count="1">
    <mergeCell ref="A1:AF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5"/>
  </sheetPr>
  <dimension ref="A1:P2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2" sqref="I22"/>
    </sheetView>
  </sheetViews>
  <sheetFormatPr defaultRowHeight="15" x14ac:dyDescent="0.25"/>
  <cols>
    <col min="1" max="1" width="31" style="1" customWidth="1"/>
    <col min="2" max="2" width="35.7109375" style="3" customWidth="1"/>
    <col min="3" max="3" width="34.5703125" style="3" customWidth="1"/>
    <col min="4" max="5" width="23.28515625" style="1" customWidth="1"/>
    <col min="6" max="6" width="18.5703125" style="1" customWidth="1"/>
    <col min="7" max="7" width="17.7109375" style="1" customWidth="1"/>
    <col min="8" max="8" width="12" style="1" customWidth="1"/>
    <col min="9" max="9" width="27.85546875" style="1" customWidth="1"/>
    <col min="10" max="10" width="13.85546875" style="1" customWidth="1"/>
    <col min="11" max="11" width="40.140625" style="3" customWidth="1"/>
    <col min="12" max="12" width="36" style="3" customWidth="1"/>
    <col min="13" max="13" width="21.140625" style="1" customWidth="1"/>
    <col min="14" max="14" width="19.42578125" style="1" customWidth="1"/>
    <col min="15" max="16384" width="9.140625" style="1"/>
  </cols>
  <sheetData>
    <row r="1" spans="1:16" x14ac:dyDescent="0.25">
      <c r="A1" s="8" t="s">
        <v>6</v>
      </c>
      <c r="B1" s="9" t="s">
        <v>4</v>
      </c>
      <c r="C1" s="9" t="s">
        <v>5</v>
      </c>
      <c r="D1" s="8" t="s">
        <v>0</v>
      </c>
      <c r="E1" s="8" t="s">
        <v>26</v>
      </c>
      <c r="F1" s="8" t="s">
        <v>66</v>
      </c>
      <c r="G1" s="8" t="s">
        <v>31</v>
      </c>
      <c r="H1" s="8" t="s">
        <v>3</v>
      </c>
      <c r="I1" s="8" t="s">
        <v>1</v>
      </c>
      <c r="J1" s="8" t="s">
        <v>24</v>
      </c>
      <c r="K1" s="9" t="s">
        <v>2</v>
      </c>
      <c r="L1" s="9" t="s">
        <v>8</v>
      </c>
      <c r="M1" s="8" t="s">
        <v>72</v>
      </c>
      <c r="N1" s="8" t="s">
        <v>73</v>
      </c>
    </row>
    <row r="2" spans="1:16" x14ac:dyDescent="0.25">
      <c r="D2" s="3"/>
      <c r="E2" s="3" t="s">
        <v>11</v>
      </c>
      <c r="F2" s="32">
        <v>44499</v>
      </c>
      <c r="G2" s="28" t="s">
        <v>61</v>
      </c>
      <c r="H2" s="4">
        <v>0.25</v>
      </c>
      <c r="I2" s="1" t="s">
        <v>15</v>
      </c>
      <c r="J2" s="1" t="s">
        <v>10</v>
      </c>
      <c r="M2" s="2">
        <v>44515</v>
      </c>
      <c r="N2" s="2">
        <v>44520</v>
      </c>
    </row>
    <row r="3" spans="1:16" x14ac:dyDescent="0.25">
      <c r="E3" s="3" t="s">
        <v>11</v>
      </c>
      <c r="F3" s="32">
        <v>44515</v>
      </c>
      <c r="G3" s="28" t="s">
        <v>61</v>
      </c>
      <c r="H3" s="4">
        <v>0.5</v>
      </c>
      <c r="I3" s="1" t="s">
        <v>16</v>
      </c>
      <c r="J3" s="1" t="s">
        <v>10</v>
      </c>
      <c r="M3" s="2">
        <v>44545</v>
      </c>
      <c r="N3" s="2">
        <v>44545</v>
      </c>
    </row>
    <row r="4" spans="1:16" x14ac:dyDescent="0.25">
      <c r="E4" s="3" t="s">
        <v>13</v>
      </c>
      <c r="F4" s="32">
        <v>44525</v>
      </c>
      <c r="G4" s="28" t="s">
        <v>57</v>
      </c>
      <c r="H4" s="4">
        <v>0.5</v>
      </c>
      <c r="I4" s="1" t="s">
        <v>17</v>
      </c>
      <c r="J4" s="1" t="s">
        <v>12</v>
      </c>
      <c r="M4" s="2">
        <v>44566</v>
      </c>
      <c r="N4" s="2"/>
    </row>
    <row r="5" spans="1:16" x14ac:dyDescent="0.25">
      <c r="E5" s="3" t="s">
        <v>13</v>
      </c>
      <c r="F5" s="32">
        <v>44553</v>
      </c>
      <c r="G5" s="28" t="s">
        <v>57</v>
      </c>
      <c r="H5" s="4">
        <v>0.75</v>
      </c>
      <c r="I5" s="1" t="s">
        <v>18</v>
      </c>
      <c r="J5" s="1" t="s">
        <v>12</v>
      </c>
      <c r="M5" s="2">
        <v>44597</v>
      </c>
      <c r="N5" s="2"/>
    </row>
    <row r="6" spans="1:16" x14ac:dyDescent="0.25">
      <c r="E6" s="3" t="s">
        <v>13</v>
      </c>
      <c r="F6" s="32">
        <v>44566</v>
      </c>
      <c r="G6" s="28" t="s">
        <v>58</v>
      </c>
      <c r="H6" s="4">
        <v>0.75</v>
      </c>
      <c r="I6" s="1" t="s">
        <v>19</v>
      </c>
      <c r="J6" s="1" t="s">
        <v>10</v>
      </c>
      <c r="M6" s="2">
        <v>44607</v>
      </c>
      <c r="N6" s="2"/>
    </row>
    <row r="7" spans="1:16" x14ac:dyDescent="0.25">
      <c r="E7" s="3" t="s">
        <v>14</v>
      </c>
      <c r="F7" s="32">
        <v>44571</v>
      </c>
      <c r="G7" s="28" t="s">
        <v>59</v>
      </c>
      <c r="H7" s="4">
        <v>0.75</v>
      </c>
      <c r="I7" s="1" t="s">
        <v>20</v>
      </c>
      <c r="J7" s="1" t="s">
        <v>12</v>
      </c>
      <c r="M7" s="2">
        <v>44641</v>
      </c>
      <c r="N7" s="2"/>
    </row>
    <row r="8" spans="1:16" x14ac:dyDescent="0.25">
      <c r="E8" s="3" t="s">
        <v>14</v>
      </c>
      <c r="F8" s="32">
        <v>44576</v>
      </c>
      <c r="G8" s="28" t="s">
        <v>60</v>
      </c>
      <c r="H8" s="4">
        <v>0.9</v>
      </c>
      <c r="I8" s="1" t="s">
        <v>23</v>
      </c>
      <c r="J8" s="1" t="s">
        <v>12</v>
      </c>
      <c r="M8" s="2">
        <v>44645</v>
      </c>
      <c r="N8" s="2"/>
    </row>
    <row r="9" spans="1:16" x14ac:dyDescent="0.25">
      <c r="E9" s="3" t="s">
        <v>11</v>
      </c>
      <c r="F9" s="32">
        <v>44581</v>
      </c>
      <c r="G9" s="28" t="s">
        <v>60</v>
      </c>
      <c r="H9" s="4">
        <v>1</v>
      </c>
      <c r="I9" s="1" t="s">
        <v>21</v>
      </c>
      <c r="J9" s="1" t="s">
        <v>10</v>
      </c>
      <c r="M9" s="2">
        <v>44650</v>
      </c>
      <c r="N9" s="2"/>
    </row>
    <row r="10" spans="1:16" x14ac:dyDescent="0.25">
      <c r="E10" s="3" t="s">
        <v>13</v>
      </c>
      <c r="F10" s="32">
        <v>44582</v>
      </c>
      <c r="G10" s="28" t="s">
        <v>62</v>
      </c>
      <c r="H10" s="4">
        <v>0</v>
      </c>
      <c r="I10" s="1" t="s">
        <v>22</v>
      </c>
      <c r="J10" s="1" t="s">
        <v>12</v>
      </c>
      <c r="M10" s="2">
        <v>44672</v>
      </c>
      <c r="N10" s="2"/>
    </row>
    <row r="11" spans="1:16" s="11" customFormat="1" ht="20.100000000000001" customHeight="1" x14ac:dyDescent="0.25">
      <c r="A11" s="31" t="s">
        <v>25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12"/>
      <c r="P11" s="12"/>
    </row>
    <row r="21" spans="4:4" x14ac:dyDescent="0.25">
      <c r="D21" s="2"/>
    </row>
    <row r="22" spans="4:4" x14ac:dyDescent="0.25">
      <c r="D22" s="2"/>
    </row>
    <row r="23" spans="4:4" x14ac:dyDescent="0.25">
      <c r="D23" s="2"/>
    </row>
    <row r="25" spans="4:4" x14ac:dyDescent="0.25">
      <c r="D25" s="2"/>
    </row>
    <row r="26" spans="4:4" x14ac:dyDescent="0.25">
      <c r="D26" s="2"/>
    </row>
    <row r="27" spans="4:4" x14ac:dyDescent="0.25">
      <c r="D27" s="2"/>
    </row>
  </sheetData>
  <sortState xmlns:xlrd2="http://schemas.microsoft.com/office/spreadsheetml/2017/richdata2" ref="A2:O7">
    <sortCondition ref="I2:I7"/>
    <sortCondition ref="N2:N7"/>
  </sortState>
  <mergeCells count="1">
    <mergeCell ref="A11:N11"/>
  </mergeCells>
  <phoneticPr fontId="10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0732E62-0DBA-4018-90E7-82E1B8879FF6}">
          <x14:formula1>
            <xm:f>List!$D$2:$D$10</xm:f>
          </x14:formula1>
          <xm:sqref>I2:I10</xm:sqref>
        </x14:dataValidation>
        <x14:dataValidation type="list" allowBlank="1" showInputMessage="1" showErrorMessage="1" xr:uid="{66A37BF4-D1DC-47AA-A517-AD50B4102118}">
          <x14:formula1>
            <xm:f>List!$A$2:$A$4</xm:f>
          </x14:formula1>
          <xm:sqref>E2:E10</xm:sqref>
        </x14:dataValidation>
        <x14:dataValidation type="list" allowBlank="1" showInputMessage="1" showErrorMessage="1" xr:uid="{F2564203-4B94-408C-B778-DCE49DED3C4F}">
          <x14:formula1>
            <xm:f>List!$E$2:$E$3</xm:f>
          </x14:formula1>
          <xm:sqref>J2:J10</xm:sqref>
        </x14:dataValidation>
        <x14:dataValidation type="list" allowBlank="1" showInputMessage="1" showErrorMessage="1" xr:uid="{7F378458-AA33-4B25-91BF-A30D45FBF654}">
          <x14:formula1>
            <xm:f>List!$C$2:$C$7</xm:f>
          </x14:formula1>
          <xm:sqref>H2:H10</xm:sqref>
        </x14:dataValidation>
        <x14:dataValidation type="list" allowBlank="1" showInputMessage="1" showErrorMessage="1" xr:uid="{DC9577C3-D80B-4A93-A613-4F80BC8E9A9C}">
          <x14:formula1>
            <xm:f>List!$B$2:$B$7</xm:f>
          </x14:formula1>
          <xm:sqref>G2:G10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522ED-D3E3-406C-97E2-236F685F382B}">
  <sheetPr>
    <tabColor theme="0" tint="-0.34998626667073579"/>
  </sheetPr>
  <dimension ref="B2:O33"/>
  <sheetViews>
    <sheetView zoomScaleNormal="100" workbookViewId="0">
      <selection activeCell="I29" sqref="I29"/>
    </sheetView>
  </sheetViews>
  <sheetFormatPr defaultRowHeight="12.75" x14ac:dyDescent="0.2"/>
  <cols>
    <col min="1" max="1" width="2.7109375" style="38" customWidth="1"/>
    <col min="2" max="2" width="22.140625" style="38" customWidth="1"/>
    <col min="3" max="3" width="21.42578125" style="38" customWidth="1"/>
    <col min="4" max="4" width="17.7109375" style="38" customWidth="1"/>
    <col min="5" max="5" width="19.28515625" style="38" customWidth="1"/>
    <col min="6" max="6" width="21.85546875" style="38" customWidth="1"/>
    <col min="7" max="7" width="23.85546875" style="38" customWidth="1"/>
    <col min="8" max="8" width="21.28515625" style="38" customWidth="1"/>
    <col min="9" max="9" width="23.42578125" style="38" customWidth="1"/>
    <col min="10" max="10" width="17.85546875" style="38" customWidth="1"/>
    <col min="11" max="11" width="16.7109375" style="38" customWidth="1"/>
    <col min="12" max="12" width="4.28515625" style="38" customWidth="1"/>
    <col min="13" max="13" width="17.7109375" style="38" customWidth="1"/>
    <col min="14" max="14" width="14.42578125" style="38" customWidth="1"/>
    <col min="15" max="15" width="14.7109375" style="38" customWidth="1"/>
    <col min="16" max="16" width="20.5703125" style="38" customWidth="1"/>
    <col min="17" max="16384" width="9.140625" style="38"/>
  </cols>
  <sheetData>
    <row r="2" spans="2:15" x14ac:dyDescent="0.2">
      <c r="C2" s="39" t="s">
        <v>65</v>
      </c>
      <c r="D2" s="40"/>
      <c r="E2" s="40"/>
      <c r="F2" s="40"/>
      <c r="G2" s="40"/>
      <c r="H2" s="40"/>
      <c r="I2" s="40"/>
      <c r="J2" s="40"/>
      <c r="K2" s="41"/>
    </row>
    <row r="3" spans="2:15" x14ac:dyDescent="0.2">
      <c r="B3" s="33" t="s">
        <v>32</v>
      </c>
      <c r="C3" s="34" t="s">
        <v>15</v>
      </c>
      <c r="D3" s="34" t="s">
        <v>16</v>
      </c>
      <c r="E3" s="34" t="s">
        <v>17</v>
      </c>
      <c r="F3" s="34" t="s">
        <v>18</v>
      </c>
      <c r="G3" s="34" t="s">
        <v>19</v>
      </c>
      <c r="H3" s="34" t="s">
        <v>20</v>
      </c>
      <c r="I3" s="34" t="s">
        <v>63</v>
      </c>
      <c r="J3" s="34" t="s">
        <v>64</v>
      </c>
      <c r="K3" s="42" t="s">
        <v>28</v>
      </c>
      <c r="M3" s="33" t="s">
        <v>70</v>
      </c>
      <c r="N3" s="34" t="s">
        <v>82</v>
      </c>
      <c r="O3" s="42" t="s">
        <v>80</v>
      </c>
    </row>
    <row r="4" spans="2:15" x14ac:dyDescent="0.2">
      <c r="B4" s="43" t="s">
        <v>61</v>
      </c>
      <c r="C4" s="44" cm="1">
        <f t="array" ref="C4">SUMPRODUCT(('Pipeline Activity'!$G$2:$G$10="$1k - $50k")*('Pipeline Activity'!$I$2:$I$10="Active Engagement"))</f>
        <v>1</v>
      </c>
      <c r="D4" s="45" cm="1">
        <f t="array" ref="D4">SUMPRODUCT(('Pipeline Activity'!$G$2:$G$10="$1k - $50k")*('Pipeline Activity'!$I$2:$I$10="Discovery"))</f>
        <v>1</v>
      </c>
      <c r="E4" s="44" cm="1">
        <f t="array" ref="E4">SUMPRODUCT(('Pipeline Activity'!$G$2:$G$10="$1k - $50k")*('Pipeline Activity'!$I$2:$I$10="Deal Identified"))</f>
        <v>0</v>
      </c>
      <c r="F4" s="45" cm="1">
        <f t="array" ref="F4">SUMPRODUCT(('Pipeline Activity'!$G$2:$G$10="$1k - $50k")*('Pipeline Activity'!$I$2:$I$10="Proposal Development"))</f>
        <v>0</v>
      </c>
      <c r="G4" s="44" cm="1">
        <f t="array" ref="G4">SUMPRODUCT(('Pipeline Activity'!$G$2:$G$10="$1k - $50k")*('Pipeline Activity'!$I$2:$I$10="Proposal Submitted"))</f>
        <v>0</v>
      </c>
      <c r="H4" s="45" cm="1">
        <f t="array" ref="H4">SUMPRODUCT(('Pipeline Activity'!$G$2:$G$10="$1k - $50k")*('Pipeline Activity'!$I$2:$I$10="Sales Follow-Up"))</f>
        <v>0</v>
      </c>
      <c r="I4" s="44" cm="1">
        <f t="array" ref="I4">SUMPRODUCT(('Pipeline Activity'!$G$2:$G$10="$1k - $50k")*('Pipeline Activity'!$I$2:$I$10="Pre-Production Award"))</f>
        <v>0</v>
      </c>
      <c r="J4" s="46">
        <f>SUM(C4:I4)</f>
        <v>2</v>
      </c>
      <c r="K4" s="47">
        <f>J4/$J$9</f>
        <v>0.2857142857142857</v>
      </c>
      <c r="M4" s="82" t="s">
        <v>67</v>
      </c>
      <c r="N4" s="35">
        <f ca="1">COUNTIF('Pipeline Activity'!$F$2:$F$10,"&lt;="&amp;TODAY())-COUNTIF('Pipeline Activity'!$F$2:$F$10,"&lt;="&amp;TODAY()-30)</f>
        <v>5</v>
      </c>
      <c r="O4" s="83">
        <f ca="1">N4</f>
        <v>5</v>
      </c>
    </row>
    <row r="5" spans="2:15" x14ac:dyDescent="0.2">
      <c r="B5" s="48" t="s">
        <v>57</v>
      </c>
      <c r="C5" s="49" cm="1">
        <f t="array" ref="C5">SUMPRODUCT(('Pipeline Activity'!$G$2:$G$10="$51k - $100k")*('Pipeline Activity'!$I$2:$I$10="Active Engagement"))</f>
        <v>0</v>
      </c>
      <c r="D5" s="50" cm="1">
        <f t="array" ref="D5">SUMPRODUCT(('Pipeline Activity'!$G$2:$G$10="$51k - $100k")*('Pipeline Activity'!$I$2:$I$10="Discovery"))</f>
        <v>0</v>
      </c>
      <c r="E5" s="49" cm="1">
        <f t="array" ref="E5">SUMPRODUCT(('Pipeline Activity'!$G$2:$G$10="$51k - $100k")*('Pipeline Activity'!$I$2:$I$10="Deal Identified"))</f>
        <v>1</v>
      </c>
      <c r="F5" s="50" cm="1">
        <f t="array" ref="F5">SUMPRODUCT(('Pipeline Activity'!$G$2:$G$10="$51k - $100k")*('Pipeline Activity'!$I$2:$I$10="Proposal Development"))</f>
        <v>1</v>
      </c>
      <c r="G5" s="49" cm="1">
        <f t="array" ref="G5">SUMPRODUCT(('Pipeline Activity'!$G$2:$G$10="$51k - $100k")*('Pipeline Activity'!$I$2:$I$10="Proposal Submitted"))</f>
        <v>0</v>
      </c>
      <c r="H5" s="50" cm="1">
        <f t="array" ref="H5">SUMPRODUCT(('Pipeline Activity'!$G$2:$G$10="$51k - $100k")*('Pipeline Activity'!$I$2:$I$10="Sales Follow-Up"))</f>
        <v>0</v>
      </c>
      <c r="I5" s="49" cm="1">
        <f t="array" ref="I5">SUMPRODUCT(('Pipeline Activity'!$G$2:$G$10="$51k - $100k")*('Pipeline Activity'!$I$2:$I$10="Pre-production Award"))</f>
        <v>0</v>
      </c>
      <c r="J5" s="51">
        <f t="shared" ref="J5:J8" si="0">SUM(C5:I5)</f>
        <v>2</v>
      </c>
      <c r="K5" s="52">
        <f t="shared" ref="K5:K8" si="1">J5/$J$9</f>
        <v>0.2857142857142857</v>
      </c>
      <c r="M5" s="84" t="s">
        <v>68</v>
      </c>
      <c r="N5" s="36">
        <f ca="1">COUNTIF('Pipeline Activity'!$F$2:$F$10,"&lt;="&amp;TODAY()-30)-COUNTIF('Pipeline Activity'!$F$2:$F$10,"&lt;="&amp;TODAY()-60)</f>
        <v>2</v>
      </c>
      <c r="O5" s="85">
        <f ca="1">N4+N5</f>
        <v>7</v>
      </c>
    </row>
    <row r="6" spans="2:15" x14ac:dyDescent="0.2">
      <c r="B6" s="48" t="s">
        <v>58</v>
      </c>
      <c r="C6" s="49" cm="1">
        <f t="array" ref="C6">SUMPRODUCT(('Pipeline Activity'!$G$2:$G$10="$101k - $250k")*('Pipeline Activity'!$I$2:$I$10="Active Engagement"))</f>
        <v>0</v>
      </c>
      <c r="D6" s="50" cm="1">
        <f t="array" ref="D6">SUMPRODUCT(('Pipeline Activity'!$G$2:$G$10="$101k - $250k")*('Pipeline Activity'!$I$2:$I$10="Discovery"))</f>
        <v>0</v>
      </c>
      <c r="E6" s="49" cm="1">
        <f t="array" ref="E6">SUMPRODUCT(('Pipeline Activity'!$G$2:$G$10="$101k - $250k")*('Pipeline Activity'!$I$2:$I$10="Deal Identified"))</f>
        <v>0</v>
      </c>
      <c r="F6" s="50" cm="1">
        <f t="array" ref="F6">SUMPRODUCT(('Pipeline Activity'!$G$2:$G$10="$101k - $250k")*('Pipeline Activity'!$I$2:$I$10="Proposal Development"))</f>
        <v>0</v>
      </c>
      <c r="G6" s="49" cm="1">
        <f t="array" ref="G6">SUMPRODUCT(('Pipeline Activity'!$G$2:$G$10="$101k - $250k")*('Pipeline Activity'!$I$2:$I$10="Proposal Submitted"))</f>
        <v>1</v>
      </c>
      <c r="H6" s="50" cm="1">
        <f t="array" ref="H6">SUMPRODUCT(('Pipeline Activity'!$G$2:$G$10="$101k - $250k")*('Pipeline Activity'!$I$2:$I$10="Sales Follow-Up"))</f>
        <v>0</v>
      </c>
      <c r="I6" s="49" cm="1">
        <f t="array" ref="I6">SUMPRODUCT(('Pipeline Activity'!$G$2:$G$10="$101k - $250k")*('Pipeline Activity'!$I$2:$I$10="Pre-Production Award"))</f>
        <v>0</v>
      </c>
      <c r="J6" s="51">
        <f t="shared" si="0"/>
        <v>1</v>
      </c>
      <c r="K6" s="52">
        <f t="shared" si="1"/>
        <v>0.14285714285714285</v>
      </c>
      <c r="M6" s="86" t="s">
        <v>69</v>
      </c>
      <c r="N6" s="37">
        <f ca="1">COUNTIF('Pipeline Activity'!$F$2:$F$10,"&lt;="&amp;TODAY()-60)-COUNTIF('Pipeline Activity'!$F$2:$F$10,"&lt;="&amp;TODAY()-90)</f>
        <v>2</v>
      </c>
      <c r="O6" s="87">
        <f ca="1">N4+N5+N6</f>
        <v>9</v>
      </c>
    </row>
    <row r="7" spans="2:15" x14ac:dyDescent="0.2">
      <c r="B7" s="48" t="s">
        <v>59</v>
      </c>
      <c r="C7" s="49" cm="1">
        <f t="array" ref="C7">SUMPRODUCT(('Pipeline Activity'!$G$2:$G$10="$251k - $500k")*('Pipeline Activity'!$I$2:$I$10="Active Engagement"))</f>
        <v>0</v>
      </c>
      <c r="D7" s="50" cm="1">
        <f t="array" ref="D7">SUMPRODUCT(('Pipeline Activity'!$G$2:$G$10="$251k - $500k")*('Pipeline Activity'!$I$2:$I$10="Discovery"))</f>
        <v>0</v>
      </c>
      <c r="E7" s="49" cm="1">
        <f t="array" ref="E7">SUMPRODUCT(('Pipeline Activity'!$G$2:$G$10="$251k - $500k")*('Pipeline Activity'!$I$2:$I$10="Deal Identified"))</f>
        <v>0</v>
      </c>
      <c r="F7" s="50" cm="1">
        <f t="array" ref="F7">SUMPRODUCT(('Pipeline Activity'!$G$2:$G$10="$251k - $500k")*('Pipeline Activity'!$I$2:$I$10="Proposal Development"))</f>
        <v>0</v>
      </c>
      <c r="G7" s="49" cm="1">
        <f t="array" ref="G7">SUMPRODUCT(('Pipeline Activity'!$G$2:$G$10="$251k - $500k")*('Pipeline Activity'!$I$2:$I$10="Proposal Submitted"))</f>
        <v>0</v>
      </c>
      <c r="H7" s="50" cm="1">
        <f t="array" ref="H7">SUMPRODUCT(('Pipeline Activity'!$G$2:$G$10="$251k - $500k")*('Pipeline Activity'!$I$2:$I$10="Sales Follow-Up"))</f>
        <v>1</v>
      </c>
      <c r="I7" s="49" cm="1">
        <f t="array" ref="I7">SUMPRODUCT(('Pipeline Activity'!$G$2:$G$10="$251k - $500k")*('Pipeline Activity'!$I$2:$I$10="Pre-Production Award"))</f>
        <v>0</v>
      </c>
      <c r="J7" s="51">
        <f t="shared" si="0"/>
        <v>1</v>
      </c>
      <c r="K7" s="52">
        <f t="shared" si="1"/>
        <v>0.14285714285714285</v>
      </c>
    </row>
    <row r="8" spans="2:15" x14ac:dyDescent="0.2">
      <c r="B8" s="53" t="s">
        <v>60</v>
      </c>
      <c r="C8" s="54" cm="1">
        <f t="array" ref="C8">SUMPRODUCT(('Pipeline Activity'!$G$2:$G$10="$501k+")*('Pipeline Activity'!$I$2:$I$10="Active Engagement"))</f>
        <v>0</v>
      </c>
      <c r="D8" s="55" cm="1">
        <f t="array" ref="D8">SUMPRODUCT(('Pipeline Activity'!$G$2:$G$10="$501k+")*('Pipeline Activity'!$I$2:$I$10="Discovery"))</f>
        <v>0</v>
      </c>
      <c r="E8" s="54" cm="1">
        <f t="array" ref="E8">SUMPRODUCT(('Pipeline Activity'!$G$2:$G$10="$501k+")*('Pipeline Activity'!$I$2:$I$10="Deal Identified"))</f>
        <v>0</v>
      </c>
      <c r="F8" s="55" cm="1">
        <f t="array" ref="F8">SUMPRODUCT(('Pipeline Activity'!$G$2:$G$10="$501k+")*('Pipeline Activity'!$I$2:$I$10="Proposal Development"))</f>
        <v>0</v>
      </c>
      <c r="G8" s="54" cm="1">
        <f t="array" ref="G8">SUMPRODUCT(('Pipeline Activity'!$G$2:$G$10="$501k+")*('Pipeline Activity'!$I$2:$I$10="Proposal Submitted"))</f>
        <v>0</v>
      </c>
      <c r="H8" s="55" cm="1">
        <f t="array" ref="H8">SUMPRODUCT(('Pipeline Activity'!$G$2:$G$10="$501k+")*('Pipeline Activity'!$I$2:$I$10="Sales Follow-Up"))</f>
        <v>0</v>
      </c>
      <c r="I8" s="54" cm="1">
        <f t="array" ref="I8">SUMPRODUCT(('Pipeline Activity'!$G$2:$G$10="$501k+")*('Pipeline Activity'!$I$2:$I$10="Pre-Production Award"))</f>
        <v>1</v>
      </c>
      <c r="J8" s="56">
        <f t="shared" si="0"/>
        <v>1</v>
      </c>
      <c r="K8" s="57">
        <f t="shared" si="1"/>
        <v>0.14285714285714285</v>
      </c>
      <c r="M8" s="33" t="s">
        <v>83</v>
      </c>
      <c r="N8" s="34" t="s">
        <v>75</v>
      </c>
      <c r="O8" s="42" t="s">
        <v>76</v>
      </c>
    </row>
    <row r="9" spans="2:15" x14ac:dyDescent="0.2">
      <c r="J9" s="58">
        <f>SUM(J4:J8)</f>
        <v>7</v>
      </c>
      <c r="M9" s="88" t="s">
        <v>78</v>
      </c>
      <c r="N9" s="35">
        <f ca="1">COUNTIF('Pipeline Activity'!$M$2:$M$10,"&lt;="&amp;TODAY()+30)-COUNTIF('Pipeline Activity'!$M$2:$M$10,"&lt;"&amp;TODAY())</f>
        <v>2</v>
      </c>
      <c r="O9" s="83">
        <f ca="1">COUNTIF('Pipeline Activity'!N2:N10,"&lt;="&amp;TODAY()+30)-COUNTIF('Pipeline Activity'!N2:N10,"&lt;"&amp;TODAY())</f>
        <v>0</v>
      </c>
    </row>
    <row r="10" spans="2:15" x14ac:dyDescent="0.2">
      <c r="D10" s="39" t="s">
        <v>34</v>
      </c>
      <c r="E10" s="41"/>
      <c r="M10" s="89" t="s">
        <v>77</v>
      </c>
      <c r="N10" s="36">
        <f ca="1">COUNTIF('Pipeline Activity'!$M$2:$M$10,"&lt;="&amp;TODAY()+60)-COUNTIF('Pipeline Activity'!$M$2:$M$10,"&lt;"&amp;TODAY())-N9</f>
        <v>1</v>
      </c>
      <c r="O10" s="85">
        <f ca="1">COUNTIF('Pipeline Activity'!$N$2:$N$10,"&lt;="&amp;TODAY()+60)-COUNTIF('Pipeline Activity'!$N$2:$N$10,"&lt;"&amp;TODAY())-O9</f>
        <v>0</v>
      </c>
    </row>
    <row r="11" spans="2:15" x14ac:dyDescent="0.2">
      <c r="B11" s="33" t="s">
        <v>27</v>
      </c>
      <c r="C11" s="34" t="s">
        <v>30</v>
      </c>
      <c r="D11" s="34" t="s">
        <v>10</v>
      </c>
      <c r="E11" s="42" t="s">
        <v>12</v>
      </c>
      <c r="M11" s="90" t="s">
        <v>79</v>
      </c>
      <c r="N11" s="37">
        <f ca="1">COUNTIF('Pipeline Activity'!$M$2:$M$10,"&lt;="&amp;TODAY()+90)-COUNTIF('Pipeline Activity'!$M$2:$M$10,"&lt;"&amp;TODAY())-(N9+N10)</f>
        <v>3</v>
      </c>
      <c r="O11" s="87">
        <f ca="1">COUNTIF('Pipeline Activity'!$N$2:$N$10,"&lt;="&amp;TODAY()+90)-COUNTIF('Pipeline Activity'!$N$2:$N$10,"&lt;"&amp;TODAY())-(O9+O10)</f>
        <v>0</v>
      </c>
    </row>
    <row r="12" spans="2:15" x14ac:dyDescent="0.2">
      <c r="B12" s="43" t="s">
        <v>15</v>
      </c>
      <c r="C12" s="44">
        <f>COUNTIF('Pipeline Activity'!$I$2:$I$10,"Active Engagement")</f>
        <v>1</v>
      </c>
      <c r="D12" s="59" cm="1">
        <f t="array" ref="D12">SUMPRODUCT(('Pipeline Activity'!$J$2:$J$10="Sales Rep 1")*('Pipeline Activity'!$I$2:$I$10="Active Engagement"))</f>
        <v>1</v>
      </c>
      <c r="E12" s="60" cm="1">
        <f t="array" ref="E12">SUMPRODUCT(('Pipeline Activity'!$J$2:$J$10="Sales Rep 2")*('Pipeline Activity'!$I$2:$I$10="Active Engagement"))</f>
        <v>0</v>
      </c>
    </row>
    <row r="13" spans="2:15" x14ac:dyDescent="0.2">
      <c r="B13" s="48" t="s">
        <v>16</v>
      </c>
      <c r="C13" s="49">
        <f>COUNTIF('Pipeline Activity'!$I$2:$I$10,"Discovery")</f>
        <v>1</v>
      </c>
      <c r="D13" s="61" cm="1">
        <f t="array" ref="D13">SUMPRODUCT(('Pipeline Activity'!$J$2:$J$10="Sales Rep 1")*('Pipeline Activity'!$I$2:$I$10="Discovery"))</f>
        <v>1</v>
      </c>
      <c r="E13" s="62" cm="1">
        <f t="array" ref="E13">SUMPRODUCT(('Pipeline Activity'!$J$2:$J$10="Sales Rep 2")*('Pipeline Activity'!$I$2:$I$10="Discovery"))</f>
        <v>0</v>
      </c>
      <c r="M13" s="33" t="s">
        <v>74</v>
      </c>
      <c r="N13" s="34" t="s">
        <v>81</v>
      </c>
      <c r="O13" s="42" t="s">
        <v>75</v>
      </c>
    </row>
    <row r="14" spans="2:15" x14ac:dyDescent="0.2">
      <c r="B14" s="48" t="s">
        <v>17</v>
      </c>
      <c r="C14" s="49">
        <f>COUNTIF('Pipeline Activity'!$I$2:$I$10,"Deal Identified")</f>
        <v>1</v>
      </c>
      <c r="D14" s="61" cm="1">
        <f t="array" ref="D14">SUMPRODUCT(('Pipeline Activity'!$J$2:$J$10="Sales Rep 1")*('Pipeline Activity'!$I$2:$I$10="Deal Identified"))</f>
        <v>0</v>
      </c>
      <c r="E14" s="62" cm="1">
        <f t="array" ref="E14">SUMPRODUCT(('Pipeline Activity'!$J$2:$J$10="Sales Rep 2")*('Pipeline Activity'!$I$2:$I$10="Deal Identified"))</f>
        <v>1</v>
      </c>
      <c r="M14" s="82" t="s">
        <v>67</v>
      </c>
      <c r="N14" s="35">
        <f ca="1">COUNTIF('Pipeline Activity'!$N$2:$N$10,"&lt;="&amp;TODAY())-COUNTIF('Pipeline Activity'!$N$2:$N$10,"&lt;="&amp;TODAY()-30)</f>
        <v>0</v>
      </c>
      <c r="O14" s="83">
        <f ca="1">COUNTIF('Pipeline Activity'!$M$2:$M$10,"&lt;="&amp;TODAY())-COUNTIF('Pipeline Activity'!$M$2:$M$10,"&lt;="&amp;TODAY()-30)</f>
        <v>1</v>
      </c>
    </row>
    <row r="15" spans="2:15" x14ac:dyDescent="0.2">
      <c r="B15" s="48" t="s">
        <v>18</v>
      </c>
      <c r="C15" s="49">
        <f>COUNTIF('Pipeline Activity'!$I$2:$I$10,"Proposal Development")</f>
        <v>1</v>
      </c>
      <c r="D15" s="61" cm="1">
        <f t="array" ref="D15">SUMPRODUCT(('Pipeline Activity'!$J$2:$J$10="Sales Rep 1")*('Pipeline Activity'!$I$2:$I$10="Proposal Development"))</f>
        <v>0</v>
      </c>
      <c r="E15" s="62" cm="1">
        <f t="array" ref="E15">SUMPRODUCT(('Pipeline Activity'!$J$2:$J$10="Sales Rep 2")*('Pipeline Activity'!$I$2:$I$10="Proposal Development"))</f>
        <v>1</v>
      </c>
      <c r="M15" s="84" t="s">
        <v>68</v>
      </c>
      <c r="N15" s="36">
        <f ca="1">COUNTIF('Pipeline Activity'!$N$2:$N$10,"&lt;="&amp;TODAY()-30)-COUNTIF('Pipeline Activity'!$N$2:$N$10,"&lt;="&amp;TODAY()-60)</f>
        <v>1</v>
      </c>
      <c r="O15" s="85">
        <f ca="1">COUNTIF('Pipeline Activity'!$M$2:$M$10,"&lt;="&amp;TODAY()-30)-COUNTIF('Pipeline Activity'!$M$2:$M$10,"&lt;="&amp;TODAY()-60)</f>
        <v>1</v>
      </c>
    </row>
    <row r="16" spans="2:15" x14ac:dyDescent="0.2">
      <c r="B16" s="48" t="s">
        <v>19</v>
      </c>
      <c r="C16" s="49">
        <f>COUNTIF('Pipeline Activity'!$I$2:$I$10,"Proposal Submitted")</f>
        <v>1</v>
      </c>
      <c r="D16" s="61" cm="1">
        <f t="array" ref="D16">SUMPRODUCT(('Pipeline Activity'!$J$2:$J$10="Sales Rep 1")*('Pipeline Activity'!$I$2:$I$10="Proposal Submitted"))</f>
        <v>1</v>
      </c>
      <c r="E16" s="62" cm="1">
        <f t="array" ref="E16">SUMPRODUCT(('Pipeline Activity'!$J$2:$J$10="Sales Rep 2")*('Pipeline Activity'!$I$2:$I$10="Proposal Submitted"))</f>
        <v>0</v>
      </c>
      <c r="M16" s="86" t="s">
        <v>69</v>
      </c>
      <c r="N16" s="37">
        <f ca="1">COUNTIF('Pipeline Activity'!$N$2:$N$10,"&lt;="&amp;TODAY()-60)-COUNTIF('Pipeline Activity'!$N$2:$N$10,"&lt;="&amp;TODAY()-90)</f>
        <v>1</v>
      </c>
      <c r="O16" s="87">
        <f ca="1">COUNTIF('Pipeline Activity'!$M$2:$M$10,"&lt;="&amp;TODAY()-60)-COUNTIF('Pipeline Activity'!$M$2:$M$10,"&lt;="&amp;TODAY()-90)</f>
        <v>1</v>
      </c>
    </row>
    <row r="17" spans="2:10" x14ac:dyDescent="0.2">
      <c r="B17" s="48" t="s">
        <v>20</v>
      </c>
      <c r="C17" s="49">
        <f>COUNTIF('Pipeline Activity'!$I$2:$I$10,"Sales Follow-Up")</f>
        <v>1</v>
      </c>
      <c r="D17" s="61" cm="1">
        <f t="array" ref="D17">SUMPRODUCT(('Pipeline Activity'!$J$2:$J$10="Sales Rep 1")*('Pipeline Activity'!$I$2:$I$10="Sales Follow-Up"))</f>
        <v>0</v>
      </c>
      <c r="E17" s="62" cm="1">
        <f t="array" ref="E17">SUMPRODUCT(('Pipeline Activity'!$J$2:$J$10="Sales Rep 2")*('Pipeline Activity'!$I$2:$I$10="Sales Follow-Up"))</f>
        <v>1</v>
      </c>
    </row>
    <row r="18" spans="2:10" x14ac:dyDescent="0.2">
      <c r="B18" s="48" t="s">
        <v>23</v>
      </c>
      <c r="C18" s="49">
        <f>COUNTIF('Pipeline Activity'!$I$2:$I$10,"Pre-Production Award")</f>
        <v>1</v>
      </c>
      <c r="D18" s="61" cm="1">
        <f t="array" ref="D18">SUMPRODUCT(('Pipeline Activity'!$J$2:$J$10="Sales Rep 1")*('Pipeline Activity'!$I$2:$I$10="Pre-Production Award"))</f>
        <v>0</v>
      </c>
      <c r="E18" s="62" cm="1">
        <f t="array" ref="E18">SUMPRODUCT(('Pipeline Activity'!$J$2:$J$10="Sales Rep 2")*('Pipeline Activity'!$I$2:$I$10="Pre-Production Award"))</f>
        <v>1</v>
      </c>
    </row>
    <row r="19" spans="2:10" x14ac:dyDescent="0.2">
      <c r="B19" s="48" t="s">
        <v>21</v>
      </c>
      <c r="C19" s="49">
        <f>COUNTIF('Pipeline Activity'!$I$2:$I$10,"Won")</f>
        <v>1</v>
      </c>
      <c r="D19" s="61" cm="1">
        <f t="array" ref="D19">SUMPRODUCT(('Pipeline Activity'!$J$2:$J$10="Sales Rep 1")*('Pipeline Activity'!$I$2:$I$10="Won"))</f>
        <v>1</v>
      </c>
      <c r="E19" s="62" cm="1">
        <f t="array" ref="E19">SUMPRODUCT(('Pipeline Activity'!$J$2:$J$10="Sales Rep 2")*('Pipeline Activity'!$I$2:$I$10="Won"))</f>
        <v>0</v>
      </c>
    </row>
    <row r="20" spans="2:10" x14ac:dyDescent="0.2">
      <c r="B20" s="53" t="s">
        <v>22</v>
      </c>
      <c r="C20" s="54">
        <f>COUNTIF('Pipeline Activity'!$I$2:$I$10,"Lost")</f>
        <v>1</v>
      </c>
      <c r="D20" s="63" cm="1">
        <f t="array" ref="D20">SUMPRODUCT(('Pipeline Activity'!$J$2:$J$10="Sales Rep 1")*('Pipeline Activity'!$I$2:$I$10="Lost"))</f>
        <v>0</v>
      </c>
      <c r="E20" s="64" cm="1">
        <f t="array" ref="E20">SUMPRODUCT(('Pipeline Activity'!$J$2:$J$10="Sales Rep 2")*('Pipeline Activity'!$I$2:$I$10="Lost"))</f>
        <v>1</v>
      </c>
    </row>
    <row r="21" spans="2:10" x14ac:dyDescent="0.2">
      <c r="B21" s="65" t="s">
        <v>7</v>
      </c>
      <c r="C21" s="66">
        <f>SUM(C12:C20)</f>
        <v>9</v>
      </c>
      <c r="D21" s="51">
        <f>SUM(D12:D20)</f>
        <v>4</v>
      </c>
      <c r="E21" s="51">
        <f>SUM(E12:E20)</f>
        <v>5</v>
      </c>
    </row>
    <row r="23" spans="2:10" x14ac:dyDescent="0.2">
      <c r="B23" s="33" t="s">
        <v>29</v>
      </c>
      <c r="C23" s="34" t="s">
        <v>30</v>
      </c>
      <c r="D23" s="42" t="s">
        <v>28</v>
      </c>
    </row>
    <row r="24" spans="2:10" x14ac:dyDescent="0.2">
      <c r="B24" s="67" t="s">
        <v>49</v>
      </c>
      <c r="C24" s="68">
        <f>COUNTIF('Pipeline Activity'!$H$2:$H$10,"25%")</f>
        <v>1</v>
      </c>
      <c r="D24" s="69">
        <f>C24/$C$28</f>
        <v>0.14285714285714285</v>
      </c>
    </row>
    <row r="25" spans="2:10" x14ac:dyDescent="0.2">
      <c r="B25" s="70" t="s">
        <v>46</v>
      </c>
      <c r="C25" s="71">
        <f>COUNTIF('Pipeline Activity'!$H$2:$H$10,"50%")</f>
        <v>2</v>
      </c>
      <c r="D25" s="72">
        <f>C25/$C$28</f>
        <v>0.2857142857142857</v>
      </c>
    </row>
    <row r="26" spans="2:10" x14ac:dyDescent="0.2">
      <c r="B26" s="70" t="s">
        <v>47</v>
      </c>
      <c r="C26" s="71">
        <f>COUNTIF('Pipeline Activity'!$H$2:$H$10,"75%")</f>
        <v>3</v>
      </c>
      <c r="D26" s="72">
        <f>C26/$C$28</f>
        <v>0.42857142857142855</v>
      </c>
    </row>
    <row r="27" spans="2:10" x14ac:dyDescent="0.2">
      <c r="B27" s="73" t="s">
        <v>48</v>
      </c>
      <c r="C27" s="74">
        <f>COUNTIF('Pipeline Activity'!$H$2:$H$10,"90%")</f>
        <v>1</v>
      </c>
      <c r="D27" s="75">
        <f>C27/$C$28</f>
        <v>0.14285714285714285</v>
      </c>
    </row>
    <row r="28" spans="2:10" x14ac:dyDescent="0.2">
      <c r="C28" s="76">
        <f>SUM(C24:C27)</f>
        <v>7</v>
      </c>
      <c r="I28" s="77"/>
      <c r="J28" s="77"/>
    </row>
    <row r="29" spans="2:10" x14ac:dyDescent="0.2">
      <c r="B29" s="33" t="s">
        <v>33</v>
      </c>
      <c r="C29" s="34" t="s">
        <v>30</v>
      </c>
      <c r="D29" s="42" t="s">
        <v>28</v>
      </c>
    </row>
    <row r="30" spans="2:10" x14ac:dyDescent="0.2">
      <c r="B30" s="78" t="s">
        <v>11</v>
      </c>
      <c r="C30" s="44">
        <f>COUNTIF('Pipeline Activity'!$E$2:$E$10,"Molding Part")</f>
        <v>3</v>
      </c>
      <c r="D30" s="69">
        <f>C30/$C$33</f>
        <v>0.33333333333333331</v>
      </c>
    </row>
    <row r="31" spans="2:10" x14ac:dyDescent="0.2">
      <c r="B31" s="79" t="s">
        <v>13</v>
      </c>
      <c r="C31" s="49">
        <f>COUNTIF('Pipeline Activity'!$E$2:$E$10,"Tooling Only")</f>
        <v>4</v>
      </c>
      <c r="D31" s="72">
        <f>C31/$C$33</f>
        <v>0.44444444444444442</v>
      </c>
    </row>
    <row r="32" spans="2:10" x14ac:dyDescent="0.2">
      <c r="B32" s="80" t="s">
        <v>14</v>
      </c>
      <c r="C32" s="54">
        <f>COUNTIF('Pipeline Activity'!$E$2:$E$10,"Transfer Tool")</f>
        <v>2</v>
      </c>
      <c r="D32" s="75">
        <f>C32/$C$33</f>
        <v>0.22222222222222221</v>
      </c>
    </row>
    <row r="33" spans="2:4" x14ac:dyDescent="0.2">
      <c r="B33" s="65" t="s">
        <v>7</v>
      </c>
      <c r="C33" s="66">
        <f>SUM(C30:C32)</f>
        <v>9</v>
      </c>
      <c r="D33" s="81"/>
    </row>
  </sheetData>
  <mergeCells count="2">
    <mergeCell ref="D10:E10"/>
    <mergeCell ref="C2:K2"/>
  </mergeCells>
  <pageMargins left="0.7" right="0.7" top="0.75" bottom="0.75" header="0.3" footer="0.3"/>
  <ignoredErrors>
    <ignoredError sqref="C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6C57D-BCB9-4E61-8AD0-4693BB851772}">
  <dimension ref="A1:E10"/>
  <sheetViews>
    <sheetView workbookViewId="0">
      <selection activeCell="B18" sqref="B18"/>
    </sheetView>
  </sheetViews>
  <sheetFormatPr defaultRowHeight="15" x14ac:dyDescent="0.25"/>
  <cols>
    <col min="1" max="1" width="21.7109375" style="6" customWidth="1"/>
    <col min="2" max="2" width="14.5703125" style="6" customWidth="1"/>
    <col min="3" max="3" width="13" style="6" customWidth="1"/>
    <col min="4" max="4" width="24.140625" style="6" customWidth="1"/>
    <col min="5" max="5" width="20.7109375" style="6" customWidth="1"/>
    <col min="6" max="16384" width="9.140625" style="6"/>
  </cols>
  <sheetData>
    <row r="1" spans="1:5" x14ac:dyDescent="0.25">
      <c r="A1" s="5" t="s">
        <v>26</v>
      </c>
      <c r="B1" s="5" t="s">
        <v>31</v>
      </c>
      <c r="C1" s="5" t="s">
        <v>3</v>
      </c>
      <c r="D1" s="5" t="s">
        <v>1</v>
      </c>
      <c r="E1" s="5" t="s">
        <v>9</v>
      </c>
    </row>
    <row r="2" spans="1:5" x14ac:dyDescent="0.25">
      <c r="A2" s="7" t="s">
        <v>11</v>
      </c>
      <c r="B2" s="29" t="s">
        <v>62</v>
      </c>
      <c r="C2" s="10">
        <v>0</v>
      </c>
      <c r="D2" s="6" t="s">
        <v>15</v>
      </c>
      <c r="E2" s="6" t="s">
        <v>10</v>
      </c>
    </row>
    <row r="3" spans="1:5" x14ac:dyDescent="0.25">
      <c r="A3" s="7" t="s">
        <v>13</v>
      </c>
      <c r="B3" s="13" t="s">
        <v>61</v>
      </c>
      <c r="C3" s="10">
        <v>0.25</v>
      </c>
      <c r="D3" s="6" t="s">
        <v>16</v>
      </c>
      <c r="E3" s="6" t="s">
        <v>12</v>
      </c>
    </row>
    <row r="4" spans="1:5" x14ac:dyDescent="0.25">
      <c r="A4" s="7" t="s">
        <v>14</v>
      </c>
      <c r="B4" s="13" t="s">
        <v>57</v>
      </c>
      <c r="C4" s="10">
        <v>0.5</v>
      </c>
      <c r="D4" s="6" t="s">
        <v>17</v>
      </c>
    </row>
    <row r="5" spans="1:5" x14ac:dyDescent="0.25">
      <c r="B5" s="13" t="s">
        <v>58</v>
      </c>
      <c r="C5" s="10">
        <v>0.75</v>
      </c>
      <c r="D5" s="6" t="s">
        <v>18</v>
      </c>
    </row>
    <row r="6" spans="1:5" x14ac:dyDescent="0.25">
      <c r="B6" s="13" t="s">
        <v>59</v>
      </c>
      <c r="C6" s="10">
        <v>0.9</v>
      </c>
      <c r="D6" s="6" t="s">
        <v>19</v>
      </c>
    </row>
    <row r="7" spans="1:5" x14ac:dyDescent="0.25">
      <c r="B7" s="13" t="s">
        <v>60</v>
      </c>
      <c r="C7" s="10">
        <v>1</v>
      </c>
      <c r="D7" s="6" t="s">
        <v>20</v>
      </c>
    </row>
    <row r="8" spans="1:5" x14ac:dyDescent="0.25">
      <c r="C8" s="10"/>
      <c r="D8" s="6" t="s">
        <v>23</v>
      </c>
    </row>
    <row r="9" spans="1:5" x14ac:dyDescent="0.25">
      <c r="D9" s="6" t="s">
        <v>21</v>
      </c>
    </row>
    <row r="10" spans="1:5" x14ac:dyDescent="0.25">
      <c r="D10" s="6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2C0E-9264-42BA-AE6A-2A9362CB1AC6}">
  <sheetPr>
    <tabColor rgb="FFFFFF00"/>
  </sheetPr>
  <dimension ref="A1:A22"/>
  <sheetViews>
    <sheetView zoomScale="120" zoomScaleNormal="120" workbookViewId="0">
      <selection activeCell="D11" sqref="D11"/>
    </sheetView>
  </sheetViews>
  <sheetFormatPr defaultRowHeight="15" x14ac:dyDescent="0.25"/>
  <cols>
    <col min="1" max="1" width="116.42578125" style="15" customWidth="1"/>
    <col min="2" max="16384" width="9.140625" style="15"/>
  </cols>
  <sheetData>
    <row r="1" spans="1:1" ht="54.75" customHeight="1" x14ac:dyDescent="0.25">
      <c r="A1" s="14" t="s">
        <v>35</v>
      </c>
    </row>
    <row r="2" spans="1:1" x14ac:dyDescent="0.25">
      <c r="A2" s="16" t="s">
        <v>36</v>
      </c>
    </row>
    <row r="3" spans="1:1" x14ac:dyDescent="0.25">
      <c r="A3" s="27" t="s">
        <v>50</v>
      </c>
    </row>
    <row r="4" spans="1:1" x14ac:dyDescent="0.25">
      <c r="A4" s="17" t="s">
        <v>37</v>
      </c>
    </row>
    <row r="5" spans="1:1" x14ac:dyDescent="0.25">
      <c r="A5" s="17" t="s">
        <v>51</v>
      </c>
    </row>
    <row r="7" spans="1:1" x14ac:dyDescent="0.25">
      <c r="A7" s="18" t="s">
        <v>38</v>
      </c>
    </row>
    <row r="8" spans="1:1" x14ac:dyDescent="0.25">
      <c r="A8" s="19" t="s">
        <v>39</v>
      </c>
    </row>
    <row r="9" spans="1:1" x14ac:dyDescent="0.25">
      <c r="A9" s="20" t="s">
        <v>40</v>
      </c>
    </row>
    <row r="10" spans="1:1" x14ac:dyDescent="0.25">
      <c r="A10" s="20"/>
    </row>
    <row r="11" spans="1:1" x14ac:dyDescent="0.25">
      <c r="A11" s="18" t="s">
        <v>52</v>
      </c>
    </row>
    <row r="12" spans="1:1" x14ac:dyDescent="0.25">
      <c r="A12" s="25" t="s">
        <v>53</v>
      </c>
    </row>
    <row r="13" spans="1:1" x14ac:dyDescent="0.25">
      <c r="A13" s="25" t="s">
        <v>54</v>
      </c>
    </row>
    <row r="14" spans="1:1" x14ac:dyDescent="0.25">
      <c r="A14" s="25" t="s">
        <v>55</v>
      </c>
    </row>
    <row r="15" spans="1:1" x14ac:dyDescent="0.25">
      <c r="A15" s="25" t="s">
        <v>56</v>
      </c>
    </row>
    <row r="16" spans="1:1" x14ac:dyDescent="0.25">
      <c r="A16" s="26"/>
    </row>
    <row r="17" spans="1:1" x14ac:dyDescent="0.25">
      <c r="A17" s="21" t="s">
        <v>41</v>
      </c>
    </row>
    <row r="18" spans="1:1" x14ac:dyDescent="0.25">
      <c r="A18" s="15" t="s">
        <v>42</v>
      </c>
    </row>
    <row r="19" spans="1:1" x14ac:dyDescent="0.25">
      <c r="A19" s="22" t="s">
        <v>43</v>
      </c>
    </row>
    <row r="21" spans="1:1" x14ac:dyDescent="0.25">
      <c r="A21" s="23" t="s">
        <v>44</v>
      </c>
    </row>
    <row r="22" spans="1:1" ht="30" x14ac:dyDescent="0.25">
      <c r="A22" s="24" t="s">
        <v>45</v>
      </c>
    </row>
  </sheetData>
  <hyperlinks>
    <hyperlink ref="A19" r:id="rId1" xr:uid="{C31C8D9D-F965-40EC-A1E7-1A481E588E9F}"/>
    <hyperlink ref="A1" r:id="rId2" xr:uid="{ABF49938-0E32-4F4B-AF33-8C3B70CA8C2B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Pipeline Activity</vt:lpstr>
      <vt:lpstr>Pipeline Calculations</vt:lpstr>
      <vt:lpstr>List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Keith Bradt</cp:lastModifiedBy>
  <dcterms:created xsi:type="dcterms:W3CDTF">2020-08-28T16:44:46Z</dcterms:created>
  <dcterms:modified xsi:type="dcterms:W3CDTF">2022-01-23T17:29:27Z</dcterms:modified>
</cp:coreProperties>
</file>