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eeps\Documents\Green Fortress Engineering\DOE\ERC - E.A.R.T.H. - Oldenburg\IUPUI - Lugar Center - Interns TEA\Tool Suite 11Jun24\"/>
    </mc:Choice>
  </mc:AlternateContent>
  <xr:revisionPtr revIDLastSave="0" documentId="13_ncr:1_{AF0270F7-6975-487E-B110-5D66FE22D562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Input" sheetId="5" r:id="rId1"/>
    <sheet name="System Sizing" sheetId="4" r:id="rId2"/>
    <sheet name="Cost" sheetId="6" r:id="rId3"/>
    <sheet name="Cost wo RE" sheetId="9" r:id="rId4"/>
    <sheet name="Optimization" sheetId="7" r:id="rId5"/>
  </sheets>
  <definedNames>
    <definedName name="solver_adj" localSheetId="4" hidden="1">Optimization!$E$18:$E$21</definedName>
    <definedName name="solver_cvg" localSheetId="0" hidden="1">0.0001</definedName>
    <definedName name="solver_cvg" localSheetId="4" hidden="1">0.0001</definedName>
    <definedName name="solver_drv" localSheetId="0" hidden="1">1</definedName>
    <definedName name="solver_drv" localSheetId="4" hidden="1">2</definedName>
    <definedName name="solver_eng" localSheetId="0" hidden="1">1</definedName>
    <definedName name="solver_eng" localSheetId="4" hidden="1">1</definedName>
    <definedName name="solver_est" localSheetId="4" hidden="1">1</definedName>
    <definedName name="solver_itr" localSheetId="0" hidden="1">2147483647</definedName>
    <definedName name="solver_itr" localSheetId="4" hidden="1">2147483647</definedName>
    <definedName name="solver_lhs1" localSheetId="4" hidden="1">Optimization!$E$18</definedName>
    <definedName name="solver_lhs2" localSheetId="4" hidden="1">Optimization!$E$19</definedName>
    <definedName name="solver_lhs3" localSheetId="4" hidden="1">Optimization!$E$20</definedName>
    <definedName name="solver_lhs4" localSheetId="4" hidden="1">Optimization!$E$21</definedName>
    <definedName name="solver_lhs5" localSheetId="4" hidden="1">Optimization!$L$18</definedName>
    <definedName name="solver_lhs6" localSheetId="4" hidden="1">Optimization!$M$20</definedName>
    <definedName name="solver_lin" localSheetId="0" hidden="1">2</definedName>
    <definedName name="solver_lin" localSheetId="4" hidden="1">2</definedName>
    <definedName name="solver_mip" localSheetId="0" hidden="1">2147483647</definedName>
    <definedName name="solver_mip" localSheetId="4" hidden="1">2147483647</definedName>
    <definedName name="solver_mni" localSheetId="0" hidden="1">30</definedName>
    <definedName name="solver_mni" localSheetId="4" hidden="1">30</definedName>
    <definedName name="solver_mrt" localSheetId="0" hidden="1">0.075</definedName>
    <definedName name="solver_mrt" localSheetId="4" hidden="1">0.075</definedName>
    <definedName name="solver_msl" localSheetId="0" hidden="1">2</definedName>
    <definedName name="solver_msl" localSheetId="4" hidden="1">2</definedName>
    <definedName name="solver_neg" localSheetId="0" hidden="1">1</definedName>
    <definedName name="solver_neg" localSheetId="4" hidden="1">1</definedName>
    <definedName name="solver_nod" localSheetId="0" hidden="1">2147483647</definedName>
    <definedName name="solver_nod" localSheetId="4" hidden="1">2147483647</definedName>
    <definedName name="solver_num" localSheetId="0" hidden="1">0</definedName>
    <definedName name="solver_num" localSheetId="4" hidden="1">5</definedName>
    <definedName name="solver_nwt" localSheetId="4" hidden="1">1</definedName>
    <definedName name="solver_opt" localSheetId="0" hidden="1">Input!$D$30</definedName>
    <definedName name="solver_opt" localSheetId="4" hidden="1">Optimization!$D$78</definedName>
    <definedName name="solver_pre" localSheetId="0" hidden="1">0.000001</definedName>
    <definedName name="solver_pre" localSheetId="4" hidden="1">0.000001</definedName>
    <definedName name="solver_rbv" localSheetId="0" hidden="1">1</definedName>
    <definedName name="solver_rbv" localSheetId="4" hidden="1">2</definedName>
    <definedName name="solver_rel1" localSheetId="4" hidden="1">1</definedName>
    <definedName name="solver_rel2" localSheetId="4" hidden="1">1</definedName>
    <definedName name="solver_rel3" localSheetId="4" hidden="1">1</definedName>
    <definedName name="solver_rel4" localSheetId="4" hidden="1">1</definedName>
    <definedName name="solver_rel5" localSheetId="4" hidden="1">1</definedName>
    <definedName name="solver_rel6" localSheetId="4" hidden="1">1</definedName>
    <definedName name="solver_rhs1" localSheetId="4" hidden="1">Optimization!$D$18</definedName>
    <definedName name="solver_rhs2" localSheetId="4" hidden="1">Optimization!$D$19</definedName>
    <definedName name="solver_rhs3" localSheetId="4" hidden="1">Optimization!$D$20</definedName>
    <definedName name="solver_rhs4" localSheetId="4" hidden="1">Optimization!$D$21</definedName>
    <definedName name="solver_rhs5" localSheetId="4" hidden="1">Optimization!$D$14</definedName>
    <definedName name="solver_rhs6" localSheetId="4" hidden="1">5000</definedName>
    <definedName name="solver_rlx" localSheetId="0" hidden="1">2</definedName>
    <definedName name="solver_rlx" localSheetId="4" hidden="1">2</definedName>
    <definedName name="solver_rsd" localSheetId="0" hidden="1">0</definedName>
    <definedName name="solver_rsd" localSheetId="4" hidden="1">0</definedName>
    <definedName name="solver_scl" localSheetId="0" hidden="1">1</definedName>
    <definedName name="solver_scl" localSheetId="4" hidden="1">2</definedName>
    <definedName name="solver_sho" localSheetId="0" hidden="1">2</definedName>
    <definedName name="solver_sho" localSheetId="4" hidden="1">2</definedName>
    <definedName name="solver_ssz" localSheetId="0" hidden="1">100</definedName>
    <definedName name="solver_ssz" localSheetId="4" hidden="1">100</definedName>
    <definedName name="solver_tim" localSheetId="0" hidden="1">2147483647</definedName>
    <definedName name="solver_tim" localSheetId="4" hidden="1">2147483647</definedName>
    <definedName name="solver_tol" localSheetId="0" hidden="1">0.01</definedName>
    <definedName name="solver_tol" localSheetId="4" hidden="1">0.01</definedName>
    <definedName name="solver_typ" localSheetId="0" hidden="1">1</definedName>
    <definedName name="solver_typ" localSheetId="4" hidden="1">1</definedName>
    <definedName name="solver_val" localSheetId="0" hidden="1">0</definedName>
    <definedName name="solver_val" localSheetId="4" hidden="1">0</definedName>
    <definedName name="solver_ver" localSheetId="0" hidden="1">2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D33" i="9"/>
  <c r="D32" i="9"/>
  <c r="D29" i="9"/>
  <c r="D28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AA23" i="9"/>
  <c r="AA25" i="9" s="1"/>
  <c r="Z23" i="9"/>
  <c r="Y23" i="9"/>
  <c r="X23" i="9"/>
  <c r="W23" i="9"/>
  <c r="V23" i="9"/>
  <c r="U23" i="9"/>
  <c r="T23" i="9"/>
  <c r="S23" i="9"/>
  <c r="S25" i="9" s="1"/>
  <c r="R23" i="9"/>
  <c r="Q23" i="9"/>
  <c r="P23" i="9"/>
  <c r="O23" i="9"/>
  <c r="N23" i="9"/>
  <c r="M23" i="9"/>
  <c r="L23" i="9"/>
  <c r="K23" i="9"/>
  <c r="K25" i="9" s="1"/>
  <c r="J23" i="9"/>
  <c r="I23" i="9"/>
  <c r="H23" i="9"/>
  <c r="AA18" i="9"/>
  <c r="Z18" i="9"/>
  <c r="Y18" i="9"/>
  <c r="X18" i="9"/>
  <c r="W18" i="9"/>
  <c r="D31" i="4"/>
  <c r="E19" i="4"/>
  <c r="D19" i="4"/>
  <c r="E33" i="7"/>
  <c r="E34" i="7" s="1"/>
  <c r="G20" i="7"/>
  <c r="I20" i="7" s="1"/>
  <c r="W47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J28" i="7"/>
  <c r="V47" i="7"/>
  <c r="U47" i="7"/>
  <c r="T47" i="7"/>
  <c r="S47" i="7"/>
  <c r="H21" i="7"/>
  <c r="G21" i="7"/>
  <c r="XFD1048551" i="7" a="1"/>
  <c r="XFD1048551" i="7" s="1"/>
  <c r="XFD1048552" i="7" a="1"/>
  <c r="XFD1048552" i="7" s="1"/>
  <c r="XFD1048553" i="7" a="1"/>
  <c r="XFD1048553" i="7" s="1"/>
  <c r="XFD1048554" i="7" a="1"/>
  <c r="XFD1048554" i="7" s="1"/>
  <c r="XFD1048555" i="7" a="1"/>
  <c r="XFD1048555" i="7" s="1"/>
  <c r="XFD1048556" i="7" a="1"/>
  <c r="XFD1048556" i="7" s="1"/>
  <c r="XFD1048557" i="7" a="1"/>
  <c r="XFD1048557" i="7" s="1"/>
  <c r="XFD1048558" i="7" a="1"/>
  <c r="XFD1048558" i="7" s="1"/>
  <c r="XFD1048559" i="7" a="1"/>
  <c r="XFD1048559" i="7" s="1"/>
  <c r="XFD1048560" i="7" a="1"/>
  <c r="XFD1048560" i="7" s="1"/>
  <c r="XFD1048561" i="7" a="1"/>
  <c r="XFD1048561" i="7" s="1"/>
  <c r="XFD1048562" i="7" a="1"/>
  <c r="XFD1048562" i="7" s="1"/>
  <c r="XFD1048563" i="7" a="1"/>
  <c r="XFD1048563" i="7" s="1"/>
  <c r="XFD1048564" i="7" a="1"/>
  <c r="XFD1048564" i="7" s="1"/>
  <c r="XFD1048565" i="7" a="1"/>
  <c r="XFD1048565" i="7" s="1"/>
  <c r="XFD1048566" i="7" a="1"/>
  <c r="XFD1048566" i="7" s="1"/>
  <c r="XFD1048567" i="7" a="1"/>
  <c r="XFD1048567" i="7" s="1"/>
  <c r="XFD1048568" i="7" a="1"/>
  <c r="XFD1048568" i="7" s="1"/>
  <c r="XFD1048569" i="7" a="1"/>
  <c r="XFD1048569" i="7" s="1"/>
  <c r="XFD1048570" i="7" a="1"/>
  <c r="XFD1048570" i="7" s="1"/>
  <c r="XFD1048571" i="7" a="1"/>
  <c r="XFD1048571" i="7" s="1"/>
  <c r="XFD1048572" i="7" a="1"/>
  <c r="XFD1048572" i="7" s="1"/>
  <c r="XFD1048573" i="7" a="1"/>
  <c r="XFD1048573" i="7" s="1"/>
  <c r="XFD1048574" i="7" a="1"/>
  <c r="XFD1048574" i="7" s="1"/>
  <c r="XFD1048575" i="7" a="1"/>
  <c r="XFD1048575" i="7" s="1"/>
  <c r="XFD1048576" i="7" a="1"/>
  <c r="XFD1048576" i="7" s="1"/>
  <c r="J22" i="7"/>
  <c r="H19" i="7"/>
  <c r="I19" i="7" s="1"/>
  <c r="F21" i="7"/>
  <c r="F18" i="7"/>
  <c r="D14" i="7"/>
  <c r="D13" i="7"/>
  <c r="D12" i="7"/>
  <c r="Y25" i="9" l="1"/>
  <c r="Y30" i="9" s="1"/>
  <c r="Y36" i="9" s="1"/>
  <c r="Z25" i="9"/>
  <c r="I25" i="9"/>
  <c r="J25" i="9"/>
  <c r="L25" i="9"/>
  <c r="L30" i="9" s="1"/>
  <c r="T25" i="9"/>
  <c r="T30" i="9" s="1"/>
  <c r="T36" i="9" s="1"/>
  <c r="U25" i="9"/>
  <c r="U30" i="9" s="1"/>
  <c r="U36" i="9" s="1"/>
  <c r="N25" i="9"/>
  <c r="V25" i="9"/>
  <c r="V30" i="9" s="1"/>
  <c r="V36" i="9" s="1"/>
  <c r="M25" i="9"/>
  <c r="M30" i="9" s="1"/>
  <c r="O25" i="9"/>
  <c r="N30" i="9"/>
  <c r="N36" i="9" s="1"/>
  <c r="O30" i="9"/>
  <c r="O36" i="9" s="1"/>
  <c r="I30" i="9"/>
  <c r="I36" i="9" s="1"/>
  <c r="Q25" i="9"/>
  <c r="Q30" i="9" s="1"/>
  <c r="Q36" i="9" s="1"/>
  <c r="W25" i="9"/>
  <c r="W30" i="9" s="1"/>
  <c r="W36" i="9" s="1"/>
  <c r="L36" i="9"/>
  <c r="M36" i="9"/>
  <c r="R25" i="9"/>
  <c r="R30" i="9" s="1"/>
  <c r="J30" i="9"/>
  <c r="Z30" i="9"/>
  <c r="H25" i="9"/>
  <c r="H30" i="9" s="1"/>
  <c r="P25" i="9"/>
  <c r="P30" i="9" s="1"/>
  <c r="X25" i="9"/>
  <c r="X30" i="9" s="1"/>
  <c r="K30" i="9"/>
  <c r="S30" i="9"/>
  <c r="AA30" i="9"/>
  <c r="K54" i="7"/>
  <c r="K59" i="7" s="1"/>
  <c r="K65" i="7" s="1"/>
  <c r="I54" i="7"/>
  <c r="I59" i="7" s="1"/>
  <c r="I65" i="7" s="1"/>
  <c r="U54" i="7"/>
  <c r="U59" i="7" s="1"/>
  <c r="U65" i="7" s="1"/>
  <c r="L54" i="7"/>
  <c r="L59" i="7" s="1"/>
  <c r="L65" i="7" s="1"/>
  <c r="J54" i="7"/>
  <c r="J59" i="7" s="1"/>
  <c r="J65" i="7" s="1"/>
  <c r="V54" i="7"/>
  <c r="V59" i="7" s="1"/>
  <c r="V65" i="7" s="1"/>
  <c r="M54" i="7"/>
  <c r="M59" i="7" s="1"/>
  <c r="M65" i="7" s="1"/>
  <c r="W54" i="7"/>
  <c r="W59" i="7" s="1"/>
  <c r="W65" i="7" s="1"/>
  <c r="N54" i="7"/>
  <c r="N59" i="7" s="1"/>
  <c r="N65" i="7" s="1"/>
  <c r="O54" i="7"/>
  <c r="O59" i="7" s="1"/>
  <c r="D54" i="7"/>
  <c r="D59" i="7" s="1"/>
  <c r="D65" i="7" s="1"/>
  <c r="P54" i="7"/>
  <c r="P59" i="7" s="1"/>
  <c r="G54" i="7"/>
  <c r="G59" i="7" s="1"/>
  <c r="G65" i="7" s="1"/>
  <c r="S54" i="7"/>
  <c r="S59" i="7" s="1"/>
  <c r="H54" i="7"/>
  <c r="H59" i="7" s="1"/>
  <c r="H65" i="7" s="1"/>
  <c r="T54" i="7"/>
  <c r="T59" i="7" s="1"/>
  <c r="Q54" i="7"/>
  <c r="Q59" i="7" s="1"/>
  <c r="F54" i="7"/>
  <c r="F59" i="7" s="1"/>
  <c r="R54" i="7"/>
  <c r="R59" i="7" s="1"/>
  <c r="E54" i="7"/>
  <c r="E59" i="7" s="1"/>
  <c r="I21" i="7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AA18" i="6"/>
  <c r="Z18" i="6"/>
  <c r="Y18" i="6"/>
  <c r="X18" i="6"/>
  <c r="W18" i="6"/>
  <c r="D33" i="6"/>
  <c r="D32" i="6"/>
  <c r="D21" i="4"/>
  <c r="D57" i="5"/>
  <c r="J20" i="7" s="1"/>
  <c r="K20" i="7" s="1"/>
  <c r="D56" i="5"/>
  <c r="J21" i="7" s="1"/>
  <c r="K21" i="7" s="1"/>
  <c r="D55" i="5"/>
  <c r="J19" i="7" s="1"/>
  <c r="K19" i="7" s="1"/>
  <c r="D54" i="5"/>
  <c r="J18" i="7" s="1"/>
  <c r="K18" i="7" s="1"/>
  <c r="D35" i="4"/>
  <c r="D10" i="4"/>
  <c r="F10" i="4" s="1"/>
  <c r="D11" i="4"/>
  <c r="F11" i="4" s="1"/>
  <c r="D63" i="5"/>
  <c r="D9" i="5"/>
  <c r="D30" i="5"/>
  <c r="D32" i="4"/>
  <c r="D17" i="4" l="1"/>
  <c r="G18" i="7"/>
  <c r="K22" i="7"/>
  <c r="L18" i="7" s="1"/>
  <c r="M20" i="7" s="1"/>
  <c r="R36" i="9"/>
  <c r="X36" i="9"/>
  <c r="P36" i="9"/>
  <c r="AA36" i="9"/>
  <c r="H36" i="9"/>
  <c r="S36" i="9"/>
  <c r="K36" i="9"/>
  <c r="Z36" i="9"/>
  <c r="J36" i="9"/>
  <c r="D21" i="7"/>
  <c r="D23" i="4"/>
  <c r="J27" i="7"/>
  <c r="D8" i="7"/>
  <c r="E8" i="7"/>
  <c r="H27" i="7" s="1"/>
  <c r="P65" i="7"/>
  <c r="T65" i="7"/>
  <c r="S65" i="7"/>
  <c r="R65" i="7"/>
  <c r="E65" i="7"/>
  <c r="F65" i="7"/>
  <c r="Q65" i="7"/>
  <c r="O65" i="7"/>
  <c r="AA25" i="6"/>
  <c r="AA30" i="6" s="1"/>
  <c r="D7" i="6"/>
  <c r="Y25" i="6"/>
  <c r="Y30" i="6" s="1"/>
  <c r="X25" i="6"/>
  <c r="X30" i="6" s="1"/>
  <c r="Z25" i="6"/>
  <c r="Z30" i="6" s="1"/>
  <c r="U25" i="6"/>
  <c r="U30" i="6" s="1"/>
  <c r="V25" i="6"/>
  <c r="V30" i="6" s="1"/>
  <c r="S25" i="6"/>
  <c r="S30" i="6" s="1"/>
  <c r="S36" i="6" s="1"/>
  <c r="T25" i="6"/>
  <c r="T30" i="6" s="1"/>
  <c r="R25" i="6"/>
  <c r="R30" i="6" s="1"/>
  <c r="K25" i="6"/>
  <c r="K30" i="6" s="1"/>
  <c r="K36" i="6" s="1"/>
  <c r="W25" i="6"/>
  <c r="W30" i="6" s="1"/>
  <c r="P25" i="6"/>
  <c r="P30" i="6" s="1"/>
  <c r="P36" i="6" s="1"/>
  <c r="Q25" i="6"/>
  <c r="M25" i="6"/>
  <c r="M30" i="6" s="1"/>
  <c r="M36" i="6" s="1"/>
  <c r="L25" i="6"/>
  <c r="L30" i="6" s="1"/>
  <c r="L36" i="6" s="1"/>
  <c r="N25" i="6"/>
  <c r="N30" i="6" s="1"/>
  <c r="N36" i="6" s="1"/>
  <c r="O25" i="6"/>
  <c r="O30" i="6" s="1"/>
  <c r="O36" i="6" s="1"/>
  <c r="H25" i="6"/>
  <c r="H30" i="6" s="1"/>
  <c r="H36" i="6" s="1"/>
  <c r="I25" i="6"/>
  <c r="I30" i="6" s="1"/>
  <c r="I36" i="6" s="1"/>
  <c r="J25" i="6"/>
  <c r="J30" i="6" s="1"/>
  <c r="J36" i="6" s="1"/>
  <c r="D36" i="4"/>
  <c r="D8" i="9" s="1"/>
  <c r="D30" i="4"/>
  <c r="D33" i="4"/>
  <c r="H33" i="4" s="1"/>
  <c r="J34" i="4" s="1"/>
  <c r="D20" i="9" s="1"/>
  <c r="D7" i="4"/>
  <c r="E27" i="4" l="1"/>
  <c r="D40" i="9"/>
  <c r="D18" i="7"/>
  <c r="K28" i="7"/>
  <c r="D33" i="7"/>
  <c r="G27" i="7"/>
  <c r="K27" i="7" s="1"/>
  <c r="F8" i="7"/>
  <c r="D77" i="7"/>
  <c r="D8" i="4"/>
  <c r="D7" i="7"/>
  <c r="D8" i="6"/>
  <c r="D20" i="7"/>
  <c r="Y36" i="6"/>
  <c r="Z36" i="6"/>
  <c r="AA36" i="6"/>
  <c r="W36" i="6"/>
  <c r="R36" i="6"/>
  <c r="V36" i="6"/>
  <c r="X36" i="6"/>
  <c r="U36" i="6"/>
  <c r="T36" i="6"/>
  <c r="H34" i="4"/>
  <c r="J33" i="4"/>
  <c r="D20" i="6" s="1"/>
  <c r="D29" i="6" s="1"/>
  <c r="Q30" i="6"/>
  <c r="Q36" i="6" s="1"/>
  <c r="D18" i="4"/>
  <c r="D20" i="4"/>
  <c r="D24" i="4"/>
  <c r="D36" i="7" l="1"/>
  <c r="M46" i="7" s="1"/>
  <c r="E7" i="7"/>
  <c r="H26" i="7" s="1"/>
  <c r="E28" i="4"/>
  <c r="D5" i="6"/>
  <c r="L50" i="7"/>
  <c r="D34" i="7"/>
  <c r="D37" i="7" s="1"/>
  <c r="T48" i="7"/>
  <c r="R48" i="7"/>
  <c r="H48" i="7"/>
  <c r="V48" i="7"/>
  <c r="K48" i="7"/>
  <c r="F48" i="7"/>
  <c r="W48" i="7"/>
  <c r="M48" i="7"/>
  <c r="E48" i="7"/>
  <c r="N48" i="7"/>
  <c r="P48" i="7"/>
  <c r="O48" i="7"/>
  <c r="Q48" i="7"/>
  <c r="L48" i="7"/>
  <c r="D48" i="7"/>
  <c r="S48" i="7"/>
  <c r="G48" i="7"/>
  <c r="U48" i="7"/>
  <c r="I48" i="7"/>
  <c r="J48" i="7"/>
  <c r="D40" i="6"/>
  <c r="AA21" i="6"/>
  <c r="Z21" i="6"/>
  <c r="Y21" i="6"/>
  <c r="W21" i="6"/>
  <c r="T21" i="6"/>
  <c r="U21" i="6"/>
  <c r="S21" i="6"/>
  <c r="R21" i="6"/>
  <c r="X21" i="6"/>
  <c r="V21" i="6"/>
  <c r="O21" i="6"/>
  <c r="I21" i="6"/>
  <c r="H21" i="6"/>
  <c r="P21" i="6"/>
  <c r="J21" i="6"/>
  <c r="L21" i="6"/>
  <c r="K21" i="6"/>
  <c r="M21" i="6"/>
  <c r="N21" i="6"/>
  <c r="Q21" i="6"/>
  <c r="D26" i="4"/>
  <c r="F7" i="7" l="1"/>
  <c r="H47" i="7"/>
  <c r="K47" i="7"/>
  <c r="J47" i="7"/>
  <c r="P47" i="7"/>
  <c r="O47" i="7"/>
  <c r="M47" i="7"/>
  <c r="L47" i="7"/>
  <c r="R47" i="7"/>
  <c r="N47" i="7"/>
  <c r="Q47" i="7"/>
  <c r="I47" i="7"/>
  <c r="U46" i="7"/>
  <c r="I46" i="7"/>
  <c r="P46" i="7"/>
  <c r="W46" i="7"/>
  <c r="E46" i="7"/>
  <c r="F46" i="7"/>
  <c r="S46" i="7"/>
  <c r="V46" i="7"/>
  <c r="G46" i="7"/>
  <c r="D46" i="7"/>
  <c r="K46" i="7"/>
  <c r="J46" i="7"/>
  <c r="O46" i="7"/>
  <c r="N46" i="7"/>
  <c r="H46" i="7"/>
  <c r="Q46" i="7"/>
  <c r="T46" i="7"/>
  <c r="R46" i="7"/>
  <c r="L46" i="7"/>
  <c r="U50" i="7"/>
  <c r="Q50" i="7"/>
  <c r="N50" i="7"/>
  <c r="P50" i="7"/>
  <c r="H50" i="7"/>
  <c r="G50" i="7"/>
  <c r="V50" i="7"/>
  <c r="I50" i="7"/>
  <c r="K50" i="7"/>
  <c r="E50" i="7"/>
  <c r="J50" i="7"/>
  <c r="D50" i="7"/>
  <c r="M50" i="7"/>
  <c r="S50" i="7"/>
  <c r="W50" i="7"/>
  <c r="R50" i="7"/>
  <c r="O50" i="7"/>
  <c r="F50" i="7"/>
  <c r="T50" i="7"/>
  <c r="D47" i="7"/>
  <c r="E47" i="7"/>
  <c r="F47" i="7"/>
  <c r="D38" i="7"/>
  <c r="G47" i="7"/>
  <c r="D27" i="4"/>
  <c r="H26" i="4" s="1"/>
  <c r="D28" i="4" l="1"/>
  <c r="H27" i="4" s="1"/>
  <c r="J27" i="4" s="1"/>
  <c r="D25" i="4"/>
  <c r="D6" i="6" l="1"/>
  <c r="D9" i="6" s="1"/>
  <c r="D10" i="6" s="1"/>
  <c r="D19" i="7"/>
  <c r="J26" i="4"/>
  <c r="J28" i="4" s="1"/>
  <c r="J30" i="4" s="1"/>
  <c r="D19" i="6" l="1"/>
  <c r="D19" i="9"/>
  <c r="D9" i="9"/>
  <c r="D10" i="9" s="1"/>
  <c r="I18" i="7"/>
  <c r="G26" i="7"/>
  <c r="K26" i="7" s="1"/>
  <c r="D14" i="6"/>
  <c r="AA19" i="6" s="1"/>
  <c r="H5" i="6"/>
  <c r="H6" i="6"/>
  <c r="H9" i="6" s="1"/>
  <c r="M18" i="6" s="1"/>
  <c r="H28" i="4"/>
  <c r="H30" i="4" s="1"/>
  <c r="K18" i="6" l="1"/>
  <c r="R18" i="6"/>
  <c r="S18" i="6"/>
  <c r="Q18" i="6"/>
  <c r="P18" i="6"/>
  <c r="O18" i="6"/>
  <c r="V18" i="6"/>
  <c r="N18" i="6"/>
  <c r="U18" i="6"/>
  <c r="T18" i="6"/>
  <c r="H8" i="6"/>
  <c r="T17" i="6" s="1"/>
  <c r="S20" i="6"/>
  <c r="D28" i="6"/>
  <c r="Z20" i="6"/>
  <c r="X20" i="6"/>
  <c r="W20" i="6"/>
  <c r="J20" i="6"/>
  <c r="I20" i="6"/>
  <c r="AA20" i="6"/>
  <c r="L20" i="6"/>
  <c r="R20" i="6"/>
  <c r="K20" i="6"/>
  <c r="T20" i="6"/>
  <c r="V20" i="6"/>
  <c r="Y20" i="6"/>
  <c r="U20" i="6"/>
  <c r="Q20" i="6"/>
  <c r="P20" i="6"/>
  <c r="N20" i="6"/>
  <c r="O20" i="6"/>
  <c r="H20" i="6"/>
  <c r="M20" i="6"/>
  <c r="H5" i="9"/>
  <c r="H8" i="9" s="1"/>
  <c r="D14" i="9"/>
  <c r="H6" i="9"/>
  <c r="H9" i="9" s="1"/>
  <c r="J19" i="6"/>
  <c r="O49" i="7"/>
  <c r="O57" i="7" s="1"/>
  <c r="L49" i="7"/>
  <c r="L57" i="7" s="1"/>
  <c r="R49" i="7"/>
  <c r="R57" i="7" s="1"/>
  <c r="S49" i="7"/>
  <c r="S57" i="7" s="1"/>
  <c r="J49" i="7"/>
  <c r="J57" i="7" s="1"/>
  <c r="G49" i="7"/>
  <c r="G57" i="7" s="1"/>
  <c r="N49" i="7"/>
  <c r="N57" i="7" s="1"/>
  <c r="P49" i="7"/>
  <c r="P57" i="7" s="1"/>
  <c r="K49" i="7"/>
  <c r="K57" i="7" s="1"/>
  <c r="E49" i="7"/>
  <c r="E57" i="7" s="1"/>
  <c r="T49" i="7"/>
  <c r="T57" i="7" s="1"/>
  <c r="H49" i="7"/>
  <c r="H57" i="7" s="1"/>
  <c r="W49" i="7"/>
  <c r="W57" i="7" s="1"/>
  <c r="F49" i="7"/>
  <c r="F57" i="7" s="1"/>
  <c r="M49" i="7"/>
  <c r="M57" i="7" s="1"/>
  <c r="V49" i="7"/>
  <c r="V57" i="7" s="1"/>
  <c r="Q49" i="7"/>
  <c r="Q57" i="7" s="1"/>
  <c r="I49" i="7"/>
  <c r="I57" i="7" s="1"/>
  <c r="D49" i="7"/>
  <c r="D57" i="7" s="1"/>
  <c r="U49" i="7"/>
  <c r="U57" i="7" s="1"/>
  <c r="N19" i="6"/>
  <c r="L19" i="6"/>
  <c r="D27" i="6"/>
  <c r="W19" i="6"/>
  <c r="K19" i="6"/>
  <c r="D34" i="6"/>
  <c r="D35" i="6" s="1"/>
  <c r="Z19" i="6"/>
  <c r="Y19" i="6"/>
  <c r="R19" i="6"/>
  <c r="S19" i="6"/>
  <c r="T19" i="6"/>
  <c r="V19" i="6"/>
  <c r="D26" i="6"/>
  <c r="P19" i="6"/>
  <c r="U19" i="6"/>
  <c r="M19" i="6"/>
  <c r="Q19" i="6"/>
  <c r="H19" i="6"/>
  <c r="I19" i="6"/>
  <c r="J18" i="6"/>
  <c r="X19" i="6"/>
  <c r="I18" i="6"/>
  <c r="H10" i="6"/>
  <c r="L18" i="6"/>
  <c r="H18" i="6"/>
  <c r="O19" i="6"/>
  <c r="U17" i="6" l="1"/>
  <c r="T18" i="9"/>
  <c r="Q18" i="9"/>
  <c r="P18" i="9"/>
  <c r="N18" i="9"/>
  <c r="S18" i="9"/>
  <c r="O18" i="9"/>
  <c r="M18" i="9"/>
  <c r="R18" i="9"/>
  <c r="V18" i="9"/>
  <c r="U18" i="9"/>
  <c r="K17" i="6"/>
  <c r="K28" i="6" s="1"/>
  <c r="K32" i="6" s="1"/>
  <c r="L17" i="6"/>
  <c r="L28" i="6" s="1"/>
  <c r="L32" i="6" s="1"/>
  <c r="AA17" i="6"/>
  <c r="P17" i="6"/>
  <c r="P28" i="6" s="1"/>
  <c r="P32" i="6" s="1"/>
  <c r="Q17" i="6"/>
  <c r="Q28" i="6" s="1"/>
  <c r="Q34" i="6" s="1"/>
  <c r="Q38" i="6" s="1"/>
  <c r="N17" i="6"/>
  <c r="N28" i="6" s="1"/>
  <c r="N34" i="6" s="1"/>
  <c r="N38" i="6" s="1"/>
  <c r="J17" i="6"/>
  <c r="J28" i="6" s="1"/>
  <c r="J32" i="6" s="1"/>
  <c r="Z17" i="6"/>
  <c r="Z28" i="6" s="1"/>
  <c r="Z34" i="6" s="1"/>
  <c r="Z38" i="6" s="1"/>
  <c r="O17" i="6"/>
  <c r="O28" i="6" s="1"/>
  <c r="O32" i="6" s="1"/>
  <c r="M17" i="6"/>
  <c r="M28" i="6" s="1"/>
  <c r="V17" i="6"/>
  <c r="V28" i="6" s="1"/>
  <c r="V34" i="6" s="1"/>
  <c r="V38" i="6" s="1"/>
  <c r="T28" i="6"/>
  <c r="T34" i="6" s="1"/>
  <c r="T38" i="6" s="1"/>
  <c r="W17" i="6"/>
  <c r="W28" i="6" s="1"/>
  <c r="W32" i="6" s="1"/>
  <c r="R17" i="6"/>
  <c r="R28" i="6" s="1"/>
  <c r="R34" i="6" s="1"/>
  <c r="R38" i="6" s="1"/>
  <c r="S17" i="6"/>
  <c r="S28" i="6" s="1"/>
  <c r="S32" i="6" s="1"/>
  <c r="D25" i="6"/>
  <c r="D30" i="6" s="1"/>
  <c r="D37" i="6" s="1"/>
  <c r="I17" i="6"/>
  <c r="I28" i="6" s="1"/>
  <c r="I32" i="6" s="1"/>
  <c r="Y17" i="6"/>
  <c r="Y28" i="6" s="1"/>
  <c r="Y32" i="6" s="1"/>
  <c r="X17" i="6"/>
  <c r="X28" i="6" s="1"/>
  <c r="X34" i="6" s="1"/>
  <c r="X38" i="6" s="1"/>
  <c r="H17" i="6"/>
  <c r="H28" i="6" s="1"/>
  <c r="H32" i="6" s="1"/>
  <c r="AA28" i="6"/>
  <c r="AA34" i="6" s="1"/>
  <c r="AA38" i="6" s="1"/>
  <c r="U28" i="6"/>
  <c r="U34" i="6" s="1"/>
  <c r="U38" i="6" s="1"/>
  <c r="D26" i="9"/>
  <c r="H10" i="9"/>
  <c r="I18" i="9"/>
  <c r="K18" i="9"/>
  <c r="H18" i="9"/>
  <c r="J18" i="9"/>
  <c r="L18" i="9"/>
  <c r="I19" i="9"/>
  <c r="J19" i="9"/>
  <c r="P19" i="9"/>
  <c r="W19" i="9"/>
  <c r="D27" i="9"/>
  <c r="V19" i="9"/>
  <c r="S19" i="9"/>
  <c r="D34" i="9"/>
  <c r="Z19" i="9"/>
  <c r="R19" i="9"/>
  <c r="O19" i="9"/>
  <c r="Q19" i="9"/>
  <c r="X19" i="9"/>
  <c r="AA19" i="9"/>
  <c r="N19" i="9"/>
  <c r="K19" i="9"/>
  <c r="L19" i="9"/>
  <c r="M19" i="9"/>
  <c r="H19" i="9"/>
  <c r="T19" i="9"/>
  <c r="U19" i="9"/>
  <c r="Y19" i="9"/>
  <c r="U17" i="9"/>
  <c r="U28" i="9" s="1"/>
  <c r="AA17" i="9"/>
  <c r="AA28" i="9" s="1"/>
  <c r="D25" i="9"/>
  <c r="J17" i="9"/>
  <c r="Y17" i="9"/>
  <c r="Y28" i="9" s="1"/>
  <c r="O17" i="9"/>
  <c r="M17" i="9"/>
  <c r="S17" i="9"/>
  <c r="S28" i="9" s="1"/>
  <c r="N17" i="9"/>
  <c r="N28" i="9" s="1"/>
  <c r="R17" i="9"/>
  <c r="I17" i="9"/>
  <c r="X17" i="9"/>
  <c r="X28" i="9" s="1"/>
  <c r="P17" i="9"/>
  <c r="P28" i="9" s="1"/>
  <c r="T17" i="9"/>
  <c r="T28" i="9" s="1"/>
  <c r="L17" i="9"/>
  <c r="Z17" i="9"/>
  <c r="Z28" i="9" s="1"/>
  <c r="K17" i="9"/>
  <c r="Q17" i="9"/>
  <c r="V17" i="9"/>
  <c r="V28" i="9" s="1"/>
  <c r="H17" i="9"/>
  <c r="W17" i="9"/>
  <c r="W28" i="9" s="1"/>
  <c r="P63" i="7"/>
  <c r="P67" i="7" s="1"/>
  <c r="P61" i="7"/>
  <c r="D61" i="7"/>
  <c r="D63" i="7"/>
  <c r="N63" i="7"/>
  <c r="N67" i="7" s="1"/>
  <c r="N61" i="7"/>
  <c r="I63" i="7"/>
  <c r="I67" i="7" s="1"/>
  <c r="I61" i="7"/>
  <c r="G63" i="7"/>
  <c r="G67" i="7" s="1"/>
  <c r="G61" i="7"/>
  <c r="J63" i="7"/>
  <c r="J67" i="7" s="1"/>
  <c r="J61" i="7"/>
  <c r="F63" i="7"/>
  <c r="F67" i="7" s="1"/>
  <c r="F61" i="7"/>
  <c r="L63" i="7"/>
  <c r="L67" i="7" s="1"/>
  <c r="L61" i="7"/>
  <c r="W63" i="7"/>
  <c r="W67" i="7" s="1"/>
  <c r="W61" i="7"/>
  <c r="O61" i="7"/>
  <c r="O63" i="7"/>
  <c r="O67" i="7" s="1"/>
  <c r="H63" i="7"/>
  <c r="H67" i="7" s="1"/>
  <c r="H61" i="7"/>
  <c r="T61" i="7"/>
  <c r="T63" i="7"/>
  <c r="T67" i="7" s="1"/>
  <c r="E63" i="7"/>
  <c r="E67" i="7" s="1"/>
  <c r="E61" i="7"/>
  <c r="K63" i="7"/>
  <c r="K67" i="7" s="1"/>
  <c r="K61" i="7"/>
  <c r="U63" i="7"/>
  <c r="U67" i="7" s="1"/>
  <c r="U61" i="7"/>
  <c r="Q63" i="7"/>
  <c r="Q67" i="7" s="1"/>
  <c r="Q61" i="7"/>
  <c r="V63" i="7"/>
  <c r="V67" i="7" s="1"/>
  <c r="V61" i="7"/>
  <c r="S63" i="7"/>
  <c r="S67" i="7" s="1"/>
  <c r="S61" i="7"/>
  <c r="M63" i="7"/>
  <c r="M67" i="7" s="1"/>
  <c r="M61" i="7"/>
  <c r="R63" i="7"/>
  <c r="R67" i="7" s="1"/>
  <c r="R61" i="7"/>
  <c r="Q28" i="9" l="1"/>
  <c r="T32" i="6"/>
  <c r="V32" i="6"/>
  <c r="M28" i="9"/>
  <c r="O28" i="9"/>
  <c r="R28" i="9"/>
  <c r="M34" i="6"/>
  <c r="M38" i="6" s="1"/>
  <c r="M32" i="6"/>
  <c r="I28" i="9"/>
  <c r="I34" i="9" s="1"/>
  <c r="I38" i="9" s="1"/>
  <c r="Z32" i="6"/>
  <c r="Q32" i="6"/>
  <c r="AA32" i="6"/>
  <c r="X32" i="6"/>
  <c r="S34" i="6"/>
  <c r="S38" i="6" s="1"/>
  <c r="P34" i="6"/>
  <c r="P38" i="6" s="1"/>
  <c r="U32" i="6"/>
  <c r="W34" i="6"/>
  <c r="W38" i="6" s="1"/>
  <c r="Y34" i="6"/>
  <c r="Y38" i="6" s="1"/>
  <c r="O34" i="6"/>
  <c r="O38" i="6" s="1"/>
  <c r="R32" i="6"/>
  <c r="N32" i="6"/>
  <c r="K34" i="6"/>
  <c r="K38" i="6" s="1"/>
  <c r="D30" i="9"/>
  <c r="D37" i="9" s="1"/>
  <c r="K28" i="9"/>
  <c r="K32" i="9" s="1"/>
  <c r="H34" i="6"/>
  <c r="H38" i="6" s="1"/>
  <c r="H40" i="6" s="1"/>
  <c r="V32" i="9"/>
  <c r="V34" i="9"/>
  <c r="V38" i="9" s="1"/>
  <c r="Q34" i="9"/>
  <c r="Q38" i="9" s="1"/>
  <c r="Q32" i="9"/>
  <c r="R34" i="9"/>
  <c r="R38" i="9" s="1"/>
  <c r="R32" i="9"/>
  <c r="AA34" i="9"/>
  <c r="AA38" i="9" s="1"/>
  <c r="AA32" i="9"/>
  <c r="D35" i="9"/>
  <c r="U34" i="9"/>
  <c r="U38" i="9" s="1"/>
  <c r="U32" i="9"/>
  <c r="T32" i="9"/>
  <c r="T34" i="9"/>
  <c r="T38" i="9" s="1"/>
  <c r="O34" i="9"/>
  <c r="O38" i="9" s="1"/>
  <c r="O32" i="9"/>
  <c r="L28" i="9"/>
  <c r="W34" i="9"/>
  <c r="W38" i="9" s="1"/>
  <c r="W32" i="9"/>
  <c r="P34" i="9"/>
  <c r="P38" i="9" s="1"/>
  <c r="P32" i="9"/>
  <c r="Y32" i="9"/>
  <c r="Y34" i="9"/>
  <c r="Y38" i="9" s="1"/>
  <c r="N32" i="9"/>
  <c r="N34" i="9"/>
  <c r="N38" i="9" s="1"/>
  <c r="Z34" i="9"/>
  <c r="Z38" i="9" s="1"/>
  <c r="Z32" i="9"/>
  <c r="S34" i="9"/>
  <c r="S38" i="9" s="1"/>
  <c r="S32" i="9"/>
  <c r="M34" i="9"/>
  <c r="M38" i="9" s="1"/>
  <c r="M32" i="9"/>
  <c r="H28" i="9"/>
  <c r="X34" i="9"/>
  <c r="X38" i="9" s="1"/>
  <c r="X32" i="9"/>
  <c r="J28" i="9"/>
  <c r="I34" i="6"/>
  <c r="I38" i="6" s="1"/>
  <c r="L34" i="6"/>
  <c r="L38" i="6" s="1"/>
  <c r="J34" i="6"/>
  <c r="J38" i="6" s="1"/>
  <c r="D67" i="7"/>
  <c r="D76" i="7"/>
  <c r="D78" i="7" s="1"/>
  <c r="I32" i="9" l="1"/>
  <c r="K34" i="9"/>
  <c r="K38" i="9" s="1"/>
  <c r="I40" i="6"/>
  <c r="H32" i="9"/>
  <c r="H34" i="9"/>
  <c r="J34" i="9"/>
  <c r="J38" i="9" s="1"/>
  <c r="J32" i="9"/>
  <c r="W40" i="6"/>
  <c r="L32" i="9"/>
  <c r="L34" i="9"/>
  <c r="L38" i="9" s="1"/>
  <c r="M40" i="6"/>
  <c r="Q40" i="6"/>
  <c r="V40" i="6"/>
  <c r="P40" i="6"/>
  <c r="I69" i="7"/>
  <c r="W69" i="7"/>
  <c r="N69" i="7"/>
  <c r="R69" i="7"/>
  <c r="G69" i="7"/>
  <c r="O69" i="7"/>
  <c r="S69" i="7"/>
  <c r="P69" i="7"/>
  <c r="H69" i="7"/>
  <c r="D69" i="7"/>
  <c r="T69" i="7"/>
  <c r="Q69" i="7"/>
  <c r="V69" i="7"/>
  <c r="M69" i="7"/>
  <c r="L69" i="7"/>
  <c r="U69" i="7"/>
  <c r="E69" i="7"/>
  <c r="J69" i="7"/>
  <c r="K69" i="7"/>
  <c r="F69" i="7"/>
  <c r="L40" i="6"/>
  <c r="J40" i="6"/>
  <c r="X40" i="6"/>
  <c r="N40" i="6"/>
  <c r="R40" i="6"/>
  <c r="O40" i="6"/>
  <c r="K40" i="6"/>
  <c r="T40" i="6"/>
  <c r="Z40" i="6"/>
  <c r="Y40" i="6"/>
  <c r="AA40" i="6"/>
  <c r="D39" i="6"/>
  <c r="D41" i="6"/>
  <c r="U40" i="6"/>
  <c r="S40" i="6"/>
  <c r="G44" i="6" l="1"/>
  <c r="D42" i="6" a="1"/>
  <c r="D42" i="6" s="1"/>
  <c r="E79" i="7" a="1"/>
  <c r="E79" i="7" s="1"/>
  <c r="D79" i="7" s="1"/>
  <c r="H38" i="9"/>
  <c r="D39" i="9"/>
  <c r="V40" i="9" l="1"/>
  <c r="D41" i="9"/>
  <c r="W40" i="9"/>
  <c r="T40" i="9"/>
  <c r="O40" i="9"/>
  <c r="K40" i="9"/>
  <c r="Z40" i="9"/>
  <c r="AA40" i="9"/>
  <c r="Q40" i="9"/>
  <c r="X40" i="9"/>
  <c r="P40" i="9"/>
  <c r="S40" i="9"/>
  <c r="N40" i="9"/>
  <c r="R40" i="9"/>
  <c r="I40" i="9"/>
  <c r="J40" i="9"/>
  <c r="U40" i="9"/>
  <c r="M40" i="9"/>
  <c r="H40" i="9"/>
  <c r="L40" i="9"/>
  <c r="Y40" i="9"/>
  <c r="G45" i="6" l="1"/>
  <c r="D42" i="9" a="1"/>
  <c r="D4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tc={C5018E4D-CAA1-477B-A487-786D13238CE9}</author>
    <author>tc={9BF1924C-7283-4A8A-AF20-B0BBFA6FD3AB}</author>
    <author>tc={BE0A88BA-C877-4B53-8CE5-51B3843A4EA2}</author>
    <author>tc={820C24FE-FD40-4422-B649-A306A32C0CD7}</author>
    <author>tc={5CB6FACF-25F8-4D8E-8C7B-C2BBECFC46B7}</author>
    <author>tc={34C18DAA-87D1-483A-97C9-34B42E326B53}</author>
  </authors>
  <commentList>
    <comment ref="D29" authorId="0" shapeId="0" xr:uid="{C5018E4D-CAA1-477B-A487-786D13238CE9}">
      <text>
        <t>[Threaded comment]
Your version of Excel allows you to read this threaded comment; however, any edits to it will get removed if the file is opened in a newer version of Excel. Learn more: https://go.microsoft.com/fwlink/?linkid=870924
Comment:
    Banks prefer 15-20% up-front equity.</t>
      </text>
    </comment>
    <comment ref="D31" authorId="1" shapeId="0" xr:uid="{9BF1924C-7283-4A8A-AF20-B0BBFA6FD3A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https://tradethatswing.com/average-historical-stock-market-returns-for-sp-500-5-year-up-to-150-year-averages/</t>
      </text>
    </comment>
    <comment ref="D33" authorId="2" shapeId="0" xr:uid="{BE0A88BA-C877-4B53-8CE5-51B3843A4EA2}">
      <text>
        <t>[Threaded comment]
Your version of Excel allows you to read this threaded comment; however, any edits to it will get removed if the file is opened in a newer version of Excel. Learn more: https://go.microsoft.com/fwlink/?linkid=870924
Comment:
    Similar to mortgage rates in June 2024</t>
      </text>
    </comment>
    <comment ref="D34" authorId="3" shapeId="0" xr:uid="{820C24FE-FD40-4422-B649-A306A32C0CD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about the longest a rural bank will consider, and is rational given both the typical ROI for R.E. and the guarantee for solar which is 30 years typically.</t>
      </text>
    </comment>
    <comment ref="D48" authorId="4" shapeId="0" xr:uid="{5CB6FACF-25F8-4D8E-8C7B-C2BBECFC46B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https://www.forentrepreneurs.com/discount-rate-for-dcf/
Reply:
    https://mercercapital.com/article/understand-the-discount-rate-used-in-a-business-valuation/</t>
      </text>
    </comment>
    <comment ref="D49" authorId="5" shapeId="0" xr:uid="{34C18DAA-87D1-483A-97C9-34B42E326B53}">
      <text>
        <t>[Threaded comment]
Your version of Excel allows you to read this threaded comment; however, any edits to it will get removed if the file is opened in a newer version of Excel. Learn more: https://go.microsoft.com/fwlink/?linkid=870924
Comment:
    40% requires stacking multiple incentives, such as local labor rates and US-mfg.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<sst xmlns="http://schemas.openxmlformats.org/spreadsheetml/2006/main" count="676" uniqueCount="314">
  <si>
    <t>kW</t>
  </si>
  <si>
    <t>kWh</t>
  </si>
  <si>
    <t>V</t>
  </si>
  <si>
    <t>Battery</t>
  </si>
  <si>
    <t>USD</t>
  </si>
  <si>
    <t>%</t>
  </si>
  <si>
    <t>Payback period</t>
  </si>
  <si>
    <t>Value</t>
  </si>
  <si>
    <t>Unit</t>
  </si>
  <si>
    <t>Parameter</t>
  </si>
  <si>
    <t>BTU</t>
  </si>
  <si>
    <t>sq. ft</t>
  </si>
  <si>
    <t>Amount of daily kitchen waste generated</t>
  </si>
  <si>
    <t>kg</t>
  </si>
  <si>
    <t>years</t>
  </si>
  <si>
    <t>Interest rate</t>
  </si>
  <si>
    <t>$/gallon</t>
  </si>
  <si>
    <t>Project life</t>
  </si>
  <si>
    <t>$/kWh</t>
  </si>
  <si>
    <t>Price of propane</t>
  </si>
  <si>
    <t>Efficiency of solar PV system (solar ==&gt; load)</t>
  </si>
  <si>
    <t>Efficiency of Biomass to electricity</t>
  </si>
  <si>
    <t>Efficiency of Biomass to heat</t>
  </si>
  <si>
    <t>$</t>
  </si>
  <si>
    <t>$/kW</t>
  </si>
  <si>
    <t>$/ton</t>
  </si>
  <si>
    <t>Average day time operational hour</t>
  </si>
  <si>
    <t>Average night time operational hour</t>
  </si>
  <si>
    <t>hr</t>
  </si>
  <si>
    <t>System Sizing</t>
  </si>
  <si>
    <t>Average heating load</t>
  </si>
  <si>
    <t>BTU/1000 sq. ft.</t>
  </si>
  <si>
    <t>Battery bank voltage</t>
  </si>
  <si>
    <t>#</t>
  </si>
  <si>
    <t>Efficiency of battery (round-trip AC efficiency)</t>
  </si>
  <si>
    <t>Intital Cost of Solar PV system Installation (before incentive)</t>
  </si>
  <si>
    <t>Average land/roof area required for solar installations</t>
  </si>
  <si>
    <t>sq. ft./ kW</t>
  </si>
  <si>
    <t>ton</t>
  </si>
  <si>
    <t>Available land for geothermal installation (length)</t>
  </si>
  <si>
    <t>ft</t>
  </si>
  <si>
    <t>Available land for geothermal installation (width)</t>
  </si>
  <si>
    <t>Average perimeter of geothermal loop</t>
  </si>
  <si>
    <t>ft/ton</t>
  </si>
  <si>
    <t>Available  land perimeter for geothermal installation</t>
  </si>
  <si>
    <t>Max possible geothermal capacity</t>
  </si>
  <si>
    <t xml:space="preserve">Biomass energy </t>
  </si>
  <si>
    <t>MJ/kg</t>
  </si>
  <si>
    <t>Maximum CAPEX budget</t>
  </si>
  <si>
    <t>Cost of Solar PV system installation</t>
  </si>
  <si>
    <t>Cost of Battery bank installation</t>
  </si>
  <si>
    <t>Cost of geothermal system installation</t>
  </si>
  <si>
    <t>Cost of biomass system installation</t>
  </si>
  <si>
    <t>CAPEX</t>
  </si>
  <si>
    <t>Biomass system generator size</t>
  </si>
  <si>
    <t>Biomass generator operational time</t>
  </si>
  <si>
    <t>hour</t>
  </si>
  <si>
    <t>Total CAPEX</t>
  </si>
  <si>
    <t>O&amp;M</t>
  </si>
  <si>
    <t>Discount rate</t>
  </si>
  <si>
    <t>Equity</t>
  </si>
  <si>
    <t>Debt</t>
  </si>
  <si>
    <t>Number of installments per year</t>
  </si>
  <si>
    <t>Equity amount</t>
  </si>
  <si>
    <t>Debt amount</t>
  </si>
  <si>
    <t>Debt payback period</t>
  </si>
  <si>
    <t>Monthly Electric Bill (yearly average)</t>
  </si>
  <si>
    <t>Monthly heating fuel Bill (yearly average)</t>
  </si>
  <si>
    <t>Lifetme cost for new hybrid system</t>
  </si>
  <si>
    <t>Yearly O&amp;M cost (% of CAPEX)</t>
  </si>
  <si>
    <t>Price of natural gas</t>
  </si>
  <si>
    <t>$/1000 c ft</t>
  </si>
  <si>
    <t>Natural gas energy</t>
  </si>
  <si>
    <t>BTU/c. ft.</t>
  </si>
  <si>
    <t xml:space="preserve">USD </t>
  </si>
  <si>
    <t>Monthly equity return amount</t>
  </si>
  <si>
    <t>Monthly debt installment amount</t>
  </si>
  <si>
    <t>Lifetme cost for equity return</t>
  </si>
  <si>
    <t>Lifetme cost for debt installments</t>
  </si>
  <si>
    <t>Lifetme cost for electrical energy unmet from hybrid system</t>
  </si>
  <si>
    <t>Lifetme cost for heating energy unmet from hybrid system</t>
  </si>
  <si>
    <t>Monthly heating fuel Bill (winter peak)</t>
  </si>
  <si>
    <t>Lifetime cost for existing electrical system</t>
  </si>
  <si>
    <t>Lifetime cost for existing heating system</t>
  </si>
  <si>
    <t>Lifetime net savings</t>
  </si>
  <si>
    <t>Cash Flow Analysis</t>
  </si>
  <si>
    <t>Particulars</t>
  </si>
  <si>
    <t>Equity return</t>
  </si>
  <si>
    <t>Debt service</t>
  </si>
  <si>
    <t>Grid electricity</t>
  </si>
  <si>
    <t>Heating fuel</t>
  </si>
  <si>
    <t xml:space="preserve">Enter your location 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</si>
  <si>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</si>
  <si>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</si>
  <si>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</si>
  <si>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</si>
  <si>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</si>
  <si>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</si>
  <si>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</si>
  <si>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</si>
  <si>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</si>
  <si>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</si>
  <si>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Indiana</t>
  </si>
  <si>
    <t>Iowa</t>
  </si>
  <si>
    <t>Kansas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</si>
  <si>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</si>
  <si>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</si>
  <si>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</si>
  <si>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</si>
  <si>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</si>
  <si>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</si>
  <si>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</si>
  <si>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</si>
  <si>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</si>
  <si>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</si>
  <si>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New Jersey</t>
  </si>
  <si>
    <t>New Mexico</t>
  </si>
  <si>
    <t>New York</t>
  </si>
  <si>
    <t>North Carolina</t>
  </si>
  <si>
    <t>North Dakota</t>
  </si>
  <si>
    <t>South Carolina</t>
  </si>
  <si>
    <t>South Dakota</t>
  </si>
  <si>
    <t>Tennessee</t>
  </si>
  <si>
    <t>Texas</t>
  </si>
  <si>
    <t>Utah</t>
  </si>
  <si>
    <t>Virginia</t>
  </si>
  <si>
    <t>West Virginia</t>
  </si>
  <si>
    <t>Wisconsin</t>
  </si>
  <si>
    <t>Wyoming</t>
  </si>
  <si>
    <t>State</t>
  </si>
  <si>
    <t>Federal Incentive for green energy installation</t>
  </si>
  <si>
    <t xml:space="preserve">O&amp;M cost </t>
  </si>
  <si>
    <t>PSH</t>
  </si>
  <si>
    <t>Year</t>
  </si>
  <si>
    <t>Total benefits</t>
  </si>
  <si>
    <t>Net benefits</t>
  </si>
  <si>
    <t>O&amp;M of existing system</t>
  </si>
  <si>
    <t>Lifetime cost for O&amp;M of existing system</t>
  </si>
  <si>
    <t>Lifetme cost for existing system</t>
  </si>
  <si>
    <t>Toal interest+principal amount</t>
  </si>
  <si>
    <t>Federal credit</t>
  </si>
  <si>
    <t>Price of electricity purchased from grid</t>
  </si>
  <si>
    <t>Price of electricity sold to grid</t>
  </si>
  <si>
    <t>Daily heating load (yearly peak)</t>
  </si>
  <si>
    <t>Daily heating load (yearly average)</t>
  </si>
  <si>
    <t>Max possible daily heating energy from geothermal</t>
  </si>
  <si>
    <t>Yes</t>
  </si>
  <si>
    <t>No</t>
  </si>
  <si>
    <t>Required Size of Solar Panel (DC)</t>
  </si>
  <si>
    <t>Required Size of Inverter</t>
  </si>
  <si>
    <t>Required Size of battery bank</t>
  </si>
  <si>
    <t>Installed solar PV size</t>
  </si>
  <si>
    <t>Possible solar PV size</t>
  </si>
  <si>
    <t>Day time energy served from installed solar PV</t>
  </si>
  <si>
    <t>Night time energy served from installed battery</t>
  </si>
  <si>
    <t>Electricity from biomass (day time)</t>
  </si>
  <si>
    <t>bi 20</t>
  </si>
  <si>
    <t>Efficiency of natural gas furnace</t>
  </si>
  <si>
    <t>Net-Metering</t>
  </si>
  <si>
    <t>Net annual energy from grid</t>
  </si>
  <si>
    <t>Total CAPEX optimize!</t>
  </si>
  <si>
    <t>Net Present Value</t>
  </si>
  <si>
    <t>Required area for solar installation</t>
  </si>
  <si>
    <t>Available area for solar installation</t>
  </si>
  <si>
    <t>Enter how many hours of day time operation does your facility/building have.</t>
  </si>
  <si>
    <t>Enter how many hours of night time operation does your facility/building have.</t>
  </si>
  <si>
    <t>Enter how much available land or rooftop area you can allocate to install solar panels.</t>
  </si>
  <si>
    <t>Enter how much available land you can allocate to install geothermal heating system.</t>
  </si>
  <si>
    <t>Enter 0 if you do not  have kitechen waste or not interested to install a biomass system.</t>
  </si>
  <si>
    <t>Enter your maxmimum budget allocated for installing hybrid RE system.</t>
  </si>
  <si>
    <t>Enter the percentage of your budget that you can spend from your own money.</t>
  </si>
  <si>
    <t>General Instructions:</t>
  </si>
  <si>
    <t>2. Read the instructions for better understanding while providing inputs.</t>
  </si>
  <si>
    <t>Do not alter the value of Debt%. It is automatically calculated based on your Equity% input.</t>
  </si>
  <si>
    <t xml:space="preserve">1. Modify the value of blue cells only. Don't alter the values of the other cells. </t>
  </si>
  <si>
    <t xml:space="preserve">Do you want battery bank to meet night time load? </t>
  </si>
  <si>
    <t>Inputs</t>
  </si>
  <si>
    <t>Assumptions</t>
  </si>
  <si>
    <t>3. Do not change the data in the Assumptions section unless you are absolutely sure.</t>
  </si>
  <si>
    <t>Enter how many years of project commitment you intend to make. Higher the project life, higher is your benefit.</t>
  </si>
  <si>
    <t>Enter the bank interest reate you have been offered on your bank loan (debt amount).</t>
  </si>
  <si>
    <t>Enter the number of installments you will be paying each year.</t>
  </si>
  <si>
    <t>Return on Equity (ROE)</t>
  </si>
  <si>
    <t>Do not alter the value of ROE. This is a standrard return you can expect on your equity.</t>
  </si>
  <si>
    <t>Enter your monthly maximum electric bill here. This is usually the maxmimum electric bill you have during summer.</t>
  </si>
  <si>
    <t>Enter your monthly  maximum heating fuel bill here. This is usually the maxmimum heating bill you have during winter.</t>
  </si>
  <si>
    <t>Enter your monthly average heating fuel  bill here. This is the amount you spend for heating fuel on an average.</t>
  </si>
  <si>
    <t>Enter your monthly average electric bill here. This is the amount you spend for electricity on an average.</t>
  </si>
  <si>
    <t>Daily electrical energy consumption (yearly peak)</t>
  </si>
  <si>
    <t>Daily electrical energy consumption (yearly average)</t>
  </si>
  <si>
    <t>Day time electrical energy consumption (yearly average)</t>
  </si>
  <si>
    <t>Night time electrical energy consumption (yearly average)</t>
  </si>
  <si>
    <t>1. Please do not try to alter any formula or cell values in this sheet.</t>
  </si>
  <si>
    <t>Building area for heating</t>
  </si>
  <si>
    <t xml:space="preserve">sq. ft. </t>
  </si>
  <si>
    <t>Enter the space area of your building.</t>
  </si>
  <si>
    <t>Battery Choice</t>
  </si>
  <si>
    <t>Daily energy from served from installed solar PV (yearly average)</t>
  </si>
  <si>
    <t>Required perimeter of horizontal geothermal loop</t>
  </si>
  <si>
    <t>Day time electrical energy taken from grid</t>
  </si>
  <si>
    <t>Net Daily energy taken from grid</t>
  </si>
  <si>
    <t>Night time electrical energy taken from grid</t>
  </si>
  <si>
    <t>Daily heating energy from heating fuel</t>
  </si>
  <si>
    <t>Initial Cost of Battery Installation (before incentive)</t>
  </si>
  <si>
    <t>Intital Cost of Geothermal  system Installation (before incentive)</t>
  </si>
  <si>
    <t>Intital Cost of Biomass system Installation (before incentive)</t>
  </si>
  <si>
    <t xml:space="preserve">Miscellenious cost (% of CAPEX) </t>
  </si>
  <si>
    <t>Intital Cost of Solar PV system Installation (After incentive)</t>
  </si>
  <si>
    <t>Initial Cost of Battery Installation (After incentive)</t>
  </si>
  <si>
    <t>Intital Cost of Geothermal  system Installation (After incentive)</t>
  </si>
  <si>
    <t>Intital Cost of Biomass system Installation (After incentive)</t>
  </si>
  <si>
    <t>Installed battery size</t>
  </si>
  <si>
    <t>Project Lifetime Cost</t>
  </si>
  <si>
    <t>Lifetme cost for O&amp;M of hybrid system</t>
  </si>
  <si>
    <t>Debt Service</t>
  </si>
  <si>
    <t>Grid Electricity and Heating Fuel</t>
  </si>
  <si>
    <t>Net annual cost of grid electricity</t>
  </si>
  <si>
    <t>Net annual cost of heating fuel</t>
  </si>
  <si>
    <t>Net annual energy heating fuel</t>
  </si>
  <si>
    <t>"+ve: grid&gt;home"</t>
  </si>
  <si>
    <t>"-ve: home&gt;grid"</t>
  </si>
  <si>
    <t>Discounted benefits</t>
  </si>
  <si>
    <t>Total discounted cost</t>
  </si>
  <si>
    <t>Total discounted benefit</t>
  </si>
  <si>
    <t>Total costs</t>
  </si>
  <si>
    <t>Discounted costs</t>
  </si>
  <si>
    <t>Cumulative Discounted cash flow</t>
  </si>
  <si>
    <t>Net present value (NPV)</t>
  </si>
  <si>
    <t>Enter your state by clicking on the cell C10 and choose from dropdown options. Cell D10 value will be updated automatically.</t>
  </si>
  <si>
    <t>Monthly electric Bill (yearly peak)</t>
  </si>
  <si>
    <t>Available land/rooftop area for solar installation</t>
  </si>
  <si>
    <t>sq. ft.</t>
  </si>
  <si>
    <t>Enter your choice by clicking on the cell C37 and choose from dropdown options.  If you want grid electricity to meet night time load enter "No".</t>
  </si>
  <si>
    <t>Enter how many years of debt payback period you have to pay off your loan. Lower the debt payback period, higher is your benefit.</t>
  </si>
  <si>
    <t>Cost</t>
  </si>
  <si>
    <t>Benefit</t>
  </si>
  <si>
    <t>Benefits (Existing system)</t>
  </si>
  <si>
    <t>Costs (Hybrid system)</t>
  </si>
  <si>
    <t>Discounted net benefits</t>
  </si>
  <si>
    <t>Size</t>
  </si>
  <si>
    <t>Unit Cost</t>
  </si>
  <si>
    <t>Total Cost</t>
  </si>
  <si>
    <t>Solar</t>
  </si>
  <si>
    <t>Geo</t>
  </si>
  <si>
    <t>Biomass</t>
  </si>
  <si>
    <t>a</t>
  </si>
  <si>
    <t>b</t>
  </si>
  <si>
    <t>c</t>
  </si>
  <si>
    <t>d</t>
  </si>
  <si>
    <t>p</t>
  </si>
  <si>
    <t>q</t>
  </si>
  <si>
    <t>r</t>
  </si>
  <si>
    <t>s</t>
  </si>
  <si>
    <t>p*a</t>
  </si>
  <si>
    <t>q*b</t>
  </si>
  <si>
    <t>r*c</t>
  </si>
  <si>
    <t>s*d</t>
  </si>
  <si>
    <t>pa+qb+rc+sd &lt; budget</t>
  </si>
  <si>
    <t>i)</t>
  </si>
  <si>
    <t>ii)</t>
  </si>
  <si>
    <t>electricity</t>
  </si>
  <si>
    <t>hybrid+grid&gt;=demand</t>
  </si>
  <si>
    <t>iii)</t>
  </si>
  <si>
    <t>heat</t>
  </si>
  <si>
    <t>hybrid+NG&gt;=demand</t>
  </si>
  <si>
    <t xml:space="preserve">Objective function: </t>
  </si>
  <si>
    <t>To maximize</t>
  </si>
  <si>
    <t>To minimze</t>
  </si>
  <si>
    <t>Night Energy</t>
  </si>
  <si>
    <t>Total</t>
  </si>
  <si>
    <t>Total Energy</t>
  </si>
  <si>
    <t>Electrical Energy</t>
  </si>
  <si>
    <t>Heating Energy</t>
  </si>
  <si>
    <t>Day</t>
  </si>
  <si>
    <t>Night</t>
  </si>
  <si>
    <t>Solar PV</t>
  </si>
  <si>
    <t>Geothermal</t>
  </si>
  <si>
    <t>Unit Cost ($/Unit)</t>
  </si>
  <si>
    <t>Required land</t>
  </si>
  <si>
    <t>Max Possible Size</t>
  </si>
  <si>
    <t>Available land/ rooftop area for solar PV</t>
  </si>
  <si>
    <t>sq.ft.</t>
  </si>
  <si>
    <t>ft.</t>
  </si>
  <si>
    <t>Available land perimeter for geothermal</t>
  </si>
  <si>
    <t>N/A</t>
  </si>
  <si>
    <t>Load Specification</t>
  </si>
  <si>
    <t>Optimizing System Size to meet CAPEX budget</t>
  </si>
  <si>
    <t xml:space="preserve"> InstallationCost ($)</t>
  </si>
  <si>
    <t>CAPEX ($)</t>
  </si>
  <si>
    <t>Yearly Cost ($)</t>
  </si>
  <si>
    <t>Grid Electricity</t>
  </si>
  <si>
    <t>Constraints</t>
  </si>
  <si>
    <t>within limited area</t>
  </si>
  <si>
    <t>Day Energy</t>
  </si>
  <si>
    <t>Miscellaneous cost</t>
  </si>
  <si>
    <t>Toal debt+equity amount</t>
  </si>
  <si>
    <t>Heating Fuel (NG)</t>
  </si>
  <si>
    <t>Cumulative Discounted cash flow with RE</t>
  </si>
  <si>
    <t>Discounted net benefits with RE</t>
  </si>
  <si>
    <t>Discounted benefits with RE</t>
  </si>
  <si>
    <t>Demand</t>
  </si>
  <si>
    <t>NPV with RE</t>
  </si>
  <si>
    <t>NPV without RE</t>
  </si>
  <si>
    <t>Higher the incentive, higher is your benefit.</t>
  </si>
  <si>
    <t>Discounted cost=Actual cost/(1+Discount rate/100)^year</t>
  </si>
  <si>
    <t>Equity + Return on equity</t>
  </si>
  <si>
    <t>Equity + ROE</t>
  </si>
  <si>
    <t>Size (Unit)</t>
  </si>
  <si>
    <t>Spare ($)</t>
  </si>
  <si>
    <t>2. For Mac PC: Go to "Tools" ----&gt; "Solver" ----&gt; Click Solve on the Solver Parameters window (Do not change any formula) -----&gt; Click OK on the Results window</t>
  </si>
  <si>
    <t>2. For Windows PC: Go to "Data" ----&gt; "Solver" ----&gt; Click Solve on the Solver Parameters window (Do not change any formula) -----&gt; Click OK on the Results window</t>
  </si>
  <si>
    <t>1. You need the "Solver" tool to run optimization. You can search "Solver" in the "Help" or "Search"tab. You can go to "Add-ins" and get "Solver".</t>
  </si>
  <si>
    <t>Important Instructions:</t>
  </si>
  <si>
    <t>PROJECT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</si>
</sst>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Year&quot;\ ##0"/>
    <numFmt numFmtId="167" formatCode="&quot;$&quot;#,##0.000"/>
    <numFmt numFmtId="168" formatCode="0.0"/>
    <numFmt numFmtId="169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1" fillId="5" borderId="6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6" borderId="1" xfId="0" applyFill="1" applyBorder="1"/>
    <xf numFmtId="164" fontId="0" fillId="0" borderId="1" xfId="0" applyNumberFormat="1" applyBorder="1"/>
    <xf numFmtId="164" fontId="0" fillId="6" borderId="1" xfId="0" applyNumberFormat="1" applyFill="1" applyBorder="1"/>
    <xf numFmtId="0" fontId="1" fillId="6" borderId="1" xfId="0" applyFont="1" applyFill="1" applyBorder="1" applyAlignment="1">
      <alignment horizontal="center"/>
    </xf>
    <xf numFmtId="164" fontId="0" fillId="2" borderId="0" xfId="0" applyNumberFormat="1" applyFill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168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8" fontId="1" fillId="0" borderId="1" xfId="0" applyNumberFormat="1" applyFont="1" applyBorder="1" applyAlignment="1">
      <alignment horizontal="center" vertical="center"/>
    </xf>
    <xf numFmtId="0" fontId="6" fillId="2" borderId="0" xfId="0" applyFont="1" applyFill="1"/>
    <xf numFmtId="168" fontId="1" fillId="2" borderId="1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6" fontId="1" fillId="2" borderId="0" xfId="0" applyNumberFormat="1" applyFont="1" applyFill="1" applyAlignment="1">
      <alignment horizontal="center"/>
    </xf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12" borderId="0" xfId="0" applyFill="1"/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/>
    <xf numFmtId="164" fontId="0" fillId="0" borderId="6" xfId="0" applyNumberFormat="1" applyBorder="1"/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/>
    <xf numFmtId="164" fontId="0" fillId="9" borderId="1" xfId="0" applyNumberFormat="1" applyFill="1" applyBorder="1"/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/>
    </xf>
    <xf numFmtId="169" fontId="0" fillId="7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 vertical="center"/>
    </xf>
    <xf numFmtId="0" fontId="0" fillId="7" borderId="0" xfId="0" applyFill="1"/>
    <xf numFmtId="0" fontId="1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6" xfId="0" applyFill="1" applyBorder="1"/>
    <xf numFmtId="0" fontId="1" fillId="1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0" fontId="0" fillId="11" borderId="0" xfId="0" applyFill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165" fontId="0" fillId="7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8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0" fillId="0" borderId="1" xfId="0" applyNumberFormat="1" applyBorder="1"/>
    <xf numFmtId="9" fontId="0" fillId="0" borderId="1" xfId="0" applyNumberFormat="1" applyBorder="1" applyAlignment="1">
      <alignment horizontal="right"/>
    </xf>
    <xf numFmtId="168" fontId="0" fillId="3" borderId="1" xfId="0" applyNumberForma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right" vertical="center"/>
    </xf>
    <xf numFmtId="9" fontId="4" fillId="6" borderId="1" xfId="0" applyNumberFormat="1" applyFont="1" applyFill="1" applyBorder="1" applyAlignment="1">
      <alignment horizontal="right"/>
    </xf>
    <xf numFmtId="168" fontId="4" fillId="6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right" vertical="center"/>
    </xf>
    <xf numFmtId="164" fontId="11" fillId="7" borderId="6" xfId="0" applyNumberFormat="1" applyFont="1" applyFill="1" applyBorder="1"/>
    <xf numFmtId="168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11" fillId="2" borderId="0" xfId="0" applyFont="1" applyFill="1"/>
    <xf numFmtId="164" fontId="11" fillId="7" borderId="1" xfId="0" applyNumberFormat="1" applyFont="1" applyFill="1" applyBorder="1"/>
    <xf numFmtId="0" fontId="0" fillId="13" borderId="0" xfId="0" applyFill="1"/>
    <xf numFmtId="0" fontId="4" fillId="6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vertical="center"/>
    </xf>
    <xf numFmtId="0" fontId="1" fillId="15" borderId="0" xfId="0" applyFont="1" applyFill="1" applyAlignment="1">
      <alignment vertical="center"/>
    </xf>
    <xf numFmtId="0" fontId="0" fillId="15" borderId="0" xfId="0" applyFill="1"/>
    <xf numFmtId="0" fontId="0" fillId="0" borderId="0" xfId="0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2"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Cost!$H$40:$AA$40</c:f>
              <c:numCache>
                <c:formatCode>"$"#,##0</c:formatCode>
                <c:ptCount val="20"/>
                <c:pt idx="0">
                  <c:v>-4821.1314041518363</c:v>
                </c:pt>
                <c:pt idx="1">
                  <c:v>-5382.8877598996505</c:v>
                </c:pt>
                <c:pt idx="2">
                  <c:v>-5884.4559346744845</c:v>
                </c:pt>
                <c:pt idx="3">
                  <c:v>-6332.2846621520148</c:v>
                </c:pt>
                <c:pt idx="4">
                  <c:v>-6732.131740256953</c:v>
                </c:pt>
                <c:pt idx="5">
                  <c:v>-7089.1380599935046</c:v>
                </c:pt>
                <c:pt idx="6">
                  <c:v>-7407.8937026154254</c:v>
                </c:pt>
                <c:pt idx="7">
                  <c:v>-7692.4969549564266</c:v>
                </c:pt>
                <c:pt idx="8">
                  <c:v>-7946.6070016894628</c:v>
                </c:pt>
                <c:pt idx="9">
                  <c:v>-8173.4909719868165</c:v>
                </c:pt>
                <c:pt idx="10">
                  <c:v>-8376.0659454665965</c:v>
                </c:pt>
                <c:pt idx="11">
                  <c:v>-8556.9364575021136</c:v>
                </c:pt>
                <c:pt idx="12">
                  <c:v>-8718.4279861052546</c:v>
                </c:pt>
                <c:pt idx="13">
                  <c:v>-8862.6168509294876</c:v>
                </c:pt>
                <c:pt idx="14">
                  <c:v>-8991.3569088082677</c:v>
                </c:pt>
                <c:pt idx="15">
                  <c:v>-8623.5499823678801</c:v>
                </c:pt>
                <c:pt idx="16">
                  <c:v>-8295.1509409032478</c:v>
                </c:pt>
                <c:pt idx="17">
                  <c:v>-8001.9375110241117</c:v>
                </c:pt>
                <c:pt idx="18">
                  <c:v>-7740.1398057748829</c:v>
                </c:pt>
                <c:pt idx="19">
                  <c:v>-7506.3918546595005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7-4936-B817-6AA4D90EC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392591"/>
        <c:axId val="1431399791"/>
      </c:areaChart>
      <c:catAx>
        <c:axId val="1431392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399791"/>
        <c:crosses val="autoZero"/>
        <c:auto val="1"/>
        <c:lblAlgn val="ctr"/>
        <c:lblOffset val="100"/>
        <c:noMultiLvlLbl val="0"/>
      </c:catAx>
      <c:valAx>
        <c:axId val="143139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392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Cost!$F$44:$F$45</c:f>
              <c:strCache>
                <c:ptCount val="2"/>
                <c:pt idx="0">
                  <c:v>NPV with RE</c:v>
                </c:pt>
                <c:pt idx="1">
                  <c:v>NPV without RE</c:v>
                </c:pt>
              </c:strCache>
            </c:strRef>
          </c:cat>
          <c:val>
            <c:numRef>
              <c:f>Cost!$G$44:$G$45</c:f>
              <c:numCache>
                <c:formatCode>"$"#,##0</c:formatCode>
                <c:ptCount val="2"/>
                <c:pt idx="0">
                  <c:v>-7506.3918546595005</c:v>
                </c:pt>
                <c:pt idx="1">
                  <c:v>1233.3545312489719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6-A84C-AB7D-3DAB17D2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1109008"/>
        <c:axId val="1482163824"/>
      </c:barChart>
      <c:catAx>
        <c:axId val="19111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163824"/>
        <c:crosses val="autoZero"/>
        <c:auto val="1"/>
        <c:lblAlgn val="ctr"/>
        <c:lblOffset val="100"/>
        <c:noMultiLvlLbl val="0"/>
      </c:catAx>
      <c:valAx>
        <c:axId val="148216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1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'Cost wo RE'!$H$40:$AA$40</c:f>
              <c:numCache>
                <c:formatCode>"$"#,##0</c:formatCode>
                <c:ptCount val="20"/>
                <c:pt idx="0">
                  <c:v>147.42857142857156</c:v>
                </c:pt>
                <c:pt idx="1">
                  <c:v>279.06122448979613</c:v>
                </c:pt>
                <c:pt idx="2">
                  <c:v>396.59037900874637</c:v>
                </c:pt>
                <c:pt idx="3">
                  <c:v>501.52712411495213</c:v>
                </c:pt>
                <c:pt idx="4">
                  <c:v>595.22064653120697</c:v>
                </c:pt>
                <c:pt idx="5">
                  <c:v>678.87557726000614</c:v>
                </c:pt>
                <c:pt idx="6">
                  <c:v>753.56747969643402</c:v>
                </c:pt>
                <c:pt idx="7">
                  <c:v>820.25667830038742</c:v>
                </c:pt>
                <c:pt idx="8">
                  <c:v>879.80060562534595</c:v>
                </c:pt>
                <c:pt idx="9">
                  <c:v>932.96482645120159</c:v>
                </c:pt>
                <c:pt idx="10">
                  <c:v>980.43288076000135</c:v>
                </c:pt>
                <c:pt idx="11">
                  <c:v>1022.815072107144</c:v>
                </c:pt>
                <c:pt idx="12">
                  <c:v>1060.6563143813785</c:v>
                </c:pt>
                <c:pt idx="13">
                  <c:v>1094.4431378405166</c:v>
                </c:pt>
                <c:pt idx="14">
                  <c:v>1124.6099445004611</c:v>
                </c:pt>
                <c:pt idx="15">
                  <c:v>1151.544593303983</c:v>
                </c:pt>
                <c:pt idx="16">
                  <c:v>1175.593386878556</c:v>
                </c:pt>
                <c:pt idx="17">
                  <c:v>1197.0655239987107</c:v>
                </c:pt>
                <c:pt idx="18">
                  <c:v>1216.2370749988486</c:v>
                </c:pt>
                <c:pt idx="19">
                  <c:v>1233.3545312489719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4-994F-92B9-1C12FB18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392591"/>
        <c:axId val="1431399791"/>
      </c:areaChart>
      <c:catAx>
        <c:axId val="1431392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399791"/>
        <c:crosses val="autoZero"/>
        <c:auto val="1"/>
        <c:lblAlgn val="ctr"/>
        <c:lblOffset val="100"/>
        <c:noMultiLvlLbl val="0"/>
      </c:catAx>
      <c:valAx>
        <c:axId val="143139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392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Discounted 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Optimization!$B$69</c:f>
              <c:strCache>
                <c:ptCount val="1"/>
                <c:pt idx="0">
                  <c:v>Cumulative Discounted cash flow with 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Optimization!$C$69:$W$69</c:f>
              <c:numCache>
                <c:formatCode>"$"#,##0</c:formatCode>
                <c:ptCount val="21"/>
                <c:pt idx="1">
                  <c:v>-1847.2418009202047</c:v>
                </c:pt>
                <c:pt idx="2">
                  <c:v>-1591.8029349283797</c:v>
                </c:pt>
                <c:pt idx="3">
                  <c:v>-1363.7325188642508</c:v>
                </c:pt>
                <c:pt idx="4">
                  <c:v>-1160.098218806992</c:v>
                </c:pt>
                <c:pt idx="5">
                  <c:v>-978.28187947015431</c:v>
                </c:pt>
                <c:pt idx="6">
                  <c:v>-815.94586220512042</c:v>
                </c:pt>
                <c:pt idx="7">
                  <c:v>-671.00298964705462</c:v>
                </c:pt>
                <c:pt idx="8">
                  <c:v>-541.58971057735312</c:v>
                </c:pt>
                <c:pt idx="9">
                  <c:v>-426.04213997940519</c:v>
                </c:pt>
                <c:pt idx="10">
                  <c:v>-322.87466623123737</c:v>
                </c:pt>
                <c:pt idx="11">
                  <c:v>-230.76085038465908</c:v>
                </c:pt>
                <c:pt idx="12">
                  <c:v>-148.51637195021408</c:v>
                </c:pt>
                <c:pt idx="13">
                  <c:v>-75.083801919459688</c:v>
                </c:pt>
                <c:pt idx="14">
                  <c:v>-9.5190072491432147</c:v>
                </c:pt>
                <c:pt idx="15">
                  <c:v>49.020987992210735</c:v>
                </c:pt>
                <c:pt idx="16">
                  <c:v>346.97620225437072</c:v>
                </c:pt>
                <c:pt idx="17">
                  <c:v>613.00764355987076</c:v>
                </c:pt>
                <c:pt idx="18">
                  <c:v>850.53571615406725</c:v>
                </c:pt>
                <c:pt idx="19">
                  <c:v>1062.6143523988856</c:v>
                </c:pt>
                <c:pt idx="20">
                  <c:v>1251.9702776174731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F-4E5D-AC33-1ED4F6E66496}"/>
            </c:ext>
          </c:extLst>
        </c:ser>
        <c:ser>
          <c:idx val="1"/>
          <c:order val="1"/>
          <c:tx>
            <c:strRef>
              <c:f>Optimization!$B$70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Optimization!$C$70:$W$70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82AF-4E5D-AC33-1ED4F6E66496}"/>
            </c:ext>
          </c:extLst>
        </c:ser>
        <c:ser>
          <c:idx val="2"/>
          <c:order val="2"/>
          <c:tx>
            <c:strRef>
              <c:f>Optimization!$B$73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Optimization!$C$73:$W$73</c:f>
              <c:numCache>
                <c:formatCode>General</c:formatCode>
                <c:ptCount val="2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F-4E5D-AC33-1ED4F6E66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825599"/>
        <c:axId val="1570833279"/>
      </c:areaChart>
      <c:catAx>
        <c:axId val="157082559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833279"/>
        <c:crosses val="autoZero"/>
        <c:auto val="1"/>
        <c:lblAlgn val="ctr"/>
        <c:lblOffset val="100"/>
        <c:noMultiLvlLbl val="0"/>
      </c:catAx>
      <c:valAx>
        <c:axId val="157083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8255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804297</xdr:colOff>
      <xdr:row>35</xdr:row>
      <xdr:rowOff>55562</xdr:rowOff>
    </xdr:from>
    <xdr:to>
      <xdr:col>7</xdr:col>
      <xdr:colOff>497897</xdr:colOff>
      <xdr:row>48</xdr:row>
      <xdr:rowOff>12683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541BAC-00D6-A239-A167-2B8A46029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8797" y="7270750"/>
          <a:ext cx="4154476" cy="2624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332221</xdr:colOff>
      <xdr:row>45</xdr:row>
      <xdr:rowOff>179532</xdr:rowOff>
    </xdr:from>
    <xdr:to>
      <xdr:col>3</xdr:col>
      <xdr:colOff>510021</xdr:colOff>
      <xdr:row>60</xdr:row>
      <xdr:rowOff>109104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A8399A-7699-990A-0684-C2E1EBF2F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488517</xdr:colOff>
      <xdr:row>45</xdr:row>
      <xdr:rowOff>179820</xdr:rowOff>
    </xdr:from>
    <xdr:to>
      <xdr:col>6</xdr:col>
      <xdr:colOff>1661823</xdr:colOff>
      <xdr:row>60</xdr:row>
      <xdr:rowOff>65520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944802-7507-9745-D219-9C4827D98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288925</xdr:colOff>
      <xdr:row>42</xdr:row>
      <xdr:rowOff>165100</xdr:rowOff>
    </xdr:from>
    <xdr:to>
      <xdr:col>3</xdr:col>
      <xdr:colOff>466725</xdr:colOff>
      <xdr:row>56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891A69-37BA-6D42-BB3A-2DFC2A84E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165100</xdr:rowOff>
    </xdr:from>
    <xdr:to>
      <xdr:col>4</xdr:col>
      <xdr:colOff>28575</xdr:colOff>
      <xdr:row>94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2B6671-00E3-A062-B7F1-5B9048617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ter Schubert" id="{9AB0B8E1-0959-4C1D-9217-6263457FA910}" userId="5193f6106769381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24-06-05T15:55:04.09" personId="{9AB0B8E1-0959-4C1D-9217-6263457FA910}" id="{C5018E4D-CAA1-477B-A487-786D13238CE9}">
    <text>Banks prefer 15-20% up-front equity.</text>
  </threadedComment>
  <threadedComment ref="D31" dT="2024-06-05T13:55:03.91" personId="{9AB0B8E1-0959-4C1D-9217-6263457FA910}" id="{9BF1924C-7283-4A8A-AF20-B0BBFA6FD3AB}">
    <text>https://tradethatswing.com/average-historical-stock-market-returns-for-sp-500-5-year-up-to-150-year-averages/</text>
    <extLst>
      <x:ext xmlns:xltc2="http://schemas.microsoft.com/office/spreadsheetml/2020/threadedcomments2" uri="{F7C98A9C-CBB3-438F-8F68-D28B6AF4A901}">
        <xltc2:checksum>4255051860</xltc2:checksum>
        <xltc2:hyperlink startIndex="0" length="109" url="https://tradethatswing.com/average-historical-stock-market-returns-for-sp-500-5-year-up-to-150-year-averages/"/>
      </x:ext>
    </extLst>
  </threadedComment>
  <threadedComment ref="D33" dT="2024-06-05T13:55:25.46" personId="{9AB0B8E1-0959-4C1D-9217-6263457FA910}" id="{BE0A88BA-C877-4B53-8CE5-51B3843A4EA2}">
    <text>Similar to mortgage rates in June 2024</text>
  </threadedComment>
  <threadedComment ref="D34" dT="2024-06-05T15:50:55.32" personId="{9AB0B8E1-0959-4C1D-9217-6263457FA910}" id="{820C24FE-FD40-4422-B649-A306A32C0CD7}">
    <text>This is about the longest a rural bank will consider, and is rational given both the typical ROI for R.E. and the guarantee for solar which is 30 years typically.</text>
  </threadedComment>
  <threadedComment ref="D48" dT="2024-06-05T15:48:41.04" personId="{9AB0B8E1-0959-4C1D-9217-6263457FA910}" id="{5CB6FACF-25F8-4D8E-8C7B-C2BBECFC46B7}">
    <text>https://www.forentrepreneurs.com/discount-rate-for-dcf/</text>
    <extLst>
      <x:ext xmlns:xltc2="http://schemas.microsoft.com/office/spreadsheetml/2020/threadedcomments2" uri="{F7C98A9C-CBB3-438F-8F68-D28B6AF4A901}">
        <xltc2:checksum>923893615</xltc2:checksum>
        <xltc2:hyperlink startIndex="0" length="55" url="https://www.forentrepreneurs.com/discount-rate-for-dcf/"/>
      </x:ext>
    </extLst>
  </threadedComment>
  <threadedComment ref="D48" dT="2024-06-05T15:49:27.29" personId="{9AB0B8E1-0959-4C1D-9217-6263457FA910}" id="{FFB642F8-DAC3-46A2-A4DE-1A006D9E169B}" parentId="{5CB6FACF-25F8-4D8E-8C7B-C2BBECFC46B7}">
    <text>https://mercercapital.com/article/understand-the-discount-rate-used-in-a-business-valuation/</text>
    <extLst>
      <x:ext xmlns:xltc2="http://schemas.microsoft.com/office/spreadsheetml/2020/threadedcomments2" uri="{F7C98A9C-CBB3-438F-8F68-D28B6AF4A901}">
        <xltc2:checksum>2224547459</xltc2:checksum>
        <xltc2:hyperlink startIndex="0" length="92" url="https://mercercapital.com/article/understand-the-discount-rate-used-in-a-business-valuation/"/>
      </x:ext>
    </extLst>
  </threadedComment>
  <threadedComment ref="D49" dT="2024-06-05T15:56:32.38" personId="{9AB0B8E1-0959-4C1D-9217-6263457FA910}" id="{34C18DAA-87D1-483A-97C9-34B42E326B53}">
    <text>40% requires stacking multiple incentives, such as local labor rates and US-mfg.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3875B97-CD20-4CF9-B80C-156305AB9AF2}">
  <we:reference id="wa104100404" version="3.0.0.1" store="en-US" storeType="OMEX"/>
  <we:alternateReferences>
    <we:reference id="wa104100404" version="3.0.0.1" store="WA104100404" storeType="OMEX"/>
  </we:alternateReferences>
  <we:properties>
    <we:property name="UniqueID" value="&quot;20243251714069055832&quot;"/>
    <we:property name="ejcAHTdZKjIQKi0GeR4aD0MiBis/Xjc=" value="&quot;chUz&quot;"/>
    <we:property name="ejcAHTdZKjIQKi0GeR4aD0MiBis0RCI=" value="&quot;Bw==&quot;"/>
    <we:property name="ejcAHTdZKjIQKi0GeR4aD0MiBis0RT0=" value="&quot;DQ==&quot;"/>
    <we:property name="ejcAHTdZKjIQKi0GeR4aD0MiBis0VTc=" value="&quot;BA==&quot;"/>
    <we:property name="ejcAHTdZKjIQKi0GeR4aD0MiBis2QCA=" value="&quot;BQ==&quot;"/>
    <we:property name="ejcAHTdZKjIQKi0GeR4aD0MiBis2QCQ=" value="&quot;BQ==&quot;"/>
    <we:property name="ejcAHTdZKjIQKi0GeR4aD0MiBis2WCNg" value="&quot;EQ9QRW0bdBtAcntDfCVRUQA=&quot;"/>
    <we:property name="ejcAHTdZKjIQKi0GeR4aD0MiBis2WCNh" value="&quot;EQBQRW0bdBRAcntDfCpRUQA=&quot;"/>
    <we:property name="ejcAHTdZKjIQKi0GeR4aD0MiBis2WCNi" value="&quot;EQtQRmg=&quot;"/>
    <we:property name="ejcAHTdZKjIQKi0GeR4aD0MiBis2WCNk" value="&quot;EQJQRWM=&quot;"/>
    <we:property name="ejcAHTdZKjIQKi0GeR4aD0MiBis2WCNl" value="&quot;EQJQRWI=&quot;"/>
    <we:property name="ejcAHTdZKjIQKi0GeR4aD0MiBis2WCNm" value="&quot;EQJQRW0=&quot;"/>
    <we:property name="ejcAHTdZKjIQKi0GeR4aD0MiBis2WCNn" value="&quot;EQ5QRmobdBpAcXQ=&quot;"/>
    <we:property name="ejcAHTdZKjIQKi0GeR4aD0MiBis2WCNr" value="&quot;EQJQRmo=&quot;"/>
    <we:property name="ejcAHTdZKjIQKi0GeR4aD0MiBis3QiQ=" value="&quot;BWlEQ28=&quot;"/>
    <we:property name="ejcAHTdZKjIQKi0GeR4aD0MiBis3Qzw=" value="&quot;BQ==&quot;"/>
    <we:property name="ejcAHTdZKjIQKi0GeR4aD0MiBis3VSQ=" value="&quot;Bw==&quot;"/>
    <we:property name="ejcAHTdZKjIQKi0GeR4aD0MiBis3Xjk=" value="&quot;Bnc=&quot;"/>
    <we:property name="ejcAHTdZKjIQKi0GeR4aD0MiBis5Rjc=" value="&quot;BWlERGoB&quot;"/>
    <we:property name="ejcAHTdZKjIQKi0GeR4aD0MiBis7QiM=" value="&quot;BA==&quot;"/>
    <we:property name="ejcAHTdZKjIQKi0GeR4aD0MiBis7UzM=" value="&quot;BWlERGs=&quot;"/>
    <we:property name="ejcAHTdZKjIQKi0GeR4aD0MiBis8VTE=" value="&quot;BWlERGoAYGI=&quot;"/>
    <we:property name="ejcAHTdZKjIQKi0GeR4aD0MiBis9USA=" value="&quot;BWlERGoAYGI=&quot;"/>
    <we:property name="ejcAHTdZKjIQKi0GeR4aD0MiBisoQzQ=" value="&quot;BQ==&quot;"/>
    <we:property name="ejcAHTdZKjIQKi0GeR4aD0MiBisoUiY=" value="&quot;BA==&quot;"/>
    <we:property name="ejcAHTdZKjIQKi0GeR4aD0MiBisoVSM=" value="&quot;AA==&quot;"/>
    <we:property name="ejcAHTdZKjIQKi0GeR4aD0MiBisoVTxg" value="&quot;FXlJVA==&quot;"/>
    <we:property name="ejcAHTdZKjIQKi0GeR4aD0MiBisoVTxh" value="&quot;FXlJVA==&quot;"/>
    <we:property name="ejcAHTdZKjIQKi0GeR4aD0MiBisoVTxi" value="&quot;FXtJVA==&quot;"/>
    <we:property name="ejcAHTdZKjIQKi0GeR4aD0MiBisoVTxk" value="&quot;FXtJVA==&quot;"/>
    <we:property name="ejcAHTdZKjIQKi0GeR4aD0MiBisoVTxl" value="&quot;FXtJVA==&quot;"/>
    <we:property name="ejcAHTdZKjIQKi0GeR4aD0MiBisoVTxm" value="&quot;FXtJVA==&quot;"/>
    <we:property name="ejcAHTdZKjIQKi0GeR4aD0MiBisoVTxn" value="&quot;FXlJVA==&quot;"/>
    <we:property name="ejcAHTdZKjIQKi0GeR4aD0MiBisoVTxr" value="&quot;FXtJVA==&quot;"/>
    <we:property name="ejcAHTdZKjIQKi0GeR4aD0MiBisoWCNg" value="&quot;EQJQQg==&quot;"/>
    <we:property name="ejcAHTdZKjIQKi0GeR4aD0MiBisoWCNh" value="&quot;EQNQQg==&quot;"/>
    <we:property name="ejcAHTdZKjIQKi0GeR4aD0MiBisoWCNi" value="&quot;EQNQRWk=&quot;"/>
    <we:property name="ejcAHTdZKjIQKi0GeR4aD0MiBisoWCNk" value="&quot;EQNQRWM=&quot;"/>
    <we:property name="ejcAHTdZKjIQKi0GeR4aD0MiBisoWCNl" value="&quot;EQNQRWI=&quot;"/>
    <we:property name="ejcAHTdZKjIQKi0GeR4aD0MiBisoWCNm" value="&quot;EQNQRW0=&quot;"/>
    <we:property name="ejcAHTdZKjIQKi0GeR4aD0MiBisoWCNn" value="&quot;EQFQQw==&quot;"/>
    <we:property name="ejcAHTdZKjIQKi0GeR4aD0MiBisoWCNr" value="&quot;EQNQRmo=&quot;"/>
    <we:property name="ejcAHTdZKjIQKi0GeR4aD0MiBisoXCg=" value="&quot;BQ==&quot;"/>
    <we:property name="ejcAHTdZKjIQKi0GeR4aD0MiBispQyo=" value="&quot;BHdE&quot;"/>
    <we:property name="ejcAHTdZKjIQKi0GeR4aD0MiBispRDE=" value="&quot;BQ==&quot;"/>
    <we:property name="ejcAHTdZKjIQKi0GeR4aD0MiBispUzw=" value="&quot;BA==&quot;"/>
    <we:property name="ejcAHTdZKjIQKi0GeR4aD0MiBispXzM=" value="&quot;BQ==&quot;"/>
    <we:property name="ejcAHTdZKjIQKi0GeR4aD0MiBisqQjU=" value="&quot;BWlERGoAYGI=&quot;"/>
    <we:property name="ejcAHTdZKjIQKi0GeR4aD0MiBisuXzw=" value="&quot;BWlERQ==&quot;"/>
    <we:property name="ejcAHTdZKjIQKi0GeR4aD0MiBiszQCM=" value="&quot;BWlNTQ==&quot;"/>
    <we:property name="ejcAHTdZKjIQKi0GeR4aD0MiBiszQDQ=" value="&quot;Bg==&quot;"/>
    <we:property name="ejcAHTdZKjIQKi0GeR4aD0MiBiszQDk=" value="&quot;BA==&quot;"/>
    <we:property name="ejcAHTdZKjIQKi0GeSAUG3guGg==" value="&quot;Bw==&quot;"/>
    <we:property name="ejcAHTdZKjIQKi0GeSIXCQ==" value="&quot;EQtQRW0=&quot;"/>
    <we:property name="ejcAHTdZKjIQKi0GeTsUEVwmFhg/Q2E=" value="&quot;EQJQRWI=&quot;"/>
    <we:property name="ejcAHTdZKjIQKi0GeTsUEVwmFhg/Q2I=" value="&quot;EQJQRWM=&quot;"/>
    <we:property name="ejcAHTdZKjIQKi0GeTsUEVwmFhg/Q2M=" value="&quot;EQJQRmo=&quot;"/>
    <we:property name="ejcAHTdZKjIQKi0GeTsUEVwmFhg/Q2Q=" value="&quot;&quot;"/>
    <we:property name="ejcAHTdZKjIQKi0GeTsUEVwmFhg/Qw==" value="&quot;EQJQRW0=&quot;"/>
  </we:properties>
  <we:bindings>
    <we:binding id="Var$E$17" type="matrix" appref="{22044921-2B76-436D-8734-A27441F37676}"/>
    <we:binding id="Var$E$20" type="matrix" appref="{1F4D7563-BADB-4DF8-99A2-2371B5ABF327}"/>
    <we:binding id="Var$E$19" type="matrix" appref="{D48D3D28-B6D7-48C8-A732-66F74DFA01D1}"/>
    <we:binding id="Var$E$18" type="matrix" appref="{F2D37CAE-D8D5-4436-91DD-3C7674238ECD}"/>
    <we:binding id="refEdit" type="matrix" appref="{5ECAB8EA-8B6D-624D-8544-8E0A0256F4F5}"/>
    <we:binding id="Var0" type="matrix" appref="{0426031D-012A-7447-86A8-FAF94982332F}"/>
    <we:binding id="1Var0" type="matrix" appref="{B0FCF384-4031-564C-A858-45B10597F368}"/>
    <we:binding id="2Var0" type="matrix" appref="{A7FAAC0F-8115-784D-8AC6-D4BD1E58935D}"/>
    <we:binding id="3Var0" type="matrix" appref="{D0C26F8B-93F5-BD4E-8ACF-E0A54139F585}"/>
    <we:binding id="Obj" type="matrix" appref="{CBEA5B4D-16F9-1542-8F68-102E87740179}"/>
    <we:binding id="Worker" type="matrix" appref="{27AEB954-9092-6241-9021-C5DEF145E51F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A638-781F-4E6B-8421-151CA9F5C86C}">
  <dimension ref="B1:X74"/>
  <sheetViews>
    <sheetView tabSelected="1" zoomScale="90" zoomScaleNormal="90" workbookViewId="0">
      <selection activeCell="B5" sqref="B5"/>
    </sheetView>
  </sheetViews>
  <sheetFormatPr defaultColWidth="8.81640625" defaultRowHeight="18" customHeight="1" x14ac:dyDescent="0.35"/>
  <cols>
    <col min="1" max="1" width="1.26953125" customWidth="1"/>
    <col min="2" max="2" width="54.453125" customWidth="1"/>
    <col min="3" max="3" width="13.6328125" customWidth="1"/>
    <col min="4" max="4" width="11.6328125" customWidth="1"/>
    <col min="5" max="5" width="9" bestFit="1" customWidth="1"/>
    <col min="6" max="6" width="120.36328125" customWidth="1"/>
    <col min="20" max="20" width="13.1796875" customWidth="1"/>
    <col min="23" max="23" width="15.36328125" customWidth="1"/>
  </cols>
  <sheetData>
    <row r="1" spans="2:24" ht="18" customHeight="1" x14ac:dyDescent="0.35">
      <c r="B1" s="169" t="s">
        <v>171</v>
      </c>
    </row>
    <row r="2" spans="2:24" ht="18" customHeight="1" x14ac:dyDescent="0.35">
      <c r="B2" s="171" t="s">
        <v>174</v>
      </c>
      <c r="C2" s="171"/>
      <c r="D2" s="171"/>
      <c r="E2" s="10"/>
      <c r="T2" s="25" t="s">
        <v>129</v>
      </c>
      <c r="U2" s="25" t="s">
        <v>132</v>
      </c>
      <c r="W2" s="62" t="s">
        <v>196</v>
      </c>
      <c r="X2" s="62"/>
    </row>
    <row r="3" spans="2:24" ht="18" customHeight="1" x14ac:dyDescent="0.35">
      <c r="B3" s="10" t="s">
        <v>172</v>
      </c>
      <c r="C3" s="10"/>
      <c r="D3" s="10"/>
      <c r="E3" s="10"/>
      <c r="T3" s="15" t="s">
        <v>92</v>
      </c>
      <c r="U3" s="3">
        <v>3</v>
      </c>
      <c r="W3" s="24" t="s">
        <v>146</v>
      </c>
    </row>
    <row r="4" spans="2:24" ht="18" customHeight="1" x14ac:dyDescent="0.35">
      <c r="B4" s="10" t="s">
        <v>178</v>
      </c>
      <c r="C4" s="10"/>
      <c r="D4" s="10"/>
      <c r="E4" s="10"/>
      <c r="T4" s="15" t="s">
        <v>93</v>
      </c>
      <c r="U4" s="3">
        <v>6.5</v>
      </c>
      <c r="W4" s="24" t="s">
        <v>147</v>
      </c>
    </row>
    <row r="5" spans="2:24" ht="18" customHeight="1" x14ac:dyDescent="0.35">
      <c r="B5" s="10"/>
      <c r="C5" s="10"/>
      <c r="D5" s="10"/>
      <c r="E5" s="10"/>
      <c r="T5" s="15" t="s">
        <v>94</v>
      </c>
      <c r="U5" s="3">
        <v>4.5</v>
      </c>
      <c r="W5" s="24"/>
    </row>
    <row r="6" spans="2:24" ht="18" customHeight="1" x14ac:dyDescent="0.35">
      <c r="B6" s="172" t="s">
        <v>176</v>
      </c>
      <c r="C6" s="172"/>
      <c r="D6" s="172"/>
      <c r="E6" s="165" t="s">
        <v>313</v>
      </c>
      <c r="F6" s="10"/>
      <c r="T6" s="15" t="s">
        <v>95</v>
      </c>
      <c r="U6" s="3">
        <v>5.5</v>
      </c>
    </row>
    <row r="7" spans="2:24" ht="18" customHeight="1" x14ac:dyDescent="0.35">
      <c r="C7" s="10"/>
      <c r="D7" s="10"/>
      <c r="E7" s="164"/>
      <c r="T7" s="15" t="s">
        <v>96</v>
      </c>
      <c r="U7" s="3">
        <v>5.5</v>
      </c>
    </row>
    <row r="8" spans="2:24" ht="18" customHeight="1" x14ac:dyDescent="0.35">
      <c r="B8" s="48"/>
      <c r="C8" s="49" t="s">
        <v>129</v>
      </c>
      <c r="D8" s="49" t="s">
        <v>132</v>
      </c>
      <c r="E8" s="60"/>
      <c r="T8" s="15" t="s">
        <v>97</v>
      </c>
      <c r="U8" s="3">
        <v>4</v>
      </c>
    </row>
    <row r="9" spans="2:24" ht="18" customHeight="1" x14ac:dyDescent="0.35">
      <c r="B9" s="47" t="s">
        <v>91</v>
      </c>
      <c r="C9" s="41" t="s">
        <v>102</v>
      </c>
      <c r="D9" s="43">
        <f>VLOOKUP(C9,Input!T3:U40, 2, FALSE)</f>
        <v>4.5</v>
      </c>
      <c r="E9" s="55">
        <v>4.5</v>
      </c>
      <c r="F9" s="16" t="s">
        <v>228</v>
      </c>
      <c r="T9" s="15" t="s">
        <v>98</v>
      </c>
      <c r="U9" s="3">
        <v>4</v>
      </c>
    </row>
    <row r="10" spans="2:24" ht="18" customHeight="1" x14ac:dyDescent="0.35">
      <c r="B10" s="48"/>
      <c r="C10" s="48"/>
      <c r="D10" s="48"/>
      <c r="E10" s="48"/>
      <c r="F10" s="16"/>
      <c r="T10" s="15" t="s">
        <v>99</v>
      </c>
      <c r="U10" s="3">
        <v>5</v>
      </c>
    </row>
    <row r="11" spans="2:24" ht="18" customHeight="1" x14ac:dyDescent="0.35">
      <c r="B11" s="50" t="s">
        <v>9</v>
      </c>
      <c r="C11" s="49" t="s">
        <v>8</v>
      </c>
      <c r="D11" s="49" t="s">
        <v>7</v>
      </c>
      <c r="E11" s="60"/>
      <c r="F11" s="16"/>
      <c r="T11" s="15" t="s">
        <v>100</v>
      </c>
      <c r="U11" s="3">
        <v>4.5</v>
      </c>
    </row>
    <row r="12" spans="2:24" ht="18" customHeight="1" x14ac:dyDescent="0.35">
      <c r="B12" s="76"/>
      <c r="C12" s="60"/>
      <c r="D12" s="60"/>
      <c r="E12" s="60"/>
      <c r="F12" s="16"/>
      <c r="T12" s="15"/>
      <c r="U12" s="3"/>
    </row>
    <row r="13" spans="2:24" ht="18" customHeight="1" x14ac:dyDescent="0.35">
      <c r="B13" s="51" t="s">
        <v>229</v>
      </c>
      <c r="C13" s="43" t="s">
        <v>23</v>
      </c>
      <c r="D13" s="57">
        <v>368</v>
      </c>
      <c r="E13" s="90">
        <v>368</v>
      </c>
      <c r="F13" s="16" t="s">
        <v>184</v>
      </c>
      <c r="T13" s="15" t="s">
        <v>101</v>
      </c>
      <c r="U13" s="3">
        <v>5.5</v>
      </c>
    </row>
    <row r="14" spans="2:24" ht="18" customHeight="1" x14ac:dyDescent="0.35">
      <c r="B14" s="51" t="s">
        <v>66</v>
      </c>
      <c r="C14" s="43" t="s">
        <v>23</v>
      </c>
      <c r="D14" s="57">
        <v>224</v>
      </c>
      <c r="E14" s="59">
        <v>224</v>
      </c>
      <c r="F14" s="16" t="s">
        <v>187</v>
      </c>
      <c r="T14" s="15" t="s">
        <v>102</v>
      </c>
      <c r="U14" s="3">
        <v>4.5</v>
      </c>
    </row>
    <row r="15" spans="2:24" ht="18" customHeight="1" x14ac:dyDescent="0.35">
      <c r="B15" s="42" t="s">
        <v>26</v>
      </c>
      <c r="C15" s="43" t="s">
        <v>28</v>
      </c>
      <c r="D15" s="41">
        <v>6</v>
      </c>
      <c r="E15" s="58">
        <v>6</v>
      </c>
      <c r="F15" s="16" t="s">
        <v>164</v>
      </c>
      <c r="T15" s="15" t="s">
        <v>105</v>
      </c>
      <c r="U15" s="3">
        <v>4.5</v>
      </c>
    </row>
    <row r="16" spans="2:24" ht="18" customHeight="1" x14ac:dyDescent="0.35">
      <c r="B16" s="42" t="s">
        <v>27</v>
      </c>
      <c r="C16" s="43" t="s">
        <v>28</v>
      </c>
      <c r="D16" s="41">
        <v>1.5</v>
      </c>
      <c r="E16" s="58">
        <v>1.5</v>
      </c>
      <c r="F16" s="16" t="s">
        <v>165</v>
      </c>
      <c r="T16" s="15" t="s">
        <v>103</v>
      </c>
      <c r="U16" s="3">
        <v>4.5</v>
      </c>
    </row>
    <row r="17" spans="2:21" ht="18" customHeight="1" x14ac:dyDescent="0.35">
      <c r="B17" s="54"/>
      <c r="C17" s="55"/>
      <c r="D17" s="58"/>
      <c r="E17" s="58"/>
      <c r="F17" s="16"/>
      <c r="T17" s="15" t="s">
        <v>104</v>
      </c>
      <c r="U17" s="3">
        <v>5</v>
      </c>
    </row>
    <row r="18" spans="2:21" ht="18" customHeight="1" x14ac:dyDescent="0.35">
      <c r="B18" s="51" t="s">
        <v>81</v>
      </c>
      <c r="C18" s="43" t="s">
        <v>23</v>
      </c>
      <c r="D18" s="57">
        <v>250</v>
      </c>
      <c r="E18" s="59">
        <v>250</v>
      </c>
      <c r="F18" s="16" t="s">
        <v>185</v>
      </c>
      <c r="T18" s="15" t="s">
        <v>106</v>
      </c>
      <c r="U18" s="3">
        <v>4</v>
      </c>
    </row>
    <row r="19" spans="2:21" ht="18" customHeight="1" x14ac:dyDescent="0.35">
      <c r="B19" s="51" t="s">
        <v>67</v>
      </c>
      <c r="C19" s="43" t="s">
        <v>23</v>
      </c>
      <c r="D19" s="57">
        <v>120</v>
      </c>
      <c r="E19" s="59">
        <v>120</v>
      </c>
      <c r="F19" s="16" t="s">
        <v>186</v>
      </c>
      <c r="T19" s="15" t="s">
        <v>107</v>
      </c>
      <c r="U19" s="3">
        <v>4</v>
      </c>
    </row>
    <row r="20" spans="2:21" ht="18" customHeight="1" x14ac:dyDescent="0.35">
      <c r="B20" s="51" t="s">
        <v>193</v>
      </c>
      <c r="C20" s="43" t="s">
        <v>194</v>
      </c>
      <c r="D20" s="161">
        <v>6270</v>
      </c>
      <c r="E20" s="166">
        <v>6270</v>
      </c>
      <c r="F20" s="16" t="s">
        <v>195</v>
      </c>
      <c r="T20" s="15" t="s">
        <v>108</v>
      </c>
      <c r="U20" s="3">
        <v>4</v>
      </c>
    </row>
    <row r="21" spans="2:21" ht="18" customHeight="1" x14ac:dyDescent="0.35">
      <c r="B21" s="56"/>
      <c r="C21" s="55"/>
      <c r="D21" s="59"/>
      <c r="E21" s="59"/>
      <c r="F21" s="16"/>
      <c r="T21" s="15" t="s">
        <v>112</v>
      </c>
      <c r="U21" s="3">
        <v>4.5</v>
      </c>
    </row>
    <row r="22" spans="2:21" ht="18" customHeight="1" x14ac:dyDescent="0.35">
      <c r="B22" s="42" t="s">
        <v>12</v>
      </c>
      <c r="C22" s="43" t="s">
        <v>13</v>
      </c>
      <c r="D22" s="41">
        <v>0</v>
      </c>
      <c r="E22" s="58">
        <v>0</v>
      </c>
      <c r="F22" s="16" t="s">
        <v>168</v>
      </c>
      <c r="T22" s="15" t="s">
        <v>110</v>
      </c>
      <c r="U22" s="3">
        <v>4.5</v>
      </c>
    </row>
    <row r="23" spans="2:21" ht="18" customHeight="1" x14ac:dyDescent="0.35">
      <c r="B23" s="54"/>
      <c r="C23" s="55"/>
      <c r="D23" s="58"/>
      <c r="E23" s="58"/>
      <c r="F23" s="16"/>
      <c r="T23" s="15" t="s">
        <v>111</v>
      </c>
      <c r="U23" s="3">
        <v>4.5</v>
      </c>
    </row>
    <row r="24" spans="2:21" ht="18" customHeight="1" x14ac:dyDescent="0.35">
      <c r="B24" s="42" t="s">
        <v>230</v>
      </c>
      <c r="C24" s="43" t="s">
        <v>231</v>
      </c>
      <c r="D24" s="41">
        <v>1500</v>
      </c>
      <c r="E24" s="58">
        <v>1500</v>
      </c>
      <c r="F24" s="16" t="s">
        <v>166</v>
      </c>
      <c r="T24" s="15" t="s">
        <v>113</v>
      </c>
      <c r="U24" s="3">
        <v>5.5</v>
      </c>
    </row>
    <row r="25" spans="2:21" ht="18" customHeight="1" x14ac:dyDescent="0.35">
      <c r="B25" s="42" t="s">
        <v>39</v>
      </c>
      <c r="C25" s="43" t="s">
        <v>40</v>
      </c>
      <c r="D25" s="41">
        <v>80</v>
      </c>
      <c r="E25" s="58">
        <v>80</v>
      </c>
      <c r="F25" s="16" t="s">
        <v>167</v>
      </c>
      <c r="T25" s="15" t="s">
        <v>114</v>
      </c>
      <c r="U25" s="3">
        <v>5</v>
      </c>
    </row>
    <row r="26" spans="2:21" ht="18" customHeight="1" x14ac:dyDescent="0.35">
      <c r="B26" s="42" t="s">
        <v>41</v>
      </c>
      <c r="C26" s="43" t="s">
        <v>40</v>
      </c>
      <c r="D26" s="41">
        <v>40</v>
      </c>
      <c r="E26" s="58">
        <v>40</v>
      </c>
      <c r="F26" s="16" t="s">
        <v>167</v>
      </c>
      <c r="T26" s="15" t="s">
        <v>109</v>
      </c>
      <c r="U26" s="3">
        <v>4</v>
      </c>
    </row>
    <row r="27" spans="2:21" ht="18" customHeight="1" x14ac:dyDescent="0.35">
      <c r="B27" s="54"/>
      <c r="C27" s="55"/>
      <c r="D27" s="58"/>
      <c r="E27" s="58"/>
      <c r="F27" s="16"/>
      <c r="T27" s="15" t="s">
        <v>115</v>
      </c>
      <c r="U27" s="3">
        <v>4</v>
      </c>
    </row>
    <row r="28" spans="2:21" ht="18" customHeight="1" x14ac:dyDescent="0.35">
      <c r="B28" s="42" t="s">
        <v>48</v>
      </c>
      <c r="C28" s="43" t="s">
        <v>4</v>
      </c>
      <c r="D28" s="57">
        <v>25000</v>
      </c>
      <c r="E28" s="59">
        <v>25000</v>
      </c>
      <c r="F28" s="16" t="s">
        <v>169</v>
      </c>
      <c r="T28" s="15" t="s">
        <v>116</v>
      </c>
      <c r="U28" s="3">
        <v>6</v>
      </c>
    </row>
    <row r="29" spans="2:21" ht="18" customHeight="1" x14ac:dyDescent="0.35">
      <c r="B29" s="42" t="s">
        <v>60</v>
      </c>
      <c r="C29" s="43" t="s">
        <v>5</v>
      </c>
      <c r="D29" s="41">
        <v>15</v>
      </c>
      <c r="E29" s="58">
        <v>15</v>
      </c>
      <c r="F29" s="16" t="s">
        <v>170</v>
      </c>
      <c r="T29" s="15" t="s">
        <v>117</v>
      </c>
      <c r="U29" s="3">
        <v>4</v>
      </c>
    </row>
    <row r="30" spans="2:21" ht="18" customHeight="1" x14ac:dyDescent="0.35">
      <c r="B30" s="52" t="s">
        <v>61</v>
      </c>
      <c r="C30" s="53" t="s">
        <v>5</v>
      </c>
      <c r="D30" s="53">
        <f>100-D29</f>
        <v>85</v>
      </c>
      <c r="E30" s="55"/>
      <c r="F30" s="16" t="s">
        <v>173</v>
      </c>
      <c r="T30" s="15" t="s">
        <v>118</v>
      </c>
      <c r="U30" s="3">
        <v>4.5</v>
      </c>
    </row>
    <row r="31" spans="2:21" ht="18" customHeight="1" x14ac:dyDescent="0.35">
      <c r="B31" s="52" t="s">
        <v>182</v>
      </c>
      <c r="C31" s="53" t="s">
        <v>5</v>
      </c>
      <c r="D31" s="53">
        <v>7.13</v>
      </c>
      <c r="E31" s="55"/>
      <c r="F31" s="16" t="s">
        <v>183</v>
      </c>
      <c r="T31" s="15" t="s">
        <v>119</v>
      </c>
      <c r="U31" s="3">
        <v>4.5</v>
      </c>
    </row>
    <row r="32" spans="2:21" ht="18" customHeight="1" x14ac:dyDescent="0.35">
      <c r="B32" s="9" t="s">
        <v>17</v>
      </c>
      <c r="C32" s="8" t="s">
        <v>14</v>
      </c>
      <c r="D32" s="41">
        <v>25</v>
      </c>
      <c r="E32" s="58">
        <v>25</v>
      </c>
      <c r="F32" s="16" t="s">
        <v>179</v>
      </c>
      <c r="T32" s="15" t="s">
        <v>120</v>
      </c>
      <c r="U32" s="3">
        <v>4.5</v>
      </c>
    </row>
    <row r="33" spans="2:21" ht="18" customHeight="1" x14ac:dyDescent="0.35">
      <c r="B33" s="2" t="s">
        <v>15</v>
      </c>
      <c r="C33" s="3" t="s">
        <v>5</v>
      </c>
      <c r="D33" s="41">
        <v>7.5</v>
      </c>
      <c r="E33" s="58">
        <v>7.5</v>
      </c>
      <c r="F33" s="16" t="s">
        <v>180</v>
      </c>
      <c r="T33" s="15" t="s">
        <v>121</v>
      </c>
      <c r="U33" s="3">
        <v>4.5</v>
      </c>
    </row>
    <row r="34" spans="2:21" ht="18" customHeight="1" x14ac:dyDescent="0.35">
      <c r="B34" s="2" t="s">
        <v>65</v>
      </c>
      <c r="C34" s="3" t="s">
        <v>14</v>
      </c>
      <c r="D34" s="41">
        <v>15</v>
      </c>
      <c r="E34" s="58">
        <v>15</v>
      </c>
      <c r="F34" s="16" t="s">
        <v>233</v>
      </c>
      <c r="T34" s="15" t="s">
        <v>122</v>
      </c>
      <c r="U34" s="3">
        <v>4.5</v>
      </c>
    </row>
    <row r="35" spans="2:21" ht="18" customHeight="1" x14ac:dyDescent="0.35">
      <c r="B35" s="2" t="s">
        <v>62</v>
      </c>
      <c r="C35" s="3" t="s">
        <v>33</v>
      </c>
      <c r="D35" s="41">
        <v>12</v>
      </c>
      <c r="E35" s="58">
        <v>12</v>
      </c>
      <c r="F35" s="16" t="s">
        <v>181</v>
      </c>
      <c r="T35" s="15" t="s">
        <v>123</v>
      </c>
      <c r="U35" s="3">
        <v>5.5</v>
      </c>
    </row>
    <row r="36" spans="2:21" ht="18" customHeight="1" x14ac:dyDescent="0.35">
      <c r="B36" s="42" t="s">
        <v>175</v>
      </c>
      <c r="C36" s="43"/>
      <c r="D36" s="41" t="s">
        <v>146</v>
      </c>
      <c r="E36" s="167" t="s">
        <v>146</v>
      </c>
      <c r="F36" s="16" t="s">
        <v>232</v>
      </c>
      <c r="T36" s="15" t="s">
        <v>124</v>
      </c>
      <c r="U36" s="3">
        <v>5.5</v>
      </c>
    </row>
    <row r="37" spans="2:21" ht="18" customHeight="1" x14ac:dyDescent="0.35">
      <c r="B37" s="27"/>
      <c r="C37" s="27"/>
      <c r="D37" s="27"/>
      <c r="E37" s="27"/>
      <c r="T37" s="15" t="s">
        <v>125</v>
      </c>
      <c r="U37" s="3">
        <v>4.5</v>
      </c>
    </row>
    <row r="38" spans="2:21" ht="18" customHeight="1" x14ac:dyDescent="0.35">
      <c r="B38" s="27"/>
      <c r="C38" s="27"/>
      <c r="D38" s="27"/>
      <c r="E38" s="27"/>
      <c r="T38" s="15" t="s">
        <v>126</v>
      </c>
      <c r="U38" s="3">
        <v>4</v>
      </c>
    </row>
    <row r="39" spans="2:21" ht="18" customHeight="1" x14ac:dyDescent="0.35">
      <c r="B39" s="172" t="s">
        <v>177</v>
      </c>
      <c r="C39" s="172"/>
      <c r="D39" s="172"/>
      <c r="E39" s="27"/>
      <c r="T39" s="15" t="s">
        <v>127</v>
      </c>
      <c r="U39" s="3">
        <v>4</v>
      </c>
    </row>
    <row r="40" spans="2:21" ht="18" customHeight="1" x14ac:dyDescent="0.35">
      <c r="B40" s="27"/>
      <c r="C40" s="27"/>
      <c r="D40" s="27"/>
      <c r="E40" s="27"/>
      <c r="T40" s="15" t="s">
        <v>128</v>
      </c>
      <c r="U40" s="3">
        <v>5.5</v>
      </c>
    </row>
    <row r="41" spans="2:21" ht="18" customHeight="1" x14ac:dyDescent="0.35">
      <c r="B41" s="6" t="s">
        <v>9</v>
      </c>
      <c r="C41" s="5" t="s">
        <v>8</v>
      </c>
      <c r="D41" s="5" t="s">
        <v>7</v>
      </c>
      <c r="E41" s="27"/>
    </row>
    <row r="43" spans="2:21" ht="18" customHeight="1" x14ac:dyDescent="0.35">
      <c r="B43" s="2" t="s">
        <v>70</v>
      </c>
      <c r="C43" s="3" t="s">
        <v>71</v>
      </c>
      <c r="D43" s="18">
        <v>10</v>
      </c>
    </row>
    <row r="44" spans="2:21" ht="18" customHeight="1" x14ac:dyDescent="0.35">
      <c r="B44" s="2" t="s">
        <v>19</v>
      </c>
      <c r="C44" s="3" t="s">
        <v>16</v>
      </c>
      <c r="D44" s="18">
        <v>2.5</v>
      </c>
    </row>
    <row r="45" spans="2:21" ht="18" customHeight="1" x14ac:dyDescent="0.35">
      <c r="B45" s="2" t="s">
        <v>141</v>
      </c>
      <c r="C45" s="3" t="s">
        <v>18</v>
      </c>
      <c r="D45" s="21">
        <v>0.15</v>
      </c>
    </row>
    <row r="46" spans="2:21" ht="18" customHeight="1" x14ac:dyDescent="0.35">
      <c r="B46" s="42" t="s">
        <v>142</v>
      </c>
      <c r="C46" s="43" t="s">
        <v>18</v>
      </c>
      <c r="D46" s="68">
        <v>8.5000000000000006E-2</v>
      </c>
    </row>
    <row r="48" spans="2:21" ht="18" customHeight="1" x14ac:dyDescent="0.35">
      <c r="B48" s="127" t="s">
        <v>59</v>
      </c>
      <c r="C48" s="128" t="s">
        <v>5</v>
      </c>
      <c r="D48" s="128">
        <v>12</v>
      </c>
      <c r="E48" s="129">
        <v>12</v>
      </c>
      <c r="F48" s="130"/>
    </row>
    <row r="49" spans="2:6" ht="18" customHeight="1" x14ac:dyDescent="0.35">
      <c r="B49" s="127" t="s">
        <v>130</v>
      </c>
      <c r="C49" s="128" t="s">
        <v>5</v>
      </c>
      <c r="D49" s="128">
        <v>40</v>
      </c>
      <c r="E49" s="129">
        <v>40</v>
      </c>
      <c r="F49" t="s">
        <v>303</v>
      </c>
    </row>
    <row r="50" spans="2:6" ht="18" customHeight="1" x14ac:dyDescent="0.35">
      <c r="B50" s="86" t="s">
        <v>35</v>
      </c>
      <c r="C50" s="87" t="s">
        <v>24</v>
      </c>
      <c r="D50" s="88">
        <v>2500</v>
      </c>
    </row>
    <row r="51" spans="2:6" ht="18" customHeight="1" x14ac:dyDescent="0.35">
      <c r="B51" s="89" t="s">
        <v>203</v>
      </c>
      <c r="C51" s="87" t="s">
        <v>18</v>
      </c>
      <c r="D51" s="88">
        <v>1000</v>
      </c>
    </row>
    <row r="52" spans="2:6" ht="18" customHeight="1" x14ac:dyDescent="0.35">
      <c r="B52" s="89" t="s">
        <v>204</v>
      </c>
      <c r="C52" s="87" t="s">
        <v>25</v>
      </c>
      <c r="D52" s="88">
        <v>3500</v>
      </c>
    </row>
    <row r="53" spans="2:6" ht="18" customHeight="1" x14ac:dyDescent="0.35">
      <c r="B53" s="89" t="s">
        <v>205</v>
      </c>
      <c r="C53" s="87" t="s">
        <v>24</v>
      </c>
      <c r="D53" s="88">
        <v>3000</v>
      </c>
    </row>
    <row r="54" spans="2:6" ht="18" customHeight="1" x14ac:dyDescent="0.35">
      <c r="B54" s="11" t="s">
        <v>207</v>
      </c>
      <c r="C54" s="3" t="s">
        <v>24</v>
      </c>
      <c r="D54" s="18">
        <f>D50*(1-$D$49/100)</f>
        <v>1500</v>
      </c>
    </row>
    <row r="55" spans="2:6" ht="18" customHeight="1" x14ac:dyDescent="0.35">
      <c r="B55" s="2" t="s">
        <v>208</v>
      </c>
      <c r="C55" s="3" t="s">
        <v>18</v>
      </c>
      <c r="D55" s="18">
        <f>D51*(1-$D$49/100)</f>
        <v>600</v>
      </c>
    </row>
    <row r="56" spans="2:6" ht="18" customHeight="1" x14ac:dyDescent="0.35">
      <c r="B56" s="2" t="s">
        <v>209</v>
      </c>
      <c r="C56" s="3" t="s">
        <v>25</v>
      </c>
      <c r="D56" s="18">
        <f>D52*(1-$D$49/100)</f>
        <v>2100</v>
      </c>
    </row>
    <row r="57" spans="2:6" ht="18" customHeight="1" x14ac:dyDescent="0.35">
      <c r="B57" s="2" t="s">
        <v>210</v>
      </c>
      <c r="C57" s="3" t="s">
        <v>24</v>
      </c>
      <c r="D57" s="18">
        <f>D53*(1-$D$49/100)</f>
        <v>1800</v>
      </c>
    </row>
    <row r="58" spans="2:6" ht="18" customHeight="1" x14ac:dyDescent="0.35">
      <c r="B58" s="2" t="s">
        <v>206</v>
      </c>
      <c r="C58" s="3" t="s">
        <v>5</v>
      </c>
      <c r="D58" s="43">
        <v>2</v>
      </c>
      <c r="F58" s="130"/>
    </row>
    <row r="59" spans="2:6" ht="18" customHeight="1" x14ac:dyDescent="0.35">
      <c r="B59" s="2" t="s">
        <v>69</v>
      </c>
      <c r="C59" s="3" t="s">
        <v>5</v>
      </c>
      <c r="D59" s="43">
        <v>2</v>
      </c>
      <c r="F59" s="130"/>
    </row>
    <row r="61" spans="2:6" ht="18" customHeight="1" x14ac:dyDescent="0.35">
      <c r="B61" s="2" t="s">
        <v>36</v>
      </c>
      <c r="C61" s="3" t="s">
        <v>37</v>
      </c>
      <c r="D61" s="43">
        <v>120</v>
      </c>
    </row>
    <row r="62" spans="2:6" ht="18" customHeight="1" x14ac:dyDescent="0.35">
      <c r="B62" s="2" t="s">
        <v>30</v>
      </c>
      <c r="C62" s="3" t="s">
        <v>31</v>
      </c>
      <c r="D62" s="43">
        <v>20000</v>
      </c>
    </row>
    <row r="63" spans="2:6" ht="18" customHeight="1" x14ac:dyDescent="0.35">
      <c r="B63" s="2" t="s">
        <v>42</v>
      </c>
      <c r="C63" s="3" t="s">
        <v>43</v>
      </c>
      <c r="D63" s="43">
        <f>100+1*100</f>
        <v>200</v>
      </c>
    </row>
    <row r="64" spans="2:6" ht="18" customHeight="1" x14ac:dyDescent="0.35">
      <c r="B64" s="10"/>
      <c r="C64" s="71"/>
      <c r="D64" s="55"/>
    </row>
    <row r="65" spans="2:4" ht="18" customHeight="1" x14ac:dyDescent="0.35">
      <c r="B65" s="2" t="s">
        <v>20</v>
      </c>
      <c r="C65" s="3" t="s">
        <v>5</v>
      </c>
      <c r="D65" s="3">
        <v>85</v>
      </c>
    </row>
    <row r="66" spans="2:4" ht="18" customHeight="1" x14ac:dyDescent="0.35">
      <c r="B66" s="2" t="s">
        <v>34</v>
      </c>
      <c r="C66" s="3" t="s">
        <v>5</v>
      </c>
      <c r="D66" s="3">
        <v>85</v>
      </c>
    </row>
    <row r="67" spans="2:4" ht="18" customHeight="1" x14ac:dyDescent="0.35">
      <c r="B67" s="2" t="s">
        <v>32</v>
      </c>
      <c r="C67" s="3" t="s">
        <v>2</v>
      </c>
      <c r="D67" s="3">
        <v>48</v>
      </c>
    </row>
    <row r="68" spans="2:4" ht="18" customHeight="1" x14ac:dyDescent="0.35">
      <c r="B68" s="2" t="s">
        <v>21</v>
      </c>
      <c r="C68" s="3" t="s">
        <v>5</v>
      </c>
      <c r="D68" s="3">
        <v>40</v>
      </c>
    </row>
    <row r="69" spans="2:4" ht="18" customHeight="1" x14ac:dyDescent="0.35">
      <c r="B69" s="2" t="s">
        <v>22</v>
      </c>
      <c r="C69" s="3" t="s">
        <v>5</v>
      </c>
      <c r="D69" s="3">
        <v>50</v>
      </c>
    </row>
    <row r="70" spans="2:4" ht="18" customHeight="1" x14ac:dyDescent="0.35">
      <c r="B70" s="2" t="s">
        <v>157</v>
      </c>
      <c r="C70" s="3" t="s">
        <v>5</v>
      </c>
      <c r="D70" s="3">
        <v>90</v>
      </c>
    </row>
    <row r="71" spans="2:4" ht="18" customHeight="1" x14ac:dyDescent="0.35">
      <c r="B71" s="10"/>
      <c r="C71" s="70"/>
      <c r="D71" s="55"/>
    </row>
    <row r="72" spans="2:4" ht="18" customHeight="1" x14ac:dyDescent="0.35">
      <c r="B72" s="2" t="s">
        <v>72</v>
      </c>
      <c r="C72" s="14" t="s">
        <v>73</v>
      </c>
      <c r="D72" s="43">
        <v>1000</v>
      </c>
    </row>
    <row r="73" spans="2:4" ht="18" customHeight="1" x14ac:dyDescent="0.35">
      <c r="B73" s="12" t="s">
        <v>46</v>
      </c>
      <c r="C73" s="13" t="s">
        <v>47</v>
      </c>
      <c r="D73" s="69">
        <v>18.71</v>
      </c>
    </row>
    <row r="74" spans="2:4" ht="18" customHeight="1" x14ac:dyDescent="0.35">
      <c r="B74" s="2" t="s">
        <v>55</v>
      </c>
      <c r="C74" s="3" t="s">
        <v>56</v>
      </c>
      <c r="D74" s="43">
        <v>4</v>
      </c>
    </row>
  </sheetData>
  <mergeCells count="3">
    <mergeCell ref="B2:D2"/>
    <mergeCell ref="B6:D6"/>
    <mergeCell ref="B39:D39"/>
  </mergeCells>
  <dataValidations count="5">
    <dataValidation type="list" allowBlank="1" showInputMessage="1" showErrorMessage="1" sqref="D36:E36" xr:uid="{2275E41C-5192-43D9-8972-B9EBD4CDA2B3}">
      <formula1>$W$3:$W$4</formula1>
    </dataValidation>
    <dataValidation type="list" allowBlank="1" showInputMessage="1" showErrorMessage="1" sqref="C9" xr:uid="{6B73ED9F-CC0E-44E8-A32B-CA482F9455B2}">
      <formula1>$T$3:$T$40</formula1>
    </dataValidation>
    <dataValidation type="custom" allowBlank="1" showInputMessage="1" showErrorMessage="1" errorTitle="Error" error="Enter 0 or a positive value." sqref="D13 D22 D28:D35 D24:D26 D18:D19" xr:uid="{D2383D3F-59EC-854E-AF58-390DE2674885}">
      <formula1>D13&gt;=0</formula1>
    </dataValidation>
    <dataValidation type="custom" allowBlank="1" showInputMessage="1" showErrorMessage="1" errorTitle="Error" error="Enter 0 or a positive value." sqref="D14:D16" xr:uid="{AD1043BF-0657-E447-9190-29972B99FEA3}">
      <formula1>(D14)&gt;=0</formula1>
    </dataValidation>
    <dataValidation type="custom" allowBlank="1" showInputMessage="1" showErrorMessage="1" errorTitle="Error" error="Enter 0 or a positive value." sqref="D20" xr:uid="{5430CB0C-B22D-EF4C-929B-B4F04B7C51DA}">
      <formula1>C20&gt;=0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4F2A-53CC-41DF-B9BA-ED2F74871665}">
  <dimension ref="A1:XFC302"/>
  <sheetViews>
    <sheetView zoomScale="104" zoomScaleNormal="104" workbookViewId="0">
      <selection activeCell="B2" sqref="B2"/>
    </sheetView>
  </sheetViews>
  <sheetFormatPr defaultColWidth="8.81640625" defaultRowHeight="14.5" x14ac:dyDescent="0.35"/>
  <cols>
    <col min="1" max="1" width="1.36328125" customWidth="1"/>
    <col min="2" max="2" width="57.453125" customWidth="1"/>
    <col min="3" max="3" width="12.36328125" customWidth="1"/>
    <col min="4" max="4" width="13.36328125" customWidth="1"/>
    <col min="5" max="5" width="11.81640625" customWidth="1"/>
    <col min="6" max="6" width="35" customWidth="1"/>
    <col min="7" max="7" width="11.6328125" customWidth="1"/>
    <col min="8" max="8" width="15.36328125" customWidth="1"/>
    <col min="9" max="9" width="9.6328125" customWidth="1"/>
    <col min="10" max="10" width="11.1796875" customWidth="1"/>
    <col min="11" max="11" width="10.36328125" customWidth="1"/>
    <col min="12" max="12" width="31.6328125" customWidth="1"/>
    <col min="13" max="13" width="10.1796875" customWidth="1"/>
    <col min="14" max="14" width="10.1796875" style="24" customWidth="1"/>
    <col min="15" max="15" width="10.81640625" customWidth="1"/>
    <col min="16" max="16" width="10.6328125" customWidth="1"/>
    <col min="17" max="17" width="10.36328125" customWidth="1"/>
    <col min="18" max="18" width="10" customWidth="1"/>
    <col min="19" max="19" width="10.36328125" customWidth="1"/>
    <col min="20" max="20" width="10" customWidth="1"/>
    <col min="21" max="23" width="10.36328125" customWidth="1"/>
    <col min="24" max="24" width="11" customWidth="1"/>
    <col min="25" max="25" width="11.81640625" customWidth="1"/>
    <col min="26" max="26" width="11.1796875" customWidth="1"/>
    <col min="27" max="27" width="10.36328125" customWidth="1"/>
  </cols>
  <sheetData>
    <row r="1" spans="1:6" ht="16" customHeight="1" x14ac:dyDescent="0.35">
      <c r="B1" s="62" t="s">
        <v>171</v>
      </c>
      <c r="E1" s="24"/>
    </row>
    <row r="2" spans="1:6" ht="16" customHeight="1" x14ac:dyDescent="0.35">
      <c r="B2" s="170" t="s">
        <v>192</v>
      </c>
      <c r="C2" s="131"/>
      <c r="E2" s="24"/>
    </row>
    <row r="3" spans="1:6" ht="16" customHeight="1" x14ac:dyDescent="0.35"/>
    <row r="4" spans="1:6" ht="18" customHeight="1" x14ac:dyDescent="0.35">
      <c r="A4" s="63"/>
      <c r="B4" s="66" t="s">
        <v>9</v>
      </c>
      <c r="C4" s="67" t="s">
        <v>8</v>
      </c>
      <c r="D4" s="67" t="s">
        <v>7</v>
      </c>
      <c r="E4" s="16"/>
      <c r="F4" s="16"/>
    </row>
    <row r="5" spans="1:6" ht="18" customHeight="1" x14ac:dyDescent="0.35">
      <c r="A5" s="10"/>
      <c r="B5" s="15" t="s">
        <v>188</v>
      </c>
      <c r="C5" s="3" t="s">
        <v>1</v>
      </c>
      <c r="D5" s="84">
        <f>Input!D13/(30*Input!D45)</f>
        <v>81.777777777777771</v>
      </c>
      <c r="E5" s="16"/>
      <c r="F5" s="16"/>
    </row>
    <row r="6" spans="1:6" ht="18" customHeight="1" x14ac:dyDescent="0.35">
      <c r="A6" s="10"/>
      <c r="B6" s="15" t="s">
        <v>189</v>
      </c>
      <c r="C6" s="3" t="s">
        <v>1</v>
      </c>
      <c r="D6" s="84">
        <f>(Input!D14/(30*Input!D45))</f>
        <v>49.777777777777779</v>
      </c>
      <c r="E6" s="16"/>
      <c r="F6" s="16"/>
    </row>
    <row r="7" spans="1:6" ht="18" customHeight="1" x14ac:dyDescent="0.35">
      <c r="A7" s="10"/>
      <c r="B7" s="15" t="s">
        <v>190</v>
      </c>
      <c r="C7" s="3" t="s">
        <v>1</v>
      </c>
      <c r="D7" s="84">
        <f>D6*Input!D15/(Input!D15+Input!D16)</f>
        <v>39.822222222222223</v>
      </c>
      <c r="E7" s="16"/>
      <c r="F7" s="16"/>
    </row>
    <row r="8" spans="1:6" ht="18" customHeight="1" x14ac:dyDescent="0.35">
      <c r="A8" s="10"/>
      <c r="B8" s="15" t="s">
        <v>191</v>
      </c>
      <c r="C8" s="3" t="s">
        <v>1</v>
      </c>
      <c r="D8" s="84">
        <f>D6-D7</f>
        <v>9.9555555555555557</v>
      </c>
      <c r="E8" s="16"/>
      <c r="F8" s="16"/>
    </row>
    <row r="9" spans="1:6" ht="18" customHeight="1" x14ac:dyDescent="0.35">
      <c r="A9" s="64"/>
      <c r="B9" s="65"/>
      <c r="C9" s="16"/>
      <c r="D9" s="16"/>
      <c r="E9" s="16"/>
      <c r="F9" s="16"/>
    </row>
    <row r="10" spans="1:6" ht="18" customHeight="1" x14ac:dyDescent="0.35">
      <c r="A10" s="64"/>
      <c r="B10" s="15" t="s">
        <v>143</v>
      </c>
      <c r="C10" s="3" t="s">
        <v>10</v>
      </c>
      <c r="D10" s="72">
        <f>Input!D20/1000*Input!D62*Input!D18/Input!D19</f>
        <v>261249.99999999997</v>
      </c>
      <c r="E10" s="3" t="s">
        <v>38</v>
      </c>
      <c r="F10" s="61">
        <f>D10/12000</f>
        <v>21.770833333333332</v>
      </c>
    </row>
    <row r="11" spans="1:6" ht="18" customHeight="1" x14ac:dyDescent="0.35">
      <c r="A11" s="64"/>
      <c r="B11" s="15" t="s">
        <v>144</v>
      </c>
      <c r="C11" s="3" t="s">
        <v>10</v>
      </c>
      <c r="D11" s="3">
        <f>Input!D20/1000*Input!D62</f>
        <v>125399.99999999999</v>
      </c>
      <c r="E11" s="3" t="s">
        <v>38</v>
      </c>
      <c r="F11" s="61">
        <f>D11/12000</f>
        <v>10.45</v>
      </c>
    </row>
    <row r="12" spans="1:6" ht="18" customHeight="1" x14ac:dyDescent="0.35">
      <c r="A12" s="10"/>
      <c r="B12" s="16"/>
      <c r="C12" s="16"/>
      <c r="D12" s="16"/>
      <c r="E12" s="16"/>
      <c r="F12" s="16"/>
    </row>
    <row r="13" spans="1:6" ht="15.5" customHeight="1" x14ac:dyDescent="0.35">
      <c r="A13" s="73"/>
      <c r="B13" s="173" t="s">
        <v>29</v>
      </c>
      <c r="C13" s="173"/>
      <c r="D13" s="173"/>
    </row>
    <row r="14" spans="1:6" ht="16" hidden="1" customHeight="1" x14ac:dyDescent="0.35">
      <c r="A14" s="46"/>
      <c r="B14" s="46"/>
      <c r="C14" s="46"/>
      <c r="D14" s="46"/>
      <c r="F14" t="s">
        <v>156</v>
      </c>
    </row>
    <row r="15" spans="1:6" ht="16" customHeight="1" x14ac:dyDescent="0.35"/>
    <row r="16" spans="1:6" ht="16" customHeight="1" x14ac:dyDescent="0.35">
      <c r="A16" s="74"/>
      <c r="B16" s="6" t="s">
        <v>9</v>
      </c>
      <c r="C16" s="5" t="s">
        <v>8</v>
      </c>
      <c r="D16" s="5" t="s">
        <v>7</v>
      </c>
      <c r="F16" s="63"/>
    </row>
    <row r="17" spans="1:14" ht="16" customHeight="1" x14ac:dyDescent="0.35">
      <c r="A17" s="71"/>
      <c r="B17" s="7" t="s">
        <v>148</v>
      </c>
      <c r="C17" s="8" t="s">
        <v>0</v>
      </c>
      <c r="D17" s="153">
        <f>IF(Input!D36="Yes",D6/(Input!D9*Input!D65/100),D7/(Input!D9*Input!D65/100))</f>
        <v>13.013798111837326</v>
      </c>
      <c r="E17" s="24"/>
      <c r="F17" s="154"/>
    </row>
    <row r="18" spans="1:14" ht="16" customHeight="1" x14ac:dyDescent="0.35">
      <c r="A18" s="71"/>
      <c r="B18" s="2" t="s">
        <v>149</v>
      </c>
      <c r="C18" s="3" t="s">
        <v>0</v>
      </c>
      <c r="D18" s="84">
        <f>D17</f>
        <v>13.013798111837326</v>
      </c>
    </row>
    <row r="19" spans="1:14" ht="16" customHeight="1" x14ac:dyDescent="0.35">
      <c r="A19" s="75"/>
      <c r="B19" s="80" t="s">
        <v>150</v>
      </c>
      <c r="C19" s="49" t="s">
        <v>1</v>
      </c>
      <c r="D19" s="83">
        <f>IF(Input!D36="Yes",ROUND(D6*Input!D16/(Input!D15+Input!D16)/(Input!D66/100),0.5),0)</f>
        <v>12</v>
      </c>
      <c r="E19" s="155" t="str">
        <f>Input!D36</f>
        <v>Yes</v>
      </c>
    </row>
    <row r="20" spans="1:14" ht="16" customHeight="1" x14ac:dyDescent="0.35">
      <c r="A20" s="71"/>
      <c r="B20" s="2" t="s">
        <v>162</v>
      </c>
      <c r="C20" s="3" t="s">
        <v>11</v>
      </c>
      <c r="D20" s="61">
        <f>D17*Input!D61</f>
        <v>1561.6557734204791</v>
      </c>
    </row>
    <row r="21" spans="1:14" ht="16" customHeight="1" x14ac:dyDescent="0.35">
      <c r="A21" s="71"/>
      <c r="B21" s="2" t="s">
        <v>163</v>
      </c>
      <c r="C21" s="3" t="s">
        <v>11</v>
      </c>
      <c r="D21" s="41">
        <f>Input!D24</f>
        <v>1500</v>
      </c>
    </row>
    <row r="22" spans="1:14" ht="16" customHeight="1" x14ac:dyDescent="0.35">
      <c r="A22" s="71"/>
      <c r="B22" s="10"/>
      <c r="C22" s="71"/>
      <c r="D22" s="58"/>
    </row>
    <row r="23" spans="1:14" ht="16" customHeight="1" x14ac:dyDescent="0.35">
      <c r="A23" s="71"/>
      <c r="B23" s="42" t="s">
        <v>152</v>
      </c>
      <c r="C23" s="43" t="s">
        <v>0</v>
      </c>
      <c r="D23" s="77">
        <f>(D21/Input!D61)</f>
        <v>12.5</v>
      </c>
      <c r="H23" s="98" t="s">
        <v>219</v>
      </c>
      <c r="I23" s="98" t="s">
        <v>234</v>
      </c>
    </row>
    <row r="24" spans="1:14" ht="16" customHeight="1" x14ac:dyDescent="0.35">
      <c r="A24" s="71"/>
      <c r="B24" s="80" t="s">
        <v>151</v>
      </c>
      <c r="C24" s="49" t="s">
        <v>0</v>
      </c>
      <c r="D24" s="83">
        <f>IF(D23&gt;D17, D17, D23)</f>
        <v>12.5</v>
      </c>
      <c r="F24" s="82" t="s">
        <v>158</v>
      </c>
      <c r="H24" s="119" t="s">
        <v>220</v>
      </c>
      <c r="I24" s="119" t="s">
        <v>235</v>
      </c>
    </row>
    <row r="25" spans="1:14" ht="16" customHeight="1" x14ac:dyDescent="0.35">
      <c r="A25" s="71"/>
      <c r="B25" s="80" t="s">
        <v>211</v>
      </c>
      <c r="C25" s="49" t="s">
        <v>1</v>
      </c>
      <c r="D25" s="83">
        <f>IF(D19=0,0,IF((D26-D27)&gt;D8,D8,D26-D27))</f>
        <v>7.9902777777777771</v>
      </c>
    </row>
    <row r="26" spans="1:14" ht="16" customHeight="1" x14ac:dyDescent="0.35">
      <c r="A26" s="71"/>
      <c r="B26" s="42" t="s">
        <v>197</v>
      </c>
      <c r="C26" s="43" t="s">
        <v>1</v>
      </c>
      <c r="D26" s="77">
        <f>D24*Input!D9*Input!D65/100</f>
        <v>47.8125</v>
      </c>
      <c r="E26" s="155" t="s">
        <v>300</v>
      </c>
      <c r="F26" s="15" t="s">
        <v>199</v>
      </c>
      <c r="G26" s="3" t="s">
        <v>1</v>
      </c>
      <c r="H26" s="117">
        <f>D7-(D27+D35)</f>
        <v>0</v>
      </c>
      <c r="I26" s="4" t="s">
        <v>4</v>
      </c>
      <c r="J26" s="132">
        <f>IF(H26&gt;0, H26*Input!D45, H26*Input!D46)</f>
        <v>0</v>
      </c>
      <c r="L26" s="2" t="s">
        <v>141</v>
      </c>
      <c r="M26" s="3" t="s">
        <v>18</v>
      </c>
      <c r="N26" s="21">
        <v>0.13</v>
      </c>
    </row>
    <row r="27" spans="1:14" ht="16" customHeight="1" x14ac:dyDescent="0.35">
      <c r="A27" s="71"/>
      <c r="B27" s="42" t="s">
        <v>153</v>
      </c>
      <c r="C27" s="43" t="s">
        <v>1</v>
      </c>
      <c r="D27" s="77">
        <f>IF(D26&gt;(D7-D35),(D7-D35),D26)</f>
        <v>39.822222222222223</v>
      </c>
      <c r="E27" s="156">
        <f>D7</f>
        <v>39.822222222222223</v>
      </c>
      <c r="F27" s="15" t="s">
        <v>201</v>
      </c>
      <c r="G27" s="3" t="s">
        <v>1</v>
      </c>
      <c r="H27" s="117">
        <f>IF(D8&gt;D28,D8-D28,0)</f>
        <v>1.9652777777777786</v>
      </c>
      <c r="I27" s="4" t="s">
        <v>4</v>
      </c>
      <c r="J27" s="132">
        <f>IF(H27&gt;0, H27*Input!D45, H27*Input!D46)</f>
        <v>0.29479166666666679</v>
      </c>
      <c r="L27" s="42" t="s">
        <v>142</v>
      </c>
      <c r="M27" s="43" t="s">
        <v>18</v>
      </c>
      <c r="N27" s="68">
        <v>3.5000000000000003E-2</v>
      </c>
    </row>
    <row r="28" spans="1:14" ht="16" customHeight="1" x14ac:dyDescent="0.35">
      <c r="A28" s="71"/>
      <c r="B28" s="42" t="s">
        <v>154</v>
      </c>
      <c r="C28" s="43" t="s">
        <v>1</v>
      </c>
      <c r="D28" s="77">
        <f>IF(D19=0,0,IF((D26-D27)&gt;D8,D8,D26-D27))</f>
        <v>7.9902777777777771</v>
      </c>
      <c r="E28" s="156">
        <f>D8</f>
        <v>9.9555555555555557</v>
      </c>
      <c r="F28" s="15" t="s">
        <v>200</v>
      </c>
      <c r="G28" s="3" t="s">
        <v>1</v>
      </c>
      <c r="H28" s="117">
        <f>H26+H27</f>
        <v>1.9652777777777786</v>
      </c>
      <c r="I28" s="4" t="s">
        <v>4</v>
      </c>
      <c r="J28" s="132">
        <f>J26+J27</f>
        <v>0.29479166666666679</v>
      </c>
    </row>
    <row r="29" spans="1:14" ht="16" customHeight="1" x14ac:dyDescent="0.35">
      <c r="A29" s="71"/>
      <c r="B29" s="54"/>
      <c r="C29" s="55"/>
      <c r="D29" s="79"/>
      <c r="E29" s="24"/>
      <c r="F29" s="174"/>
      <c r="G29" s="174"/>
      <c r="H29" s="174"/>
      <c r="I29" s="174"/>
      <c r="J29" s="174"/>
    </row>
    <row r="30" spans="1:14" ht="16" customHeight="1" x14ac:dyDescent="0.35">
      <c r="A30" s="71"/>
      <c r="B30" s="2" t="s">
        <v>198</v>
      </c>
      <c r="C30" s="3" t="s">
        <v>40</v>
      </c>
      <c r="D30" s="61">
        <f>100+(100*F11)</f>
        <v>1145</v>
      </c>
      <c r="F30" s="93" t="s">
        <v>159</v>
      </c>
      <c r="G30" s="43" t="s">
        <v>1</v>
      </c>
      <c r="H30" s="118">
        <f>H28*365</f>
        <v>717.32638888888914</v>
      </c>
      <c r="I30" s="4" t="s">
        <v>4</v>
      </c>
      <c r="J30" s="132">
        <f>J28*30*12</f>
        <v>106.12500000000004</v>
      </c>
    </row>
    <row r="31" spans="1:14" ht="16" customHeight="1" x14ac:dyDescent="0.35">
      <c r="A31" s="71"/>
      <c r="B31" s="2" t="s">
        <v>44</v>
      </c>
      <c r="C31" s="3" t="s">
        <v>40</v>
      </c>
      <c r="D31" s="3">
        <f>Input!D26*(Input!D25/10+1)+Input!D25</f>
        <v>440</v>
      </c>
      <c r="F31" s="48"/>
      <c r="G31" s="48"/>
      <c r="H31" s="48"/>
    </row>
    <row r="32" spans="1:14" ht="16" customHeight="1" x14ac:dyDescent="0.35">
      <c r="A32" s="71"/>
      <c r="B32" s="38" t="s">
        <v>45</v>
      </c>
      <c r="C32" s="25" t="s">
        <v>38</v>
      </c>
      <c r="D32" s="25">
        <f>IF(D31=0, 0, (D31-100)/100)</f>
        <v>3.4</v>
      </c>
      <c r="F32" s="48"/>
      <c r="G32" s="48"/>
      <c r="H32" s="48"/>
    </row>
    <row r="33" spans="1:14" ht="16" customHeight="1" x14ac:dyDescent="0.35">
      <c r="A33" s="71"/>
      <c r="B33" s="38" t="s">
        <v>145</v>
      </c>
      <c r="C33" s="25" t="s">
        <v>10</v>
      </c>
      <c r="D33" s="25">
        <f>D32*12000</f>
        <v>40800</v>
      </c>
      <c r="F33" s="93" t="s">
        <v>202</v>
      </c>
      <c r="G33" s="43" t="s">
        <v>10</v>
      </c>
      <c r="H33" s="43">
        <f>IF(D33&lt;D11,D11-D33,0)</f>
        <v>84599.999999999985</v>
      </c>
      <c r="I33" s="4" t="s">
        <v>4</v>
      </c>
      <c r="J33" s="44">
        <f>H33/D11*(Input!D19/30)</f>
        <v>2.6985645933014353</v>
      </c>
      <c r="K33" s="24"/>
      <c r="N33"/>
    </row>
    <row r="34" spans="1:14" ht="16" customHeight="1" x14ac:dyDescent="0.35">
      <c r="A34" s="71"/>
      <c r="B34" s="10"/>
      <c r="C34" s="71"/>
      <c r="D34" s="71"/>
      <c r="F34" s="93" t="s">
        <v>218</v>
      </c>
      <c r="G34" s="43" t="s">
        <v>10</v>
      </c>
      <c r="H34" s="78">
        <f>H33*365</f>
        <v>30878999.999999996</v>
      </c>
      <c r="I34" s="4" t="s">
        <v>4</v>
      </c>
      <c r="J34" s="44">
        <f>H33/D11*Input!D19*12</f>
        <v>971.48325358851673</v>
      </c>
    </row>
    <row r="35" spans="1:14" ht="16" customHeight="1" x14ac:dyDescent="0.35">
      <c r="A35" s="71"/>
      <c r="B35" s="35" t="s">
        <v>155</v>
      </c>
      <c r="C35" s="36" t="s">
        <v>1</v>
      </c>
      <c r="D35" s="36">
        <f>CEILING(Input!D22*Input!D73*Input!D68/100/3.6,0.5)</f>
        <v>0</v>
      </c>
    </row>
    <row r="36" spans="1:14" ht="16" customHeight="1" x14ac:dyDescent="0.35">
      <c r="A36" s="71"/>
      <c r="B36" s="38" t="s">
        <v>54</v>
      </c>
      <c r="C36" s="25" t="s">
        <v>0</v>
      </c>
      <c r="D36" s="81">
        <f>D35/Input!D74</f>
        <v>0</v>
      </c>
      <c r="F36" s="16"/>
      <c r="G36" s="71"/>
      <c r="H36" s="71"/>
    </row>
    <row r="37" spans="1:14" ht="16" customHeight="1" x14ac:dyDescent="0.35"/>
    <row r="38" spans="1:14" ht="16" customHeight="1" x14ac:dyDescent="0.35"/>
    <row r="39" spans="1:14" ht="16" customHeight="1" x14ac:dyDescent="0.35"/>
    <row r="40" spans="1:14" ht="16" customHeight="1" x14ac:dyDescent="0.35"/>
    <row r="41" spans="1:14" ht="16" customHeight="1" x14ac:dyDescent="0.35"/>
    <row r="43" spans="1:14" ht="16" customHeight="1" x14ac:dyDescent="0.35"/>
    <row r="44" spans="1:14" ht="16" customHeight="1" x14ac:dyDescent="0.35"/>
    <row r="45" spans="1:14" ht="16" customHeight="1" x14ac:dyDescent="0.35"/>
    <row r="46" spans="1:14" ht="16" customHeight="1" x14ac:dyDescent="0.35"/>
    <row r="47" spans="1:14" ht="16" customHeight="1" x14ac:dyDescent="0.35"/>
    <row r="48" spans="1:14" ht="16" customHeight="1" x14ac:dyDescent="0.35"/>
    <row r="49" ht="16" customHeight="1" x14ac:dyDescent="0.35"/>
    <row r="50" ht="16" customHeight="1" x14ac:dyDescent="0.35"/>
    <row r="51" ht="16" customHeight="1" x14ac:dyDescent="0.35"/>
    <row r="52" ht="16" customHeight="1" x14ac:dyDescent="0.35"/>
    <row r="53" ht="16" customHeight="1" x14ac:dyDescent="0.35"/>
    <row r="54" ht="16" customHeight="1" x14ac:dyDescent="0.35"/>
    <row r="55" ht="16" customHeight="1" x14ac:dyDescent="0.35"/>
    <row r="56" ht="16" customHeight="1" x14ac:dyDescent="0.35"/>
    <row r="57" ht="16" customHeight="1" x14ac:dyDescent="0.35"/>
    <row r="58" ht="16" customHeight="1" x14ac:dyDescent="0.35"/>
    <row r="59" ht="16" customHeight="1" x14ac:dyDescent="0.35"/>
    <row r="60" ht="16" customHeight="1" x14ac:dyDescent="0.35"/>
    <row r="61" ht="16" customHeight="1" x14ac:dyDescent="0.35"/>
    <row r="62" ht="16" customHeight="1" x14ac:dyDescent="0.35"/>
    <row r="63" ht="16" customHeight="1" x14ac:dyDescent="0.35"/>
    <row r="64" ht="16" customHeight="1" x14ac:dyDescent="0.35"/>
    <row r="65" spans="16383:16383" ht="16" customHeight="1" x14ac:dyDescent="0.35"/>
    <row r="66" spans="16383:16383" ht="16" customHeight="1" x14ac:dyDescent="0.35"/>
    <row r="67" spans="16383:16383" ht="16" customHeight="1" x14ac:dyDescent="0.35"/>
    <row r="68" spans="16383:16383" ht="16" customHeight="1" x14ac:dyDescent="0.35"/>
    <row r="69" spans="16383:16383" ht="16" customHeight="1" x14ac:dyDescent="0.35"/>
    <row r="70" spans="16383:16383" ht="16" customHeight="1" x14ac:dyDescent="0.35"/>
    <row r="71" spans="16383:16383" ht="16" customHeight="1" x14ac:dyDescent="0.35"/>
    <row r="72" spans="16383:16383" ht="16" customHeight="1" x14ac:dyDescent="0.35"/>
    <row r="73" spans="16383:16383" ht="16" customHeight="1" x14ac:dyDescent="0.35"/>
    <row r="74" spans="16383:16383" ht="16" customHeight="1" x14ac:dyDescent="0.35"/>
    <row r="75" spans="16383:16383" ht="16" customHeight="1" x14ac:dyDescent="0.35"/>
    <row r="76" spans="16383:16383" ht="16" customHeight="1" x14ac:dyDescent="0.35"/>
    <row r="77" spans="16383:16383" s="27" customFormat="1" ht="16" customHeight="1" x14ac:dyDescent="0.35"/>
    <row r="78" spans="16383:16383" ht="16" customHeight="1" x14ac:dyDescent="0.35">
      <c r="XFC78" s="32"/>
    </row>
    <row r="79" spans="16383:16383" ht="16" customHeight="1" x14ac:dyDescent="0.35"/>
    <row r="80" spans="16383:16383" ht="16" customHeight="1" x14ac:dyDescent="0.35"/>
    <row r="81" spans="7:7" s="27" customFormat="1" ht="16" customHeight="1" x14ac:dyDescent="0.35"/>
    <row r="82" spans="7:7" ht="16" customHeight="1" x14ac:dyDescent="0.35"/>
    <row r="83" spans="7:7" ht="16" customHeight="1" x14ac:dyDescent="0.35"/>
    <row r="84" spans="7:7" ht="16" customHeight="1" x14ac:dyDescent="0.35"/>
    <row r="85" spans="7:7" ht="16" customHeight="1" x14ac:dyDescent="0.35"/>
    <row r="86" spans="7:7" ht="16" customHeight="1" x14ac:dyDescent="0.35"/>
    <row r="87" spans="7:7" ht="16" customHeight="1" x14ac:dyDescent="0.35"/>
    <row r="88" spans="7:7" ht="16" customHeight="1" x14ac:dyDescent="0.35"/>
    <row r="89" spans="7:7" ht="16" customHeight="1" x14ac:dyDescent="0.35"/>
    <row r="90" spans="7:7" ht="16" customHeight="1" x14ac:dyDescent="0.35">
      <c r="G90" t="s">
        <v>140</v>
      </c>
    </row>
    <row r="91" spans="7:7" ht="16" customHeight="1" x14ac:dyDescent="0.35">
      <c r="G91" s="45" t="s">
        <v>160</v>
      </c>
    </row>
    <row r="92" spans="7:7" ht="16" customHeight="1" x14ac:dyDescent="0.35">
      <c r="G92" s="45" t="s">
        <v>161</v>
      </c>
    </row>
    <row r="93" spans="7:7" ht="16" customHeight="1" x14ac:dyDescent="0.35"/>
    <row r="94" spans="7:7" ht="16" customHeight="1" x14ac:dyDescent="0.35"/>
    <row r="95" spans="7:7" ht="16" customHeight="1" x14ac:dyDescent="0.35"/>
    <row r="96" spans="7:7" ht="16" customHeight="1" x14ac:dyDescent="0.35"/>
    <row r="97" ht="16" customHeight="1" x14ac:dyDescent="0.35"/>
    <row r="98" ht="16" customHeight="1" x14ac:dyDescent="0.35"/>
    <row r="99" ht="16" customHeight="1" x14ac:dyDescent="0.35"/>
    <row r="100" ht="16" customHeight="1" x14ac:dyDescent="0.35"/>
    <row r="101" ht="16" customHeight="1" x14ac:dyDescent="0.35"/>
    <row r="102" ht="16" customHeight="1" x14ac:dyDescent="0.35"/>
    <row r="103" ht="16" customHeight="1" x14ac:dyDescent="0.35"/>
    <row r="104" ht="16" customHeight="1" x14ac:dyDescent="0.35"/>
    <row r="105" ht="16" customHeight="1" x14ac:dyDescent="0.35"/>
    <row r="106" ht="16" customHeight="1" x14ac:dyDescent="0.35"/>
    <row r="107" ht="16" customHeight="1" x14ac:dyDescent="0.35"/>
    <row r="108" ht="16" customHeight="1" x14ac:dyDescent="0.35"/>
    <row r="109" ht="16" customHeight="1" x14ac:dyDescent="0.35"/>
    <row r="110" ht="16" customHeight="1" x14ac:dyDescent="0.35"/>
    <row r="111" ht="16" customHeight="1" x14ac:dyDescent="0.35"/>
    <row r="112" ht="16" customHeight="1" x14ac:dyDescent="0.35"/>
    <row r="113" ht="16" customHeight="1" x14ac:dyDescent="0.35"/>
    <row r="114" ht="16" customHeight="1" x14ac:dyDescent="0.35"/>
    <row r="115" ht="16" customHeight="1" x14ac:dyDescent="0.35"/>
    <row r="116" ht="16" customHeight="1" x14ac:dyDescent="0.35"/>
    <row r="117" ht="16" customHeight="1" x14ac:dyDescent="0.35"/>
    <row r="118" ht="16" customHeight="1" x14ac:dyDescent="0.35"/>
    <row r="119" ht="16" customHeight="1" x14ac:dyDescent="0.35"/>
    <row r="120" ht="16" customHeight="1" x14ac:dyDescent="0.35"/>
    <row r="121" ht="16" customHeight="1" x14ac:dyDescent="0.35"/>
    <row r="122" ht="16" customHeight="1" x14ac:dyDescent="0.35"/>
    <row r="123" ht="16" customHeight="1" x14ac:dyDescent="0.35"/>
    <row r="124" ht="16" customHeight="1" x14ac:dyDescent="0.35"/>
    <row r="125" ht="16" customHeight="1" x14ac:dyDescent="0.35"/>
    <row r="126" ht="16" customHeight="1" x14ac:dyDescent="0.35"/>
    <row r="127" ht="16" customHeight="1" x14ac:dyDescent="0.35"/>
    <row r="128" ht="16" customHeight="1" x14ac:dyDescent="0.35"/>
    <row r="129" ht="16" customHeight="1" x14ac:dyDescent="0.35"/>
    <row r="130" ht="16" customHeight="1" x14ac:dyDescent="0.35"/>
    <row r="131" ht="16" customHeight="1" x14ac:dyDescent="0.35"/>
    <row r="132" ht="16" customHeight="1" x14ac:dyDescent="0.35"/>
    <row r="133" ht="16" customHeight="1" x14ac:dyDescent="0.35"/>
    <row r="134" ht="16" customHeight="1" x14ac:dyDescent="0.35"/>
    <row r="135" ht="16" customHeight="1" x14ac:dyDescent="0.35"/>
    <row r="136" ht="16" customHeight="1" x14ac:dyDescent="0.35"/>
    <row r="137" ht="16" customHeight="1" x14ac:dyDescent="0.35"/>
    <row r="138" ht="16" customHeight="1" x14ac:dyDescent="0.35"/>
    <row r="139" ht="16" customHeight="1" x14ac:dyDescent="0.35"/>
    <row r="140" ht="16" customHeight="1" x14ac:dyDescent="0.35"/>
    <row r="141" ht="16" customHeight="1" x14ac:dyDescent="0.35"/>
    <row r="142" ht="16" customHeight="1" x14ac:dyDescent="0.35"/>
    <row r="143" ht="16" customHeight="1" x14ac:dyDescent="0.35"/>
    <row r="144" ht="16" customHeight="1" x14ac:dyDescent="0.35"/>
    <row r="145" ht="16" customHeight="1" x14ac:dyDescent="0.35"/>
    <row r="146" ht="16" customHeight="1" x14ac:dyDescent="0.35"/>
    <row r="147" ht="16" customHeight="1" x14ac:dyDescent="0.35"/>
    <row r="148" ht="16" customHeight="1" x14ac:dyDescent="0.35"/>
    <row r="149" ht="16" customHeight="1" x14ac:dyDescent="0.35"/>
    <row r="150" ht="16" customHeight="1" x14ac:dyDescent="0.35"/>
    <row r="151" ht="16" customHeight="1" x14ac:dyDescent="0.35"/>
    <row r="152" ht="16" customHeight="1" x14ac:dyDescent="0.35"/>
    <row r="153" ht="16" customHeight="1" x14ac:dyDescent="0.35"/>
    <row r="154" ht="16" customHeight="1" x14ac:dyDescent="0.35"/>
    <row r="155" ht="16" customHeight="1" x14ac:dyDescent="0.35"/>
    <row r="156" ht="16" customHeight="1" x14ac:dyDescent="0.35"/>
    <row r="157" ht="16" customHeight="1" x14ac:dyDescent="0.35"/>
    <row r="158" ht="16" customHeight="1" x14ac:dyDescent="0.35"/>
    <row r="159" ht="16" customHeight="1" x14ac:dyDescent="0.35"/>
    <row r="160" ht="16" customHeight="1" x14ac:dyDescent="0.35"/>
    <row r="161" ht="16" customHeight="1" x14ac:dyDescent="0.35"/>
    <row r="162" ht="16" customHeight="1" x14ac:dyDescent="0.35"/>
    <row r="163" ht="16" customHeight="1" x14ac:dyDescent="0.35"/>
    <row r="164" ht="16" customHeight="1" x14ac:dyDescent="0.35"/>
    <row r="165" ht="16" customHeight="1" x14ac:dyDescent="0.35"/>
    <row r="166" ht="16" customHeight="1" x14ac:dyDescent="0.35"/>
    <row r="167" ht="16" customHeight="1" x14ac:dyDescent="0.35"/>
    <row r="168" ht="16" customHeight="1" x14ac:dyDescent="0.35"/>
    <row r="169" ht="16" customHeight="1" x14ac:dyDescent="0.35"/>
    <row r="170" ht="16" customHeight="1" x14ac:dyDescent="0.35"/>
    <row r="171" ht="16" customHeight="1" x14ac:dyDescent="0.35"/>
    <row r="172" ht="16" customHeight="1" x14ac:dyDescent="0.35"/>
    <row r="173" ht="16" customHeight="1" x14ac:dyDescent="0.35"/>
    <row r="174" ht="16" customHeight="1" x14ac:dyDescent="0.35"/>
    <row r="175" ht="16" customHeight="1" x14ac:dyDescent="0.35"/>
    <row r="176" ht="16" customHeight="1" x14ac:dyDescent="0.35"/>
    <row r="177" ht="16" customHeight="1" x14ac:dyDescent="0.35"/>
    <row r="178" ht="16" customHeight="1" x14ac:dyDescent="0.35"/>
    <row r="179" ht="16" customHeight="1" x14ac:dyDescent="0.35"/>
    <row r="180" ht="16" customHeight="1" x14ac:dyDescent="0.35"/>
    <row r="181" ht="16" customHeight="1" x14ac:dyDescent="0.35"/>
    <row r="182" ht="16" customHeight="1" x14ac:dyDescent="0.35"/>
    <row r="183" ht="16" customHeight="1" x14ac:dyDescent="0.35"/>
    <row r="184" ht="16" customHeight="1" x14ac:dyDescent="0.35"/>
    <row r="185" ht="16" customHeight="1" x14ac:dyDescent="0.35"/>
    <row r="186" ht="16" customHeight="1" x14ac:dyDescent="0.35"/>
    <row r="187" ht="16" customHeight="1" x14ac:dyDescent="0.35"/>
    <row r="188" ht="16" customHeight="1" x14ac:dyDescent="0.35"/>
    <row r="189" ht="16" customHeight="1" x14ac:dyDescent="0.35"/>
    <row r="190" ht="16" customHeight="1" x14ac:dyDescent="0.35"/>
    <row r="191" ht="16" customHeight="1" x14ac:dyDescent="0.35"/>
    <row r="192" ht="16" customHeight="1" x14ac:dyDescent="0.35"/>
    <row r="193" ht="16" customHeight="1" x14ac:dyDescent="0.35"/>
    <row r="194" ht="16" customHeight="1" x14ac:dyDescent="0.35"/>
    <row r="195" ht="16" customHeight="1" x14ac:dyDescent="0.35"/>
    <row r="196" ht="16" customHeight="1" x14ac:dyDescent="0.35"/>
    <row r="197" ht="16" customHeight="1" x14ac:dyDescent="0.35"/>
    <row r="198" ht="16" customHeight="1" x14ac:dyDescent="0.35"/>
    <row r="199" ht="16" customHeight="1" x14ac:dyDescent="0.35"/>
    <row r="200" ht="16" customHeight="1" x14ac:dyDescent="0.35"/>
    <row r="201" ht="16" customHeight="1" x14ac:dyDescent="0.35"/>
    <row r="202" ht="16" customHeight="1" x14ac:dyDescent="0.35"/>
    <row r="203" ht="16" customHeight="1" x14ac:dyDescent="0.35"/>
    <row r="204" ht="16" customHeight="1" x14ac:dyDescent="0.35"/>
    <row r="205" ht="16" customHeight="1" x14ac:dyDescent="0.35"/>
    <row r="206" ht="16" customHeight="1" x14ac:dyDescent="0.35"/>
    <row r="207" ht="16" customHeight="1" x14ac:dyDescent="0.35"/>
    <row r="208" ht="16" customHeight="1" x14ac:dyDescent="0.35"/>
    <row r="209" ht="16" customHeight="1" x14ac:dyDescent="0.35"/>
    <row r="210" ht="16" customHeight="1" x14ac:dyDescent="0.35"/>
    <row r="211" ht="16" customHeight="1" x14ac:dyDescent="0.35"/>
    <row r="212" ht="16" customHeight="1" x14ac:dyDescent="0.35"/>
    <row r="213" ht="16" customHeight="1" x14ac:dyDescent="0.35"/>
    <row r="214" ht="16" customHeight="1" x14ac:dyDescent="0.35"/>
    <row r="215" ht="16" customHeight="1" x14ac:dyDescent="0.35"/>
    <row r="216" ht="16" customHeight="1" x14ac:dyDescent="0.35"/>
    <row r="217" ht="16" customHeight="1" x14ac:dyDescent="0.35"/>
    <row r="218" ht="16" customHeight="1" x14ac:dyDescent="0.35"/>
    <row r="219" ht="16" customHeight="1" x14ac:dyDescent="0.35"/>
    <row r="220" ht="16" customHeight="1" x14ac:dyDescent="0.35"/>
    <row r="221" ht="16" customHeight="1" x14ac:dyDescent="0.35"/>
    <row r="222" ht="16" customHeight="1" x14ac:dyDescent="0.35"/>
    <row r="223" ht="16" customHeight="1" x14ac:dyDescent="0.35"/>
    <row r="224" ht="16" customHeight="1" x14ac:dyDescent="0.35"/>
    <row r="225" ht="16" customHeight="1" x14ac:dyDescent="0.35"/>
    <row r="226" ht="16" customHeight="1" x14ac:dyDescent="0.35"/>
    <row r="227" ht="16" customHeight="1" x14ac:dyDescent="0.35"/>
    <row r="228" ht="16" customHeight="1" x14ac:dyDescent="0.35"/>
    <row r="229" ht="16" customHeight="1" x14ac:dyDescent="0.35"/>
    <row r="230" ht="16" customHeight="1" x14ac:dyDescent="0.35"/>
    <row r="231" ht="16" customHeight="1" x14ac:dyDescent="0.35"/>
    <row r="232" ht="16" customHeight="1" x14ac:dyDescent="0.35"/>
    <row r="233" ht="16" customHeight="1" x14ac:dyDescent="0.35"/>
    <row r="234" ht="16" customHeight="1" x14ac:dyDescent="0.35"/>
    <row r="235" ht="16" customHeight="1" x14ac:dyDescent="0.35"/>
    <row r="236" ht="16" customHeight="1" x14ac:dyDescent="0.35"/>
    <row r="237" ht="16" customHeight="1" x14ac:dyDescent="0.35"/>
    <row r="238" ht="16" customHeight="1" x14ac:dyDescent="0.35"/>
    <row r="239" ht="16" customHeight="1" x14ac:dyDescent="0.35"/>
    <row r="240" ht="16" customHeight="1" x14ac:dyDescent="0.35"/>
    <row r="241" ht="16" customHeight="1" x14ac:dyDescent="0.35"/>
    <row r="242" ht="16" customHeight="1" x14ac:dyDescent="0.35"/>
    <row r="243" ht="16" customHeight="1" x14ac:dyDescent="0.35"/>
    <row r="244" ht="16" customHeight="1" x14ac:dyDescent="0.35"/>
    <row r="245" ht="16" customHeight="1" x14ac:dyDescent="0.35"/>
    <row r="246" ht="16" customHeight="1" x14ac:dyDescent="0.35"/>
    <row r="247" ht="16" customHeight="1" x14ac:dyDescent="0.35"/>
    <row r="248" ht="16" customHeight="1" x14ac:dyDescent="0.35"/>
    <row r="249" ht="16" customHeight="1" x14ac:dyDescent="0.35"/>
    <row r="250" ht="16" customHeight="1" x14ac:dyDescent="0.35"/>
    <row r="251" ht="16" customHeight="1" x14ac:dyDescent="0.35"/>
    <row r="252" ht="16" customHeight="1" x14ac:dyDescent="0.35"/>
    <row r="253" ht="16" customHeight="1" x14ac:dyDescent="0.35"/>
    <row r="254" ht="16" customHeight="1" x14ac:dyDescent="0.35"/>
    <row r="255" ht="16" customHeight="1" x14ac:dyDescent="0.35"/>
    <row r="256" ht="16" customHeight="1" x14ac:dyDescent="0.35"/>
    <row r="257" ht="16" customHeight="1" x14ac:dyDescent="0.35"/>
    <row r="258" ht="16" customHeight="1" x14ac:dyDescent="0.35"/>
    <row r="259" ht="16" customHeight="1" x14ac:dyDescent="0.35"/>
    <row r="260" ht="16" customHeight="1" x14ac:dyDescent="0.35"/>
    <row r="261" ht="16" customHeight="1" x14ac:dyDescent="0.35"/>
    <row r="262" ht="16" customHeight="1" x14ac:dyDescent="0.35"/>
    <row r="263" ht="16" customHeight="1" x14ac:dyDescent="0.35"/>
    <row r="264" ht="16" customHeight="1" x14ac:dyDescent="0.35"/>
    <row r="265" ht="16" customHeight="1" x14ac:dyDescent="0.35"/>
    <row r="266" ht="16" customHeight="1" x14ac:dyDescent="0.35"/>
    <row r="267" ht="16" customHeight="1" x14ac:dyDescent="0.35"/>
    <row r="268" ht="16" customHeight="1" x14ac:dyDescent="0.35"/>
    <row r="269" ht="16" customHeight="1" x14ac:dyDescent="0.35"/>
    <row r="270" ht="16" customHeight="1" x14ac:dyDescent="0.35"/>
    <row r="271" ht="16" customHeight="1" x14ac:dyDescent="0.35"/>
    <row r="272" ht="16" customHeight="1" x14ac:dyDescent="0.35"/>
    <row r="273" ht="16" customHeight="1" x14ac:dyDescent="0.35"/>
    <row r="274" ht="16" customHeight="1" x14ac:dyDescent="0.35"/>
    <row r="275" ht="16" customHeight="1" x14ac:dyDescent="0.35"/>
    <row r="276" ht="16" customHeight="1" x14ac:dyDescent="0.35"/>
    <row r="277" ht="16" customHeight="1" x14ac:dyDescent="0.35"/>
    <row r="278" ht="16" customHeight="1" x14ac:dyDescent="0.35"/>
    <row r="279" ht="16" customHeight="1" x14ac:dyDescent="0.35"/>
    <row r="280" ht="16" customHeight="1" x14ac:dyDescent="0.35"/>
    <row r="281" ht="16" customHeight="1" x14ac:dyDescent="0.35"/>
    <row r="282" ht="16" customHeight="1" x14ac:dyDescent="0.35"/>
    <row r="283" ht="16" customHeight="1" x14ac:dyDescent="0.35"/>
    <row r="284" ht="16" customHeight="1" x14ac:dyDescent="0.35"/>
    <row r="285" ht="16" customHeight="1" x14ac:dyDescent="0.35"/>
    <row r="286" ht="16" customHeight="1" x14ac:dyDescent="0.35"/>
    <row r="287" ht="16" customHeight="1" x14ac:dyDescent="0.35"/>
    <row r="288" ht="16" customHeight="1" x14ac:dyDescent="0.35"/>
    <row r="289" ht="16" customHeight="1" x14ac:dyDescent="0.35"/>
    <row r="290" ht="16" customHeight="1" x14ac:dyDescent="0.35"/>
    <row r="291" ht="16" customHeight="1" x14ac:dyDescent="0.35"/>
    <row r="292" ht="16" customHeight="1" x14ac:dyDescent="0.35"/>
    <row r="293" ht="16" customHeight="1" x14ac:dyDescent="0.35"/>
    <row r="294" ht="16" customHeight="1" x14ac:dyDescent="0.35"/>
    <row r="295" ht="16" customHeight="1" x14ac:dyDescent="0.35"/>
    <row r="296" ht="16" customHeight="1" x14ac:dyDescent="0.35"/>
    <row r="297" ht="16" customHeight="1" x14ac:dyDescent="0.35"/>
    <row r="298" ht="16" customHeight="1" x14ac:dyDescent="0.35"/>
    <row r="299" ht="16" customHeight="1" x14ac:dyDescent="0.35"/>
    <row r="300" ht="16" customHeight="1" x14ac:dyDescent="0.35"/>
    <row r="301" ht="16" customHeight="1" x14ac:dyDescent="0.35"/>
    <row r="302" ht="16" customHeight="1" x14ac:dyDescent="0.35"/>
  </sheetData>
  <mergeCells count="2">
    <mergeCell ref="B13:D13"/>
    <mergeCell ref="F29:J29"/>
  </mergeCells>
  <conditionalFormatting sqref="H26:H28">
    <cfRule type="cellIs" dxfId="21" priority="4" operator="greaterThan">
      <formula>0</formula>
    </cfRule>
    <cfRule type="expression" dxfId="20" priority="7">
      <formula>"IF H25&lt;0"</formula>
    </cfRule>
    <cfRule type="expression" dxfId="19" priority="9">
      <formula>"IF H25&gt;0"</formula>
    </cfRule>
  </conditionalFormatting>
  <conditionalFormatting sqref="H30">
    <cfRule type="cellIs" dxfId="18" priority="3" operator="greaterThan">
      <formula>0</formula>
    </cfRule>
  </conditionalFormatting>
  <conditionalFormatting sqref="J26:J28">
    <cfRule type="cellIs" dxfId="17" priority="2" operator="greaterThan">
      <formula>0</formula>
    </cfRule>
  </conditionalFormatting>
  <conditionalFormatting sqref="J30">
    <cfRule type="cellIs" dxfId="16" priority="1" operator="greater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5D55-A6FE-42C2-9AC6-B70A2E34181C}">
  <dimension ref="A1:AI110"/>
  <sheetViews>
    <sheetView topLeftCell="A29" zoomScale="104" zoomScaleNormal="104" workbookViewId="0">
      <selection activeCell="H17" sqref="H17"/>
    </sheetView>
  </sheetViews>
  <sheetFormatPr defaultColWidth="8.81640625" defaultRowHeight="14.5" x14ac:dyDescent="0.35"/>
  <cols>
    <col min="1" max="1" width="3.81640625" customWidth="1"/>
    <col min="2" max="2" width="51.1796875" customWidth="1"/>
    <col min="3" max="3" width="11.6328125" customWidth="1"/>
    <col min="4" max="4" width="12.1796875" customWidth="1"/>
    <col min="6" max="6" width="35.81640625" customWidth="1"/>
    <col min="7" max="7" width="21.81640625" customWidth="1"/>
    <col min="8" max="8" width="10.6328125" customWidth="1"/>
    <col min="9" max="9" width="9.81640625" bestFit="1" customWidth="1"/>
    <col min="10" max="10" width="9.6328125" customWidth="1"/>
    <col min="12" max="33" width="8.6328125" style="27"/>
  </cols>
  <sheetData>
    <row r="1" spans="1:33" ht="18" customHeight="1" x14ac:dyDescent="0.35">
      <c r="A1" s="27"/>
      <c r="F1" s="16"/>
      <c r="M1" s="28"/>
    </row>
    <row r="2" spans="1:33" ht="18" customHeight="1" x14ac:dyDescent="0.35">
      <c r="A2" s="26"/>
      <c r="B2" s="175" t="s">
        <v>53</v>
      </c>
      <c r="C2" s="175"/>
      <c r="D2" s="175"/>
      <c r="F2" s="175" t="s">
        <v>214</v>
      </c>
      <c r="G2" s="175"/>
      <c r="H2" s="175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33" ht="18" customHeight="1" x14ac:dyDescent="0.35">
      <c r="M3" s="28"/>
    </row>
    <row r="4" spans="1:33" ht="18" customHeight="1" x14ac:dyDescent="0.35">
      <c r="A4" s="74"/>
      <c r="B4" s="6" t="s">
        <v>9</v>
      </c>
      <c r="C4" s="5" t="s">
        <v>8</v>
      </c>
      <c r="D4" s="5" t="s">
        <v>7</v>
      </c>
      <c r="F4" s="6" t="s">
        <v>9</v>
      </c>
      <c r="G4" s="5" t="s">
        <v>8</v>
      </c>
      <c r="H4" s="5" t="s">
        <v>7</v>
      </c>
      <c r="L4" s="95"/>
      <c r="M4" s="96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33" ht="18" customHeight="1" x14ac:dyDescent="0.35">
      <c r="A5" s="71"/>
      <c r="B5" s="7" t="s">
        <v>49</v>
      </c>
      <c r="C5" s="8" t="s">
        <v>4</v>
      </c>
      <c r="D5" s="17">
        <f>'System Sizing'!D24*Input!D54</f>
        <v>18750</v>
      </c>
      <c r="F5" s="1" t="s">
        <v>63</v>
      </c>
      <c r="G5" s="4" t="s">
        <v>4</v>
      </c>
      <c r="H5" s="19">
        <f>CEILING(D10*Input!D29/100,1)</f>
        <v>4695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33" ht="18" customHeight="1" x14ac:dyDescent="0.35">
      <c r="A6" s="71"/>
      <c r="B6" s="7" t="s">
        <v>50</v>
      </c>
      <c r="C6" s="3" t="s">
        <v>4</v>
      </c>
      <c r="D6" s="17">
        <f>'System Sizing'!D25*Input!D55</f>
        <v>4794.1666666666661</v>
      </c>
      <c r="E6" s="20"/>
      <c r="F6" s="1" t="s">
        <v>64</v>
      </c>
      <c r="G6" s="4" t="s">
        <v>4</v>
      </c>
      <c r="H6" s="19">
        <f>CEILING(D10*Input!D30/100,1)</f>
        <v>26604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33" ht="18" customHeight="1" x14ac:dyDescent="0.35">
      <c r="A7" s="75"/>
      <c r="B7" s="2" t="s">
        <v>51</v>
      </c>
      <c r="C7" s="3" t="s">
        <v>4</v>
      </c>
      <c r="D7" s="17">
        <f>'System Sizing'!D32*Input!D56</f>
        <v>7140</v>
      </c>
      <c r="H7" s="20"/>
      <c r="L7" s="34"/>
      <c r="M7" s="97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33" ht="18" customHeight="1" x14ac:dyDescent="0.35">
      <c r="A8" s="71"/>
      <c r="B8" s="2" t="s">
        <v>52</v>
      </c>
      <c r="C8" s="91" t="s">
        <v>4</v>
      </c>
      <c r="D8" s="18">
        <f>'System Sizing'!D36*Input!D58</f>
        <v>0</v>
      </c>
      <c r="F8" s="15" t="s">
        <v>75</v>
      </c>
      <c r="G8" s="3" t="s">
        <v>74</v>
      </c>
      <c r="H8" s="18">
        <f>H5*Input!D31/(12*100)</f>
        <v>27.896124999999998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33" ht="18" customHeight="1" x14ac:dyDescent="0.35">
      <c r="A9" s="71"/>
      <c r="B9" s="140" t="s">
        <v>294</v>
      </c>
      <c r="C9" s="91" t="s">
        <v>4</v>
      </c>
      <c r="D9" s="18">
        <f>SUM(D5:D7)*Input!D58/100</f>
        <v>613.68333333333328</v>
      </c>
      <c r="F9" s="15" t="s">
        <v>76</v>
      </c>
      <c r="G9" s="3" t="s">
        <v>4</v>
      </c>
      <c r="H9" s="18">
        <f>PMT(Input!D33/(100*12), Input!D34*Input!D35, -H6)</f>
        <v>246.62236825512846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33" ht="18" customHeight="1" x14ac:dyDescent="0.35">
      <c r="B10" s="38" t="s">
        <v>57</v>
      </c>
      <c r="C10" s="92" t="s">
        <v>4</v>
      </c>
      <c r="D10" s="40">
        <f>SUM(D5:D9)</f>
        <v>31297.85</v>
      </c>
      <c r="F10" s="99" t="s">
        <v>139</v>
      </c>
      <c r="G10" s="25" t="s">
        <v>4</v>
      </c>
      <c r="H10" s="39">
        <f>H9*12*Input!D34</f>
        <v>44392.026285923122</v>
      </c>
      <c r="M10" s="28"/>
    </row>
    <row r="11" spans="1:33" ht="18" customHeight="1" x14ac:dyDescent="0.35">
      <c r="A11" s="71"/>
      <c r="B11" s="71"/>
      <c r="C11" s="85"/>
      <c r="D11" s="90"/>
    </row>
    <row r="12" spans="1:33" ht="18" customHeight="1" x14ac:dyDescent="0.35">
      <c r="B12" s="176" t="s">
        <v>58</v>
      </c>
      <c r="C12" s="176"/>
      <c r="D12" s="176"/>
      <c r="F12" s="120" t="s">
        <v>85</v>
      </c>
      <c r="G12" s="177" t="s">
        <v>85</v>
      </c>
      <c r="H12" s="177"/>
      <c r="I12" s="177"/>
      <c r="J12" s="177"/>
      <c r="K12" s="177" t="s">
        <v>85</v>
      </c>
      <c r="L12" s="177"/>
      <c r="M12" s="177"/>
      <c r="N12" s="177" t="s">
        <v>85</v>
      </c>
      <c r="O12" s="177"/>
      <c r="P12" s="177"/>
      <c r="Q12" s="177"/>
      <c r="R12" s="177" t="s">
        <v>85</v>
      </c>
      <c r="S12" s="177"/>
      <c r="T12" s="177"/>
      <c r="U12" s="177"/>
      <c r="V12" s="177" t="s">
        <v>85</v>
      </c>
      <c r="W12" s="177"/>
      <c r="X12" s="177"/>
      <c r="Y12" s="177"/>
      <c r="Z12" s="121"/>
      <c r="AA12" s="122"/>
      <c r="AB12"/>
      <c r="AC12"/>
      <c r="AD12"/>
      <c r="AE12"/>
      <c r="AF12"/>
      <c r="AG12"/>
    </row>
    <row r="13" spans="1:33" s="27" customFormat="1" ht="18" customHeight="1" x14ac:dyDescent="0.35">
      <c r="B13" s="26"/>
      <c r="C13" s="26"/>
      <c r="D13" s="26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33" ht="18" customHeight="1" x14ac:dyDescent="0.35">
      <c r="A14" s="71"/>
      <c r="B14" s="2" t="s">
        <v>131</v>
      </c>
      <c r="C14" s="3" t="s">
        <v>4</v>
      </c>
      <c r="D14" s="18">
        <f>D10*Input!D59/100</f>
        <v>625.95699999999999</v>
      </c>
      <c r="L14"/>
      <c r="M14"/>
      <c r="N14" s="2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8" customHeight="1" x14ac:dyDescent="0.35">
      <c r="G15" s="23" t="s">
        <v>86</v>
      </c>
      <c r="H15" s="22" t="s">
        <v>133</v>
      </c>
      <c r="I15" s="22" t="s">
        <v>133</v>
      </c>
      <c r="J15" s="22" t="s">
        <v>133</v>
      </c>
      <c r="K15" s="22" t="s">
        <v>133</v>
      </c>
      <c r="L15" s="22" t="s">
        <v>133</v>
      </c>
      <c r="M15" s="22" t="s">
        <v>133</v>
      </c>
      <c r="N15" s="22" t="s">
        <v>133</v>
      </c>
      <c r="O15" s="22" t="s">
        <v>133</v>
      </c>
      <c r="P15" s="22" t="s">
        <v>133</v>
      </c>
      <c r="Q15" s="22" t="s">
        <v>133</v>
      </c>
      <c r="R15" s="22" t="s">
        <v>133</v>
      </c>
      <c r="S15" s="22" t="s">
        <v>133</v>
      </c>
      <c r="T15" s="22" t="s">
        <v>133</v>
      </c>
      <c r="U15" s="22" t="s">
        <v>133</v>
      </c>
      <c r="V15" s="22" t="s">
        <v>133</v>
      </c>
      <c r="W15" s="22" t="s">
        <v>133</v>
      </c>
      <c r="X15" s="22" t="s">
        <v>133</v>
      </c>
      <c r="Y15" s="22" t="s">
        <v>133</v>
      </c>
      <c r="Z15" s="22" t="s">
        <v>133</v>
      </c>
      <c r="AA15" s="22" t="s">
        <v>133</v>
      </c>
      <c r="AB15"/>
      <c r="AC15"/>
      <c r="AD15"/>
      <c r="AE15"/>
      <c r="AF15"/>
      <c r="AG15"/>
    </row>
    <row r="16" spans="1:33" ht="18" customHeight="1" x14ac:dyDescent="0.35">
      <c r="A16" s="60"/>
      <c r="H16" s="100">
        <v>1</v>
      </c>
      <c r="I16" s="100">
        <v>2</v>
      </c>
      <c r="J16" s="100">
        <v>3</v>
      </c>
      <c r="K16" s="100">
        <v>4</v>
      </c>
      <c r="L16" s="100">
        <v>5</v>
      </c>
      <c r="M16" s="100">
        <v>6</v>
      </c>
      <c r="N16" s="100">
        <v>7</v>
      </c>
      <c r="O16" s="100">
        <v>8</v>
      </c>
      <c r="P16" s="100">
        <v>9</v>
      </c>
      <c r="Q16" s="100">
        <v>10</v>
      </c>
      <c r="R16" s="100">
        <v>11</v>
      </c>
      <c r="S16" s="100">
        <v>12</v>
      </c>
      <c r="T16" s="100">
        <v>13</v>
      </c>
      <c r="U16" s="100">
        <v>14</v>
      </c>
      <c r="V16" s="100">
        <v>15</v>
      </c>
      <c r="W16" s="100">
        <v>16</v>
      </c>
      <c r="X16" s="100">
        <v>17</v>
      </c>
      <c r="Y16" s="100">
        <v>18</v>
      </c>
      <c r="Z16" s="100">
        <v>19</v>
      </c>
      <c r="AA16" s="100">
        <v>20</v>
      </c>
      <c r="AB16"/>
      <c r="AC16"/>
      <c r="AD16"/>
      <c r="AE16"/>
      <c r="AF16"/>
      <c r="AG16"/>
    </row>
    <row r="17" spans="1:35" ht="18" customHeight="1" x14ac:dyDescent="0.35">
      <c r="B17" s="176" t="s">
        <v>215</v>
      </c>
      <c r="C17" s="176"/>
      <c r="D17" s="176"/>
      <c r="F17" s="178" t="s">
        <v>237</v>
      </c>
      <c r="G17" s="1" t="s">
        <v>305</v>
      </c>
      <c r="H17" s="31">
        <f>IF(H$16&gt;Input!$D$32, 0, $H$5+$H$8*12)</f>
        <v>5029.7534999999998</v>
      </c>
      <c r="I17" s="31">
        <f>IF(I$16&gt;Input!$D$32, 0, $H$8*12)</f>
        <v>334.75349999999997</v>
      </c>
      <c r="J17" s="31">
        <f>IF(J$16&gt;Input!$D$32, 0, $H$8*12)</f>
        <v>334.75349999999997</v>
      </c>
      <c r="K17" s="31">
        <f>IF(K$16&gt;Input!$D$32, 0, $H$8*12)</f>
        <v>334.75349999999997</v>
      </c>
      <c r="L17" s="31">
        <f>IF(L$16&gt;Input!$D$32, 0, $H$8*12)</f>
        <v>334.75349999999997</v>
      </c>
      <c r="M17" s="31">
        <f>IF(M$16&gt;Input!$D$32, 0, $H$8*12)</f>
        <v>334.75349999999997</v>
      </c>
      <c r="N17" s="31">
        <f>IF(N$16&gt;Input!$D$32, 0, $H$8*12)</f>
        <v>334.75349999999997</v>
      </c>
      <c r="O17" s="31">
        <f>IF(O$16&gt;Input!$D$32, 0, $H$8*12)</f>
        <v>334.75349999999997</v>
      </c>
      <c r="P17" s="31">
        <f>IF(P$16&gt;Input!$D$32, 0, $H$8*12)</f>
        <v>334.75349999999997</v>
      </c>
      <c r="Q17" s="31">
        <f>IF(Q$16&gt;Input!$D$32, 0, $H$8*12)</f>
        <v>334.75349999999997</v>
      </c>
      <c r="R17" s="31">
        <f>IF(R$16&gt;Input!$D$32, 0, $H$8*12)</f>
        <v>334.75349999999997</v>
      </c>
      <c r="S17" s="31">
        <f>IF(S$16&gt;Input!$D$32, 0, $H$8*12)</f>
        <v>334.75349999999997</v>
      </c>
      <c r="T17" s="31">
        <f>IF(T$16&gt;Input!$D$32, 0, $H$8*12)</f>
        <v>334.75349999999997</v>
      </c>
      <c r="U17" s="31">
        <f>IF(U$16&gt;Input!$D$32, 0, $H$8*12)</f>
        <v>334.75349999999997</v>
      </c>
      <c r="V17" s="31">
        <f>IF(V$16&gt;Input!$D$32, 0, $H$8*12)</f>
        <v>334.75349999999997</v>
      </c>
      <c r="W17" s="31">
        <f>IF(W$16&gt;Input!$D$32, 0, $H$8*12)</f>
        <v>334.75349999999997</v>
      </c>
      <c r="X17" s="31">
        <f>IF(X$16&gt;Input!$D$32, 0, $H$8*12)</f>
        <v>334.75349999999997</v>
      </c>
      <c r="Y17" s="31">
        <f>IF(Y$16&gt;Input!$D$32, 0, $H$8*12)</f>
        <v>334.75349999999997</v>
      </c>
      <c r="Z17" s="31">
        <f>IF(Z$16&gt;Input!$D$32, 0, $H$8*12)</f>
        <v>334.75349999999997</v>
      </c>
      <c r="AA17" s="31">
        <f>IF(AA$16&gt;Input!$D$32, 0, $H$8*12)</f>
        <v>334.75349999999997</v>
      </c>
      <c r="AB17"/>
      <c r="AC17"/>
      <c r="AD17"/>
      <c r="AE17"/>
      <c r="AF17"/>
      <c r="AG17"/>
    </row>
    <row r="18" spans="1:35" ht="18" customHeight="1" x14ac:dyDescent="0.35">
      <c r="A18" s="71"/>
      <c r="F18" s="179"/>
      <c r="G18" s="1" t="s">
        <v>88</v>
      </c>
      <c r="H18" s="31">
        <f>IF(H$16&lt;=Input!$D$34,$H$9*12,0)</f>
        <v>2959.4684190615417</v>
      </c>
      <c r="I18" s="31">
        <f>IF(I$16&lt;=Input!$D$34,$H$9*12,0)</f>
        <v>2959.4684190615417</v>
      </c>
      <c r="J18" s="31">
        <f>IF(J$16&lt;=Input!$D$34,$H$9*12,0)</f>
        <v>2959.4684190615417</v>
      </c>
      <c r="K18" s="31">
        <f>IF(K$16&lt;=Input!$D$34,$H$9*12,0)</f>
        <v>2959.4684190615417</v>
      </c>
      <c r="L18" s="31">
        <f>IF(L$16&lt;=Input!$D$34,$H$9*12,0)</f>
        <v>2959.4684190615417</v>
      </c>
      <c r="M18" s="31">
        <f>IF(M$16&lt;=Input!$D$34,$H$9*12,0)</f>
        <v>2959.4684190615417</v>
      </c>
      <c r="N18" s="31">
        <f>IF(N$16&lt;=Input!$D$34,$H$9*12,0)</f>
        <v>2959.4684190615417</v>
      </c>
      <c r="O18" s="31">
        <f>IF(O$16&lt;=Input!$D$34,$H$9*12,0)</f>
        <v>2959.4684190615417</v>
      </c>
      <c r="P18" s="31">
        <f>IF(P$16&lt;=Input!$D$34,$H$9*12,0)</f>
        <v>2959.4684190615417</v>
      </c>
      <c r="Q18" s="31">
        <f>IF(Q$16&lt;=Input!$D$34,$H$9*12,0)</f>
        <v>2959.4684190615417</v>
      </c>
      <c r="R18" s="31">
        <f>IF(R$16&lt;=Input!$D$34,$H$9*12,0)</f>
        <v>2959.4684190615417</v>
      </c>
      <c r="S18" s="31">
        <f>IF(S$16&lt;=Input!$D$34,$H$9*12,0)</f>
        <v>2959.4684190615417</v>
      </c>
      <c r="T18" s="31">
        <f>IF(T$16&lt;=Input!$D$34,$H$9*12,0)</f>
        <v>2959.4684190615417</v>
      </c>
      <c r="U18" s="31">
        <f>IF(U$16&lt;=Input!$D$34,$H$9*12,0)</f>
        <v>2959.4684190615417</v>
      </c>
      <c r="V18" s="31">
        <f>IF(V$16&lt;=Input!$D$34,$H$9*12,0)</f>
        <v>2959.4684190615417</v>
      </c>
      <c r="W18" s="31">
        <f>IF(W$16&lt;=Input!$D$34,$H$9*12,0)</f>
        <v>0</v>
      </c>
      <c r="X18" s="31">
        <f>IF(X$16&lt;=Input!$D$34,$H$9*12,0)</f>
        <v>0</v>
      </c>
      <c r="Y18" s="31">
        <f>IF(Y$16&lt;=Input!$D$34,$H$9*12,0)</f>
        <v>0</v>
      </c>
      <c r="Z18" s="31">
        <f>IF(Z$16&lt;=Input!$D$34,$H$9*12,0)</f>
        <v>0</v>
      </c>
      <c r="AA18" s="31">
        <f>IF(AA$16&lt;=Input!$D$34,$H$9*12,0)</f>
        <v>0</v>
      </c>
      <c r="AB18"/>
      <c r="AC18"/>
      <c r="AD18"/>
      <c r="AE18"/>
      <c r="AF18"/>
      <c r="AG18"/>
    </row>
    <row r="19" spans="1:35" ht="18" customHeight="1" x14ac:dyDescent="0.35">
      <c r="A19" s="71"/>
      <c r="B19" s="2" t="s">
        <v>216</v>
      </c>
      <c r="C19" s="3" t="s">
        <v>4</v>
      </c>
      <c r="D19" s="18">
        <f>'System Sizing'!J30</f>
        <v>106.12500000000004</v>
      </c>
      <c r="F19" s="179"/>
      <c r="G19" s="1" t="s">
        <v>58</v>
      </c>
      <c r="H19" s="31">
        <f>IF(H$16&lt;=Input!$D$32,$D$14,0)</f>
        <v>625.95699999999999</v>
      </c>
      <c r="I19" s="31">
        <f>IF(I$16&lt;=Input!$D$32,$D$14,0)</f>
        <v>625.95699999999999</v>
      </c>
      <c r="J19" s="31">
        <f>IF(J$16&lt;=Input!$D$32,$D$14,0)</f>
        <v>625.95699999999999</v>
      </c>
      <c r="K19" s="31">
        <f>IF(K$16&lt;=Input!$D$32,$D$14,0)</f>
        <v>625.95699999999999</v>
      </c>
      <c r="L19" s="31">
        <f>IF(L$16&lt;=Input!$D$32,$D$14,0)</f>
        <v>625.95699999999999</v>
      </c>
      <c r="M19" s="31">
        <f>IF(M$16&lt;=Input!$D$32,$D$14,0)</f>
        <v>625.95699999999999</v>
      </c>
      <c r="N19" s="31">
        <f>IF(N$16&lt;=Input!$D$32,$D$14,0)</f>
        <v>625.95699999999999</v>
      </c>
      <c r="O19" s="31">
        <f>IF(O$16&lt;=Input!$D$32,$D$14,0)</f>
        <v>625.95699999999999</v>
      </c>
      <c r="P19" s="31">
        <f>IF(P$16&lt;=Input!$D$32,$D$14,0)</f>
        <v>625.95699999999999</v>
      </c>
      <c r="Q19" s="31">
        <f>IF(Q$16&lt;=Input!$D$32,$D$14,0)</f>
        <v>625.95699999999999</v>
      </c>
      <c r="R19" s="31">
        <f>IF(R$16&lt;=Input!$D$32,$D$14,0)</f>
        <v>625.95699999999999</v>
      </c>
      <c r="S19" s="31">
        <f>IF(S$16&lt;=Input!$D$32,$D$14,0)</f>
        <v>625.95699999999999</v>
      </c>
      <c r="T19" s="31">
        <f>IF(T$16&lt;=Input!$D$32,$D$14,0)</f>
        <v>625.95699999999999</v>
      </c>
      <c r="U19" s="31">
        <f>IF(U$16&lt;=Input!$D$32,$D$14,0)</f>
        <v>625.95699999999999</v>
      </c>
      <c r="V19" s="31">
        <f>IF(V$16&lt;=Input!$D$32,$D$14,0)</f>
        <v>625.95699999999999</v>
      </c>
      <c r="W19" s="31">
        <f>IF(W$16&lt;=Input!$D$32,$D$14,0)</f>
        <v>625.95699999999999</v>
      </c>
      <c r="X19" s="31">
        <f>IF(X$16&lt;=Input!$D$32,$D$14,0)</f>
        <v>625.95699999999999</v>
      </c>
      <c r="Y19" s="31">
        <f>IF(Y$16&lt;=Input!$D$32,$D$14,0)</f>
        <v>625.95699999999999</v>
      </c>
      <c r="Z19" s="31">
        <f>IF(Z$16&lt;=Input!$D$32,$D$14,0)</f>
        <v>625.95699999999999</v>
      </c>
      <c r="AA19" s="31">
        <f>IF(AA$16&lt;=Input!$D$32,$D$14,0)</f>
        <v>625.95699999999999</v>
      </c>
      <c r="AB19"/>
      <c r="AC19"/>
      <c r="AD19"/>
      <c r="AE19"/>
      <c r="AF19"/>
      <c r="AG19"/>
    </row>
    <row r="20" spans="1:35" ht="18" customHeight="1" x14ac:dyDescent="0.35">
      <c r="A20" s="71"/>
      <c r="B20" s="2" t="s">
        <v>217</v>
      </c>
      <c r="C20" s="3" t="s">
        <v>4</v>
      </c>
      <c r="D20" s="18">
        <f>'System Sizing'!J34</f>
        <v>971.48325358851673</v>
      </c>
      <c r="F20" s="179"/>
      <c r="G20" s="1" t="s">
        <v>89</v>
      </c>
      <c r="H20" s="152">
        <f>IF(H$16&lt;=Input!$D$32,$D$19,0)</f>
        <v>106.12500000000004</v>
      </c>
      <c r="I20" s="159">
        <f>IF(I$16&lt;=Input!$D$32,$D$19,0)</f>
        <v>106.12500000000004</v>
      </c>
      <c r="J20" s="159">
        <f>IF(J$16&lt;=Input!$D$32,$D$19,0)</f>
        <v>106.12500000000004</v>
      </c>
      <c r="K20" s="159">
        <f>IF(K$16&lt;=Input!$D$32,$D$19,0)</f>
        <v>106.12500000000004</v>
      </c>
      <c r="L20" s="159">
        <f>IF(L$16&lt;=Input!$D$32,$D$19,0)</f>
        <v>106.12500000000004</v>
      </c>
      <c r="M20" s="159">
        <f>IF(M$16&lt;=Input!$D$32,$D$19,0)</f>
        <v>106.12500000000004</v>
      </c>
      <c r="N20" s="159">
        <f>IF(N$16&lt;=Input!$D$32,$D$19,0)</f>
        <v>106.12500000000004</v>
      </c>
      <c r="O20" s="159">
        <f>IF(O$16&lt;=Input!$D$32,$D$19,0)</f>
        <v>106.12500000000004</v>
      </c>
      <c r="P20" s="159">
        <f>IF(P$16&lt;=Input!$D$32,$D$19,0)</f>
        <v>106.12500000000004</v>
      </c>
      <c r="Q20" s="159">
        <f>IF(Q$16&lt;=Input!$D$32,$D$19,0)</f>
        <v>106.12500000000004</v>
      </c>
      <c r="R20" s="159">
        <f>IF(R$16&lt;=Input!$D$32,$D$19,0)</f>
        <v>106.12500000000004</v>
      </c>
      <c r="S20" s="159">
        <f>IF(S$16&lt;=Input!$D$32,$D$19,0)</f>
        <v>106.12500000000004</v>
      </c>
      <c r="T20" s="159">
        <f>IF(T$16&lt;=Input!$D$32,$D$19,0)</f>
        <v>106.12500000000004</v>
      </c>
      <c r="U20" s="159">
        <f>IF(U$16&lt;=Input!$D$32,$D$19,0)</f>
        <v>106.12500000000004</v>
      </c>
      <c r="V20" s="159">
        <f>IF(V$16&lt;=Input!$D$32,$D$19,0)</f>
        <v>106.12500000000004</v>
      </c>
      <c r="W20" s="159">
        <f>IF(W$16&lt;=Input!$D$32,$D$19,0)</f>
        <v>106.12500000000004</v>
      </c>
      <c r="X20" s="159">
        <f>IF(X$16&lt;=Input!$D$32,$D$19,0)</f>
        <v>106.12500000000004</v>
      </c>
      <c r="Y20" s="159">
        <f>IF(Y$16&lt;=Input!$D$32,$D$19,0)</f>
        <v>106.12500000000004</v>
      </c>
      <c r="Z20" s="159">
        <f>IF(Z$16&lt;=Input!$D$32,$D$19,0)</f>
        <v>106.12500000000004</v>
      </c>
      <c r="AA20" s="159">
        <f>IF(AA$16&lt;=Input!$D$32,$D$19,0)</f>
        <v>106.12500000000004</v>
      </c>
      <c r="AB20"/>
      <c r="AC20"/>
      <c r="AD20"/>
      <c r="AE20"/>
      <c r="AF20"/>
      <c r="AG20"/>
    </row>
    <row r="21" spans="1:35" ht="18" customHeight="1" x14ac:dyDescent="0.35">
      <c r="A21" s="71"/>
      <c r="F21" s="180"/>
      <c r="G21" s="1" t="s">
        <v>90</v>
      </c>
      <c r="H21" s="102">
        <f>IF(H$16&lt;=Input!$D$32,$D$20,0)</f>
        <v>971.48325358851673</v>
      </c>
      <c r="I21" s="31">
        <f>IF(I$16&lt;=Input!$D$32,$D$20,0)</f>
        <v>971.48325358851673</v>
      </c>
      <c r="J21" s="31">
        <f>IF(J$16&lt;=Input!$D$32,$D$20,0)</f>
        <v>971.48325358851673</v>
      </c>
      <c r="K21" s="31">
        <f>IF(K$16&lt;=Input!$D$32,$D$20,0)</f>
        <v>971.48325358851673</v>
      </c>
      <c r="L21" s="31">
        <f>IF(L$16&lt;=Input!$D$32,$D$20,0)</f>
        <v>971.48325358851673</v>
      </c>
      <c r="M21" s="31">
        <f>IF(M$16&lt;=Input!$D$32,$D$20,0)</f>
        <v>971.48325358851673</v>
      </c>
      <c r="N21" s="31">
        <f>IF(N$16&lt;=Input!$D$32,$D$20,0)</f>
        <v>971.48325358851673</v>
      </c>
      <c r="O21" s="31">
        <f>IF(O$16&lt;=Input!$D$32,$D$20,0)</f>
        <v>971.48325358851673</v>
      </c>
      <c r="P21" s="31">
        <f>IF(P$16&lt;=Input!$D$32,$D$20,0)</f>
        <v>971.48325358851673</v>
      </c>
      <c r="Q21" s="31">
        <f>IF(Q$16&lt;=Input!$D$32,$D$20,0)</f>
        <v>971.48325358851673</v>
      </c>
      <c r="R21" s="31">
        <f>IF(R$16&lt;=Input!$D$32,$D$20,0)</f>
        <v>971.48325358851673</v>
      </c>
      <c r="S21" s="31">
        <f>IF(S$16&lt;=Input!$D$32,$D$20,0)</f>
        <v>971.48325358851673</v>
      </c>
      <c r="T21" s="31">
        <f>IF(T$16&lt;=Input!$D$32,$D$20,0)</f>
        <v>971.48325358851673</v>
      </c>
      <c r="U21" s="31">
        <f>IF(U$16&lt;=Input!$D$32,$D$20,0)</f>
        <v>971.48325358851673</v>
      </c>
      <c r="V21" s="31">
        <f>IF(V$16&lt;=Input!$D$32,$D$20,0)</f>
        <v>971.48325358851673</v>
      </c>
      <c r="W21" s="31">
        <f>IF(W$16&lt;=Input!$D$32,$D$20,0)</f>
        <v>971.48325358851673</v>
      </c>
      <c r="X21" s="31">
        <f>IF(X$16&lt;=Input!$D$32,$D$20,0)</f>
        <v>971.48325358851673</v>
      </c>
      <c r="Y21" s="31">
        <f>IF(Y$16&lt;=Input!$D$32,$D$20,0)</f>
        <v>971.48325358851673</v>
      </c>
      <c r="Z21" s="31">
        <f>IF(Z$16&lt;=Input!$D$32,$D$20,0)</f>
        <v>971.48325358851673</v>
      </c>
      <c r="AA21" s="31">
        <f>IF(AA$16&lt;=Input!$D$32,$D$20,0)</f>
        <v>971.48325358851673</v>
      </c>
      <c r="AB21"/>
      <c r="AC21"/>
      <c r="AD21"/>
      <c r="AE21"/>
      <c r="AF21"/>
      <c r="AG21"/>
    </row>
    <row r="22" spans="1:35" ht="18" customHeight="1" x14ac:dyDescent="0.35">
      <c r="A22" s="71"/>
      <c r="E22" s="37"/>
      <c r="F22" s="60"/>
      <c r="AB22"/>
      <c r="AC22"/>
      <c r="AD22"/>
      <c r="AE22"/>
      <c r="AF22"/>
      <c r="AG22"/>
    </row>
    <row r="23" spans="1:35" ht="18" customHeight="1" x14ac:dyDescent="0.35">
      <c r="A23" s="71"/>
      <c r="B23" s="175" t="s">
        <v>212</v>
      </c>
      <c r="C23" s="175"/>
      <c r="D23" s="175"/>
      <c r="E23" s="37"/>
      <c r="F23" s="178" t="s">
        <v>236</v>
      </c>
      <c r="G23" s="1" t="s">
        <v>89</v>
      </c>
      <c r="H23" s="31">
        <f>IF(H$16&lt;=Input!$D$32,Input!$D$14*12,0)</f>
        <v>2688</v>
      </c>
      <c r="I23" s="31">
        <f>IF(I$16&lt;=Input!$D$32,Input!$D$14*12,0)</f>
        <v>2688</v>
      </c>
      <c r="J23" s="31">
        <f>IF(J$16&lt;=Input!$D$32,Input!$D$14*12,0)</f>
        <v>2688</v>
      </c>
      <c r="K23" s="31">
        <f>IF(K$16&lt;=Input!$D$32,Input!$D$14*12,0)</f>
        <v>2688</v>
      </c>
      <c r="L23" s="31">
        <f>IF(L$16&lt;=Input!$D$32,Input!$D$14*12,0)</f>
        <v>2688</v>
      </c>
      <c r="M23" s="31">
        <f>IF(M$16&lt;=Input!$D$32,Input!$D$14*12,0)</f>
        <v>2688</v>
      </c>
      <c r="N23" s="31">
        <f>IF(N$16&lt;=Input!$D$32,Input!$D$14*12,0)</f>
        <v>2688</v>
      </c>
      <c r="O23" s="31">
        <f>IF(O$16&lt;=Input!$D$32,Input!$D$14*12,0)</f>
        <v>2688</v>
      </c>
      <c r="P23" s="31">
        <f>IF(P$16&lt;=Input!$D$32,Input!$D$14*12,0)</f>
        <v>2688</v>
      </c>
      <c r="Q23" s="31">
        <f>IF(Q$16&lt;=Input!$D$32,Input!$D$14*12,0)</f>
        <v>2688</v>
      </c>
      <c r="R23" s="31">
        <f>IF(R$16&lt;=Input!$D$32,Input!$D$14*12,0)</f>
        <v>2688</v>
      </c>
      <c r="S23" s="31">
        <f>IF(S$16&lt;=Input!$D$32,Input!$D$14*12,0)</f>
        <v>2688</v>
      </c>
      <c r="T23" s="31">
        <f>IF(T$16&lt;=Input!$D$32,Input!$D$14*12,0)</f>
        <v>2688</v>
      </c>
      <c r="U23" s="31">
        <f>IF(U$16&lt;=Input!$D$32,Input!$D$14*12,0)</f>
        <v>2688</v>
      </c>
      <c r="V23" s="31">
        <f>IF(V$16&lt;=Input!$D$32,Input!$D$14*12,0)</f>
        <v>2688</v>
      </c>
      <c r="W23" s="31">
        <f>IF(W$16&lt;=Input!$D$32,Input!$D$14*12,0)</f>
        <v>2688</v>
      </c>
      <c r="X23" s="31">
        <f>IF(X$16&lt;=Input!$D$32,Input!$D$14*12,0)</f>
        <v>2688</v>
      </c>
      <c r="Y23" s="31">
        <f>IF(Y$16&lt;=Input!$D$32,Input!$D$14*12,0)</f>
        <v>2688</v>
      </c>
      <c r="Z23" s="31">
        <f>IF(Z$16&lt;=Input!$D$32,Input!$D$14*12,0)</f>
        <v>2688</v>
      </c>
      <c r="AA23" s="31">
        <f>IF(AA$16&lt;=Input!$D$32,Input!$D$14*12,0)</f>
        <v>2688</v>
      </c>
      <c r="AB23"/>
      <c r="AC23"/>
      <c r="AD23"/>
      <c r="AE23"/>
      <c r="AF23"/>
      <c r="AG23"/>
    </row>
    <row r="24" spans="1:35" ht="18" customHeight="1" x14ac:dyDescent="0.35">
      <c r="A24" s="71"/>
      <c r="F24" s="179"/>
      <c r="G24" s="1" t="s">
        <v>90</v>
      </c>
      <c r="H24" s="31">
        <f>IF(H$16&lt;=Input!$D$32,Input!$D$19*12,0)</f>
        <v>1440</v>
      </c>
      <c r="I24" s="31">
        <f>IF(I$16&lt;=Input!$D$32,Input!$D$19*12,0)</f>
        <v>1440</v>
      </c>
      <c r="J24" s="31">
        <f>IF(J$16&lt;=Input!$D$32,Input!$D$19*12,0)</f>
        <v>1440</v>
      </c>
      <c r="K24" s="31">
        <f>IF(K$16&lt;=Input!$D$32,Input!$D$19*12,0)</f>
        <v>1440</v>
      </c>
      <c r="L24" s="31">
        <f>IF(L$16&lt;=Input!$D$32,Input!$D$19*12,0)</f>
        <v>1440</v>
      </c>
      <c r="M24" s="31">
        <f>IF(M$16&lt;=Input!$D$32,Input!$D$19*12,0)</f>
        <v>1440</v>
      </c>
      <c r="N24" s="31">
        <f>IF(N$16&lt;=Input!$D$32,Input!$D$19*12,0)</f>
        <v>1440</v>
      </c>
      <c r="O24" s="31">
        <f>IF(O$16&lt;=Input!$D$32,Input!$D$19*12,0)</f>
        <v>1440</v>
      </c>
      <c r="P24" s="31">
        <f>IF(P$16&lt;=Input!$D$32,Input!$D$19*12,0)</f>
        <v>1440</v>
      </c>
      <c r="Q24" s="31">
        <f>IF(Q$16&lt;=Input!$D$32,Input!$D$19*12,0)</f>
        <v>1440</v>
      </c>
      <c r="R24" s="31">
        <f>IF(R$16&lt;=Input!$D$32,Input!$D$19*12,0)</f>
        <v>1440</v>
      </c>
      <c r="S24" s="31">
        <f>IF(S$16&lt;=Input!$D$32,Input!$D$19*12,0)</f>
        <v>1440</v>
      </c>
      <c r="T24" s="31">
        <f>IF(T$16&lt;=Input!$D$32,Input!$D$19*12,0)</f>
        <v>1440</v>
      </c>
      <c r="U24" s="31">
        <f>IF(U$16&lt;=Input!$D$32,Input!$D$19*12,0)</f>
        <v>1440</v>
      </c>
      <c r="V24" s="31">
        <f>IF(V$16&lt;=Input!$D$32,Input!$D$19*12,0)</f>
        <v>1440</v>
      </c>
      <c r="W24" s="31">
        <f>IF(W$16&lt;=Input!$D$32,Input!$D$19*12,0)</f>
        <v>1440</v>
      </c>
      <c r="X24" s="31">
        <f>IF(X$16&lt;=Input!$D$32,Input!$D$19*12,0)</f>
        <v>1440</v>
      </c>
      <c r="Y24" s="31">
        <f>IF(Y$16&lt;=Input!$D$32,Input!$D$19*12,0)</f>
        <v>1440</v>
      </c>
      <c r="Z24" s="31">
        <f>IF(Z$16&lt;=Input!$D$32,Input!$D$19*12,0)</f>
        <v>1440</v>
      </c>
      <c r="AA24" s="31">
        <f>IF(AA$16&lt;=Input!$D$32,Input!$D$19*12,0)</f>
        <v>1440</v>
      </c>
      <c r="AB24"/>
      <c r="AC24"/>
      <c r="AD24"/>
      <c r="AE24"/>
      <c r="AF24"/>
      <c r="AG24"/>
    </row>
    <row r="25" spans="1:35" ht="18" customHeight="1" x14ac:dyDescent="0.35">
      <c r="A25" s="71"/>
      <c r="B25" s="89" t="s">
        <v>77</v>
      </c>
      <c r="C25" s="87" t="s">
        <v>4</v>
      </c>
      <c r="D25" s="88">
        <f>H8*12*Input!D32</f>
        <v>8368.8374999999996</v>
      </c>
      <c r="F25" s="180"/>
      <c r="G25" s="1" t="s">
        <v>136</v>
      </c>
      <c r="H25" s="31">
        <f>IF(H$16&lt;=Input!$D$32,(H$23+H$24)*(Input!$D$59+2)/100,0)</f>
        <v>165.12</v>
      </c>
      <c r="I25" s="31">
        <f>IF(I$16&lt;=Input!$D$32,(I$23+I$24)*(Input!$D$59+2)/100,0)</f>
        <v>165.12</v>
      </c>
      <c r="J25" s="31">
        <f>IF(J$16&lt;=Input!$D$32,(J$23+J$24)*(Input!$D$59+2)/100,0)</f>
        <v>165.12</v>
      </c>
      <c r="K25" s="31">
        <f>IF(K$16&lt;=Input!$D$32,(K$23+K$24)*(Input!$D$59+2)/100,0)</f>
        <v>165.12</v>
      </c>
      <c r="L25" s="31">
        <f>IF(L$16&lt;=Input!$D$32,(L$23+L$24)*(Input!$D$59+2)/100,0)</f>
        <v>165.12</v>
      </c>
      <c r="M25" s="31">
        <f>IF(M$16&lt;=Input!$D$32,(M$23+M$24)*(Input!$D$59+2)/100,0)</f>
        <v>165.12</v>
      </c>
      <c r="N25" s="31">
        <f>IF(N$16&lt;=Input!$D$32,(N$23+N$24)*(Input!$D$59+2)/100,0)</f>
        <v>165.12</v>
      </c>
      <c r="O25" s="31">
        <f>IF(O$16&lt;=Input!$D$32,(O$23+O$24)*(Input!$D$59+2)/100,0)</f>
        <v>165.12</v>
      </c>
      <c r="P25" s="31">
        <f>IF(P$16&lt;=Input!$D$32,(P$23+P$24)*(Input!$D$59+2)/100,0)</f>
        <v>165.12</v>
      </c>
      <c r="Q25" s="31">
        <f>IF(Q$16&lt;=Input!$D$32,(Q$23+Q$24)*(Input!$D$59+2)/100,0)</f>
        <v>165.12</v>
      </c>
      <c r="R25" s="31">
        <f>IF(R$16&lt;=Input!$D$32,(R$23+R$24)*(Input!$D$59+2)/100,0)</f>
        <v>165.12</v>
      </c>
      <c r="S25" s="31">
        <f>IF(S$16&lt;=Input!$D$32,(S$23+S$24)*(Input!$D$59+2)/100,0)</f>
        <v>165.12</v>
      </c>
      <c r="T25" s="31">
        <f>IF(T$16&lt;=Input!$D$32,(T$23+T$24)*(Input!$D$59+2)/100,0)</f>
        <v>165.12</v>
      </c>
      <c r="U25" s="31">
        <f>IF(U$16&lt;=Input!$D$32,(U$23+U$24)*(Input!$D$59+2)/100,0)</f>
        <v>165.12</v>
      </c>
      <c r="V25" s="31">
        <f>IF(V$16&lt;=Input!$D$32,(V$23+V$24)*(Input!$D$59+2)/100,0)</f>
        <v>165.12</v>
      </c>
      <c r="W25" s="31">
        <f>IF(W$16&lt;=Input!$D$32,(W$23+W$24)*(Input!$D$59+2)/100,0)</f>
        <v>165.12</v>
      </c>
      <c r="X25" s="31">
        <f>IF(X$16&lt;=Input!$D$32,(X$23+X$24)*(Input!$D$59+2)/100,0)</f>
        <v>165.12</v>
      </c>
      <c r="Y25" s="31">
        <f>IF(Y$16&lt;=Input!$D$32,(Y$23+Y$24)*(Input!$D$59+2)/100,0)</f>
        <v>165.12</v>
      </c>
      <c r="Z25" s="31">
        <f>IF(Z$16&lt;=Input!$D$32,(Z$23+Z$24)*(Input!$D$59+2)/100,0)</f>
        <v>165.12</v>
      </c>
      <c r="AA25" s="31">
        <f>IF(AA$16&lt;=Input!$D$32,(AA$23+AA$24)*(Input!$D$59+2)/100,0)</f>
        <v>165.12</v>
      </c>
      <c r="AB25"/>
      <c r="AC25"/>
      <c r="AD25"/>
      <c r="AE25"/>
      <c r="AF25"/>
      <c r="AG25"/>
    </row>
    <row r="26" spans="1:35" ht="18" customHeight="1" x14ac:dyDescent="0.35">
      <c r="A26" s="71"/>
      <c r="B26" s="89" t="s">
        <v>78</v>
      </c>
      <c r="C26" s="87" t="s">
        <v>4</v>
      </c>
      <c r="D26" s="88">
        <f>H9*12*Input!D34</f>
        <v>44392.026285923122</v>
      </c>
      <c r="AB26"/>
      <c r="AC26"/>
      <c r="AD26"/>
      <c r="AE26"/>
      <c r="AF26"/>
      <c r="AG26"/>
    </row>
    <row r="27" spans="1:35" ht="18" customHeight="1" x14ac:dyDescent="0.35">
      <c r="A27" s="71"/>
      <c r="B27" s="89" t="s">
        <v>213</v>
      </c>
      <c r="C27" s="87" t="s">
        <v>4</v>
      </c>
      <c r="D27" s="88">
        <f>D14*Input!D32</f>
        <v>15648.924999999999</v>
      </c>
      <c r="AB27"/>
      <c r="AC27"/>
      <c r="AD27"/>
      <c r="AE27"/>
      <c r="AF27"/>
      <c r="AG27"/>
    </row>
    <row r="28" spans="1:35" ht="18" customHeight="1" x14ac:dyDescent="0.35">
      <c r="A28" s="71"/>
      <c r="B28" s="89" t="s">
        <v>79</v>
      </c>
      <c r="C28" s="87" t="s">
        <v>4</v>
      </c>
      <c r="D28" s="88">
        <f>D19*Input!D32</f>
        <v>2653.1250000000009</v>
      </c>
      <c r="F28" s="33" t="s">
        <v>224</v>
      </c>
      <c r="G28" s="30"/>
      <c r="H28" s="32">
        <f>H17+H18+H19+H20+H21</f>
        <v>9692.787172650058</v>
      </c>
      <c r="I28" s="32">
        <f>I17+I18+I19+I20+I21</f>
        <v>4997.787172650058</v>
      </c>
      <c r="J28" s="32">
        <f>J17+J18+J19+J20+J21</f>
        <v>4997.787172650058</v>
      </c>
      <c r="K28" s="32">
        <f t="shared" ref="K28:AA28" si="0">K17+K18+K19+K20+K21</f>
        <v>4997.787172650058</v>
      </c>
      <c r="L28" s="32">
        <f t="shared" si="0"/>
        <v>4997.787172650058</v>
      </c>
      <c r="M28" s="32">
        <f t="shared" si="0"/>
        <v>4997.787172650058</v>
      </c>
      <c r="N28" s="32">
        <f t="shared" si="0"/>
        <v>4997.787172650058</v>
      </c>
      <c r="O28" s="32">
        <f t="shared" si="0"/>
        <v>4997.787172650058</v>
      </c>
      <c r="P28" s="32">
        <f t="shared" si="0"/>
        <v>4997.787172650058</v>
      </c>
      <c r="Q28" s="32">
        <f t="shared" si="0"/>
        <v>4997.787172650058</v>
      </c>
      <c r="R28" s="32">
        <f t="shared" si="0"/>
        <v>4997.787172650058</v>
      </c>
      <c r="S28" s="32">
        <f t="shared" si="0"/>
        <v>4997.787172650058</v>
      </c>
      <c r="T28" s="32">
        <f t="shared" si="0"/>
        <v>4997.787172650058</v>
      </c>
      <c r="U28" s="32">
        <f t="shared" si="0"/>
        <v>4997.787172650058</v>
      </c>
      <c r="V28" s="32">
        <f t="shared" si="0"/>
        <v>4997.787172650058</v>
      </c>
      <c r="W28" s="32">
        <f t="shared" si="0"/>
        <v>2038.3187535885168</v>
      </c>
      <c r="X28" s="32">
        <f t="shared" si="0"/>
        <v>2038.3187535885168</v>
      </c>
      <c r="Y28" s="32">
        <f t="shared" si="0"/>
        <v>2038.3187535885168</v>
      </c>
      <c r="Z28" s="32">
        <f t="shared" si="0"/>
        <v>2038.3187535885168</v>
      </c>
      <c r="AA28" s="32">
        <f t="shared" si="0"/>
        <v>2038.3187535885168</v>
      </c>
      <c r="AB28"/>
      <c r="AC28"/>
      <c r="AD28"/>
      <c r="AE28"/>
      <c r="AF28"/>
      <c r="AG28"/>
    </row>
    <row r="29" spans="1:35" ht="18" customHeight="1" x14ac:dyDescent="0.35">
      <c r="A29" s="71"/>
      <c r="B29" s="89" t="s">
        <v>80</v>
      </c>
      <c r="C29" s="87" t="s">
        <v>4</v>
      </c>
      <c r="D29" s="88">
        <f>D20*Input!D32</f>
        <v>24287.081339712917</v>
      </c>
      <c r="F29" s="28"/>
      <c r="G29" s="27"/>
      <c r="H29" s="34"/>
      <c r="I29" s="34"/>
      <c r="J29" s="34"/>
      <c r="K29" s="34"/>
      <c r="L29" s="34"/>
      <c r="M29" s="34"/>
      <c r="N29" s="97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D29"/>
      <c r="AE29"/>
      <c r="AF29"/>
      <c r="AG29"/>
    </row>
    <row r="30" spans="1:35" ht="18" customHeight="1" x14ac:dyDescent="0.35">
      <c r="B30" s="123" t="s">
        <v>68</v>
      </c>
      <c r="C30" s="124" t="s">
        <v>4</v>
      </c>
      <c r="D30" s="125">
        <f>SUM(D25:D29)</f>
        <v>95349.995125636051</v>
      </c>
      <c r="F30" s="33" t="s">
        <v>134</v>
      </c>
      <c r="G30" s="30"/>
      <c r="H30" s="32">
        <f t="shared" ref="H30:AA30" si="1">H$23+H$24+H$25</f>
        <v>4293.12</v>
      </c>
      <c r="I30" s="32">
        <f t="shared" si="1"/>
        <v>4293.12</v>
      </c>
      <c r="J30" s="32">
        <f t="shared" si="1"/>
        <v>4293.12</v>
      </c>
      <c r="K30" s="32">
        <f t="shared" si="1"/>
        <v>4293.12</v>
      </c>
      <c r="L30" s="32">
        <f t="shared" si="1"/>
        <v>4293.12</v>
      </c>
      <c r="M30" s="32">
        <f t="shared" si="1"/>
        <v>4293.12</v>
      </c>
      <c r="N30" s="32">
        <f t="shared" si="1"/>
        <v>4293.12</v>
      </c>
      <c r="O30" s="32">
        <f t="shared" si="1"/>
        <v>4293.12</v>
      </c>
      <c r="P30" s="32">
        <f t="shared" si="1"/>
        <v>4293.12</v>
      </c>
      <c r="Q30" s="32">
        <f t="shared" si="1"/>
        <v>4293.12</v>
      </c>
      <c r="R30" s="32">
        <f t="shared" si="1"/>
        <v>4293.12</v>
      </c>
      <c r="S30" s="32">
        <f t="shared" si="1"/>
        <v>4293.12</v>
      </c>
      <c r="T30" s="32">
        <f t="shared" si="1"/>
        <v>4293.12</v>
      </c>
      <c r="U30" s="32">
        <f t="shared" si="1"/>
        <v>4293.12</v>
      </c>
      <c r="V30" s="32">
        <f t="shared" si="1"/>
        <v>4293.12</v>
      </c>
      <c r="W30" s="32">
        <f t="shared" si="1"/>
        <v>4293.12</v>
      </c>
      <c r="X30" s="32">
        <f t="shared" si="1"/>
        <v>4293.12</v>
      </c>
      <c r="Y30" s="32">
        <f t="shared" si="1"/>
        <v>4293.12</v>
      </c>
      <c r="Z30" s="32">
        <f t="shared" si="1"/>
        <v>4293.12</v>
      </c>
      <c r="AA30" s="32">
        <f t="shared" si="1"/>
        <v>4293.12</v>
      </c>
      <c r="AB30"/>
      <c r="AC30"/>
      <c r="AD30"/>
      <c r="AE30"/>
      <c r="AF30"/>
      <c r="AG30"/>
    </row>
    <row r="31" spans="1:35" ht="18" customHeight="1" x14ac:dyDescent="0.35">
      <c r="B31" s="126"/>
      <c r="C31" s="126"/>
      <c r="D31" s="126"/>
      <c r="F31" s="24"/>
      <c r="L31"/>
      <c r="M31"/>
      <c r="N31" s="2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5" ht="18" customHeight="1" x14ac:dyDescent="0.35">
      <c r="B32" s="89" t="s">
        <v>82</v>
      </c>
      <c r="C32" s="87" t="s">
        <v>4</v>
      </c>
      <c r="D32" s="88">
        <f>Input!D14*12*Input!D32</f>
        <v>67200</v>
      </c>
      <c r="F32" s="33" t="s">
        <v>135</v>
      </c>
      <c r="G32" s="30"/>
      <c r="H32" s="32">
        <f t="shared" ref="H32:AA32" si="2">H30-H28</f>
        <v>-5399.6671726500581</v>
      </c>
      <c r="I32" s="32">
        <f t="shared" si="2"/>
        <v>-704.66717265005809</v>
      </c>
      <c r="J32" s="32">
        <f t="shared" si="2"/>
        <v>-704.66717265005809</v>
      </c>
      <c r="K32" s="32">
        <f t="shared" si="2"/>
        <v>-704.66717265005809</v>
      </c>
      <c r="L32" s="32">
        <f t="shared" si="2"/>
        <v>-704.66717265005809</v>
      </c>
      <c r="M32" s="32">
        <f t="shared" si="2"/>
        <v>-704.66717265005809</v>
      </c>
      <c r="N32" s="32">
        <f t="shared" si="2"/>
        <v>-704.66717265005809</v>
      </c>
      <c r="O32" s="32">
        <f t="shared" si="2"/>
        <v>-704.66717265005809</v>
      </c>
      <c r="P32" s="32">
        <f t="shared" si="2"/>
        <v>-704.66717265005809</v>
      </c>
      <c r="Q32" s="32">
        <f t="shared" si="2"/>
        <v>-704.66717265005809</v>
      </c>
      <c r="R32" s="32">
        <f t="shared" si="2"/>
        <v>-704.66717265005809</v>
      </c>
      <c r="S32" s="32">
        <f t="shared" si="2"/>
        <v>-704.66717265005809</v>
      </c>
      <c r="T32" s="32">
        <f t="shared" si="2"/>
        <v>-704.66717265005809</v>
      </c>
      <c r="U32" s="32">
        <f t="shared" si="2"/>
        <v>-704.66717265005809</v>
      </c>
      <c r="V32" s="32">
        <f t="shared" si="2"/>
        <v>-704.66717265005809</v>
      </c>
      <c r="W32" s="32">
        <f t="shared" si="2"/>
        <v>2254.8012464114831</v>
      </c>
      <c r="X32" s="32">
        <f t="shared" si="2"/>
        <v>2254.8012464114831</v>
      </c>
      <c r="Y32" s="32">
        <f t="shared" si="2"/>
        <v>2254.8012464114831</v>
      </c>
      <c r="Z32" s="32">
        <f t="shared" si="2"/>
        <v>2254.8012464114831</v>
      </c>
      <c r="AA32" s="32">
        <f t="shared" si="2"/>
        <v>2254.8012464114831</v>
      </c>
      <c r="AB32"/>
      <c r="AC32"/>
      <c r="AH32" s="27"/>
      <c r="AI32" s="27"/>
    </row>
    <row r="33" spans="1:35" ht="18" customHeight="1" x14ac:dyDescent="0.35">
      <c r="A33" s="29"/>
      <c r="B33" s="89" t="s">
        <v>83</v>
      </c>
      <c r="C33" s="87" t="s">
        <v>4</v>
      </c>
      <c r="D33" s="88">
        <f>Input!D19*Input!D32</f>
        <v>3000</v>
      </c>
      <c r="AD33"/>
      <c r="AE33"/>
      <c r="AF33"/>
      <c r="AG33"/>
    </row>
    <row r="34" spans="1:35" ht="18" customHeight="1" x14ac:dyDescent="0.35">
      <c r="A34" s="29"/>
      <c r="B34" s="89" t="s">
        <v>137</v>
      </c>
      <c r="C34" s="87" t="s">
        <v>4</v>
      </c>
      <c r="D34" s="88">
        <f>D14*Input!D32</f>
        <v>15648.924999999999</v>
      </c>
      <c r="F34" s="110" t="s">
        <v>225</v>
      </c>
      <c r="G34" s="111"/>
      <c r="H34" s="112">
        <f>H$28/(1+Input!$D$48/100)^H$16</f>
        <v>8654.2742612946931</v>
      </c>
      <c r="I34" s="112">
        <f>I$28/(1+Input!$D$48/100)^I$16</f>
        <v>3984.2053353396504</v>
      </c>
      <c r="J34" s="112">
        <f>J$28/(1+Input!$D$48/100)^J$16</f>
        <v>3557.3261922675442</v>
      </c>
      <c r="K34" s="112">
        <f>K$28/(1+Input!$D$48/100)^K$16</f>
        <v>3176.1841002388792</v>
      </c>
      <c r="L34" s="112">
        <f>L$28/(1+Input!$D$48/100)^L$16</f>
        <v>2835.8786609275703</v>
      </c>
      <c r="M34" s="112">
        <f>M$28/(1+Input!$D$48/100)^M$16</f>
        <v>2532.0345186853306</v>
      </c>
      <c r="N34" s="112">
        <f>N$28/(1+Input!$D$48/100)^N$16</f>
        <v>2260.7451059690447</v>
      </c>
      <c r="O34" s="112">
        <f>O$28/(1+Input!$D$48/100)^O$16</f>
        <v>2018.5224160437899</v>
      </c>
      <c r="P34" s="112">
        <f>P$28/(1+Input!$D$48/100)^P$16</f>
        <v>1802.2521571819552</v>
      </c>
      <c r="Q34" s="112">
        <f>Q$28/(1+Input!$D$48/100)^Q$16</f>
        <v>1609.1537117696028</v>
      </c>
      <c r="R34" s="112">
        <f>R$28/(1+Input!$D$48/100)^R$16</f>
        <v>1436.7443855085737</v>
      </c>
      <c r="S34" s="112">
        <f>S$28/(1+Input!$D$48/100)^S$16</f>
        <v>1282.8074870612265</v>
      </c>
      <c r="T34" s="112">
        <f>T$28/(1+Input!$D$48/100)^T$16</f>
        <v>1145.3638277332379</v>
      </c>
      <c r="U34" s="112">
        <f>U$28/(1+Input!$D$48/100)^U$16</f>
        <v>1022.6462747618194</v>
      </c>
      <c r="V34" s="112">
        <f>V$28/(1+Input!$D$48/100)^V$16</f>
        <v>913.07703103733888</v>
      </c>
      <c r="W34" s="112">
        <f>W$28/(1+Input!$D$48/100)^W$16</f>
        <v>332.4939424511827</v>
      </c>
      <c r="X34" s="112">
        <f>X$28/(1+Input!$D$48/100)^X$16</f>
        <v>296.86959147427024</v>
      </c>
      <c r="Y34" s="112">
        <f>Y$28/(1+Input!$D$48/100)^Y$16</f>
        <v>265.06213524488413</v>
      </c>
      <c r="Z34" s="112">
        <f>Z$28/(1+Input!$D$48/100)^Z$16</f>
        <v>236.6626207543608</v>
      </c>
      <c r="AA34" s="112">
        <f>AA$28/(1+Input!$D$48/100)^AA$16</f>
        <v>211.30591138782216</v>
      </c>
      <c r="AB34"/>
      <c r="AC34"/>
      <c r="AD34"/>
      <c r="AE34"/>
      <c r="AF34"/>
      <c r="AG34"/>
    </row>
    <row r="35" spans="1:35" ht="18" customHeight="1" x14ac:dyDescent="0.35">
      <c r="A35" s="26"/>
      <c r="B35" s="123" t="s">
        <v>138</v>
      </c>
      <c r="C35" s="124" t="s">
        <v>4</v>
      </c>
      <c r="D35" s="125">
        <f>D32+D33+D34</f>
        <v>85848.925000000003</v>
      </c>
      <c r="E35" s="27"/>
      <c r="F35" s="28"/>
      <c r="G35" s="27"/>
      <c r="H35" s="34"/>
      <c r="I35" s="34"/>
      <c r="J35" s="34"/>
      <c r="K35" s="34"/>
      <c r="L35" s="34"/>
      <c r="M35" s="34"/>
      <c r="N35" s="97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/>
      <c r="AC35"/>
      <c r="AD35"/>
      <c r="AE35"/>
      <c r="AF35"/>
      <c r="AG35"/>
    </row>
    <row r="36" spans="1:35" ht="18" customHeight="1" x14ac:dyDescent="0.35">
      <c r="B36" s="126"/>
      <c r="C36" s="126"/>
      <c r="D36" s="126"/>
      <c r="F36" s="110" t="s">
        <v>221</v>
      </c>
      <c r="G36" s="111"/>
      <c r="H36" s="112">
        <f>H$30/(1+Input!$D$48/100)^H$16</f>
        <v>3833.1428571428569</v>
      </c>
      <c r="I36" s="112">
        <f>I$30/(1+Input!$D$48/100)^I$16</f>
        <v>3422.4489795918362</v>
      </c>
      <c r="J36" s="112">
        <f>J$30/(1+Input!$D$48/100)^J$16</f>
        <v>3055.7580174927102</v>
      </c>
      <c r="K36" s="112">
        <f>K$30/(1+Input!$D$48/100)^K$16</f>
        <v>2728.3553727613489</v>
      </c>
      <c r="L36" s="112">
        <f>L$30/(1+Input!$D$48/100)^L$16</f>
        <v>2436.0315828226326</v>
      </c>
      <c r="M36" s="112">
        <f>M$30/(1+Input!$D$48/100)^M$16</f>
        <v>2175.0281989487789</v>
      </c>
      <c r="N36" s="112">
        <f>N$30/(1+Input!$D$48/100)^N$16</f>
        <v>1941.989463347124</v>
      </c>
      <c r="O36" s="112">
        <f>O$30/(1+Input!$D$48/100)^O$16</f>
        <v>1733.9191637027891</v>
      </c>
      <c r="P36" s="112">
        <f>P$30/(1+Input!$D$48/100)^P$16</f>
        <v>1548.1421104489189</v>
      </c>
      <c r="Q36" s="112">
        <f>Q$30/(1+Input!$D$48/100)^Q$16</f>
        <v>1382.2697414722488</v>
      </c>
      <c r="R36" s="112">
        <f>R$30/(1+Input!$D$48/100)^R$16</f>
        <v>1234.1694120287934</v>
      </c>
      <c r="S36" s="112">
        <f>S$30/(1+Input!$D$48/100)^S$16</f>
        <v>1101.9369750257085</v>
      </c>
      <c r="T36" s="112">
        <f>T$30/(1+Input!$D$48/100)^T$16</f>
        <v>983.87229913009662</v>
      </c>
      <c r="U36" s="112">
        <f>U$30/(1+Input!$D$48/100)^U$16</f>
        <v>878.45740993758625</v>
      </c>
      <c r="V36" s="112">
        <f>V$30/(1+Input!$D$48/100)^V$16</f>
        <v>784.3369731585592</v>
      </c>
      <c r="W36" s="112">
        <f>W$30/(1+Input!$D$48/100)^W$16</f>
        <v>700.30086889157053</v>
      </c>
      <c r="X36" s="112">
        <f>X$30/(1+Input!$D$48/100)^X$16</f>
        <v>625.26863293890221</v>
      </c>
      <c r="Y36" s="112">
        <f>Y$30/(1+Input!$D$48/100)^Y$16</f>
        <v>558.27556512401986</v>
      </c>
      <c r="Z36" s="112">
        <f>Z$30/(1+Input!$D$48/100)^Z$16</f>
        <v>498.4603260035891</v>
      </c>
      <c r="AA36" s="112">
        <f>AA$30/(1+Input!$D$48/100)^AA$16</f>
        <v>445.05386250320453</v>
      </c>
      <c r="AB36"/>
      <c r="AC36"/>
      <c r="AH36" s="27"/>
      <c r="AI36" s="27"/>
    </row>
    <row r="37" spans="1:35" ht="18" customHeight="1" x14ac:dyDescent="0.35">
      <c r="B37" s="123" t="s">
        <v>84</v>
      </c>
      <c r="C37" s="124" t="s">
        <v>4</v>
      </c>
      <c r="D37" s="125">
        <f>(D32+D33+D34)-D30</f>
        <v>-9501.070125636048</v>
      </c>
      <c r="AB37"/>
      <c r="AC37"/>
      <c r="AD37"/>
      <c r="AE37"/>
      <c r="AF37"/>
      <c r="AG37"/>
    </row>
    <row r="38" spans="1:35" ht="18" customHeight="1" x14ac:dyDescent="0.35">
      <c r="F38" s="110" t="s">
        <v>238</v>
      </c>
      <c r="G38" s="111"/>
      <c r="H38" s="112">
        <f t="shared" ref="H38:AA38" si="3">H$36-H$34</f>
        <v>-4821.1314041518363</v>
      </c>
      <c r="I38" s="112">
        <f t="shared" si="3"/>
        <v>-561.75635574781427</v>
      </c>
      <c r="J38" s="112">
        <f t="shared" si="3"/>
        <v>-501.56817477483401</v>
      </c>
      <c r="K38" s="112">
        <f t="shared" si="3"/>
        <v>-447.82872747753026</v>
      </c>
      <c r="L38" s="112">
        <f t="shared" si="3"/>
        <v>-399.84707810493774</v>
      </c>
      <c r="M38" s="112">
        <f t="shared" si="3"/>
        <v>-357.00631973655163</v>
      </c>
      <c r="N38" s="112">
        <f t="shared" si="3"/>
        <v>-318.75564262192074</v>
      </c>
      <c r="O38" s="112">
        <f t="shared" si="3"/>
        <v>-284.60325234100083</v>
      </c>
      <c r="P38" s="112">
        <f t="shared" si="3"/>
        <v>-254.11004673303637</v>
      </c>
      <c r="Q38" s="112">
        <f t="shared" si="3"/>
        <v>-226.88397029735393</v>
      </c>
      <c r="R38" s="112">
        <f t="shared" si="3"/>
        <v>-202.57497347978028</v>
      </c>
      <c r="S38" s="112">
        <f t="shared" si="3"/>
        <v>-180.870512035518</v>
      </c>
      <c r="T38" s="112">
        <f t="shared" si="3"/>
        <v>-161.49152860314132</v>
      </c>
      <c r="U38" s="112">
        <f t="shared" si="3"/>
        <v>-144.18886482423318</v>
      </c>
      <c r="V38" s="112">
        <f t="shared" si="3"/>
        <v>-128.74005787877968</v>
      </c>
      <c r="W38" s="112">
        <f t="shared" si="3"/>
        <v>367.80692644038783</v>
      </c>
      <c r="X38" s="112">
        <f t="shared" si="3"/>
        <v>328.39904146463198</v>
      </c>
      <c r="Y38" s="112">
        <f t="shared" si="3"/>
        <v>293.21342987913573</v>
      </c>
      <c r="Z38" s="112">
        <f t="shared" si="3"/>
        <v>261.79770524922833</v>
      </c>
      <c r="AA38" s="112">
        <f t="shared" si="3"/>
        <v>233.74795111538236</v>
      </c>
      <c r="AC38"/>
      <c r="AD38"/>
      <c r="AE38"/>
      <c r="AF38"/>
      <c r="AG38"/>
    </row>
    <row r="39" spans="1:35" ht="18" customHeight="1" x14ac:dyDescent="0.35">
      <c r="A39" s="27"/>
      <c r="B39" s="38" t="s">
        <v>222</v>
      </c>
      <c r="C39" s="25" t="s">
        <v>4</v>
      </c>
      <c r="D39" s="39">
        <f>SUM(H34:AA34)</f>
        <v>39573.609667132783</v>
      </c>
      <c r="E39" s="27"/>
      <c r="F39" s="24"/>
      <c r="L39"/>
      <c r="M39"/>
      <c r="N39" s="24"/>
      <c r="O39"/>
      <c r="P39"/>
      <c r="Q39"/>
      <c r="R39"/>
      <c r="S39"/>
      <c r="T39"/>
      <c r="U39"/>
      <c r="V39"/>
      <c r="W39"/>
      <c r="X39"/>
      <c r="Y39"/>
      <c r="Z39"/>
      <c r="AA39"/>
      <c r="AC39"/>
      <c r="AD39"/>
      <c r="AE39"/>
      <c r="AF39"/>
      <c r="AG39"/>
    </row>
    <row r="40" spans="1:35" ht="18" customHeight="1" x14ac:dyDescent="0.35">
      <c r="B40" s="38" t="s">
        <v>223</v>
      </c>
      <c r="C40" s="25" t="s">
        <v>4</v>
      </c>
      <c r="D40" s="39">
        <f>SUM(H36:AA36)</f>
        <v>32067.217812473275</v>
      </c>
      <c r="F40" s="110" t="s">
        <v>226</v>
      </c>
      <c r="G40" s="111"/>
      <c r="H40" s="112">
        <f>H38</f>
        <v>-4821.1314041518363</v>
      </c>
      <c r="I40" s="112">
        <f>SUM($H$38:I$38)</f>
        <v>-5382.8877598996505</v>
      </c>
      <c r="J40" s="112">
        <f>SUM($H$38:J$38)</f>
        <v>-5884.4559346744845</v>
      </c>
      <c r="K40" s="112">
        <f>SUM($H$38:K$38)</f>
        <v>-6332.2846621520148</v>
      </c>
      <c r="L40" s="112">
        <f>SUM($H$38:L$38)</f>
        <v>-6732.131740256953</v>
      </c>
      <c r="M40" s="112">
        <f>SUM($H$38:M$38)</f>
        <v>-7089.1380599935046</v>
      </c>
      <c r="N40" s="112">
        <f>SUM($H$38:N$38)</f>
        <v>-7407.8937026154254</v>
      </c>
      <c r="O40" s="112">
        <f>SUM($H$38:O$38)</f>
        <v>-7692.4969549564266</v>
      </c>
      <c r="P40" s="112">
        <f>SUM($H$38:P$38)</f>
        <v>-7946.6070016894628</v>
      </c>
      <c r="Q40" s="112">
        <f>SUM($H$38:Q$38)</f>
        <v>-8173.4909719868165</v>
      </c>
      <c r="R40" s="112">
        <f>SUM($H$38:R$38)</f>
        <v>-8376.0659454665965</v>
      </c>
      <c r="S40" s="112">
        <f>SUM($H$38:S$38)</f>
        <v>-8556.9364575021136</v>
      </c>
      <c r="T40" s="112">
        <f>SUM($H$38:T$38)</f>
        <v>-8718.4279861052546</v>
      </c>
      <c r="U40" s="112">
        <f>SUM($H$38:U$38)</f>
        <v>-8862.6168509294876</v>
      </c>
      <c r="V40" s="112">
        <f>SUM($H$38:V$38)</f>
        <v>-8991.3569088082677</v>
      </c>
      <c r="W40" s="112">
        <f>SUM($H$38:W$38)</f>
        <v>-8623.5499823678801</v>
      </c>
      <c r="X40" s="112">
        <f>SUM($H$38:X$38)</f>
        <v>-8295.1509409032478</v>
      </c>
      <c r="Y40" s="112">
        <f>SUM($H$38:Y$38)</f>
        <v>-8001.9375110241117</v>
      </c>
      <c r="Z40" s="112">
        <f>SUM($H$38:Z$38)</f>
        <v>-7740.1398057748829</v>
      </c>
      <c r="AA40" s="112">
        <f>SUM($H$38:AA$38)</f>
        <v>-7506.3918546595005</v>
      </c>
      <c r="AC40"/>
      <c r="AD40"/>
      <c r="AE40"/>
      <c r="AF40"/>
      <c r="AG40"/>
    </row>
    <row r="41" spans="1:35" ht="18" customHeight="1" x14ac:dyDescent="0.35">
      <c r="B41" s="108" t="s">
        <v>227</v>
      </c>
      <c r="C41" s="109" t="s">
        <v>4</v>
      </c>
      <c r="D41" s="116">
        <f>SUM(H38:AA38)</f>
        <v>-7506.3918546595005</v>
      </c>
      <c r="AB41"/>
      <c r="AC41"/>
      <c r="AD41"/>
      <c r="AE41"/>
      <c r="AF41"/>
      <c r="AG41"/>
    </row>
    <row r="42" spans="1:35" ht="31.5" customHeight="1" x14ac:dyDescent="0.35">
      <c r="B42" s="38" t="s">
        <v>6</v>
      </c>
      <c r="C42" s="25" t="s">
        <v>14</v>
      </c>
      <c r="D42" s="115" t="str" cm="1">
        <f t="array" ref="D42">IFERROR(INDEX($H$42:$AA$42,1,MATCH(TRUE,H40:AA40&gt;=0,0)), "Payback not reached")</f>
        <v>Payback not reached</v>
      </c>
      <c r="F42" s="113" t="s">
        <v>133</v>
      </c>
      <c r="G42" s="114"/>
      <c r="H42" s="114">
        <v>1</v>
      </c>
      <c r="I42" s="114">
        <v>2</v>
      </c>
      <c r="J42" s="114">
        <v>3</v>
      </c>
      <c r="K42" s="114">
        <v>4</v>
      </c>
      <c r="L42" s="114">
        <v>5</v>
      </c>
      <c r="M42" s="114">
        <v>6</v>
      </c>
      <c r="N42" s="114">
        <v>7</v>
      </c>
      <c r="O42" s="114">
        <v>8</v>
      </c>
      <c r="P42" s="114">
        <v>9</v>
      </c>
      <c r="Q42" s="114">
        <v>10</v>
      </c>
      <c r="R42" s="114">
        <v>11</v>
      </c>
      <c r="S42" s="114">
        <v>12</v>
      </c>
      <c r="T42" s="114">
        <v>13</v>
      </c>
      <c r="U42" s="114">
        <v>14</v>
      </c>
      <c r="V42" s="114">
        <v>15</v>
      </c>
      <c r="W42" s="114">
        <v>16</v>
      </c>
      <c r="X42" s="114">
        <v>17</v>
      </c>
      <c r="Y42" s="114">
        <v>18</v>
      </c>
      <c r="Z42" s="114">
        <v>19</v>
      </c>
      <c r="AA42" s="114">
        <v>20</v>
      </c>
      <c r="AB42"/>
      <c r="AC42"/>
      <c r="AD42"/>
      <c r="AE42"/>
      <c r="AF42"/>
      <c r="AG42"/>
    </row>
    <row r="43" spans="1:35" ht="18" customHeight="1" x14ac:dyDescent="0.35">
      <c r="AB43"/>
      <c r="AC43"/>
      <c r="AD43"/>
      <c r="AE43"/>
      <c r="AF43"/>
      <c r="AG43"/>
    </row>
    <row r="44" spans="1:35" ht="18" customHeight="1" x14ac:dyDescent="0.35">
      <c r="F44" t="s">
        <v>301</v>
      </c>
      <c r="G44" s="157">
        <f>D41</f>
        <v>-7506.3918546595005</v>
      </c>
      <c r="L44"/>
      <c r="M44"/>
      <c r="N44" s="2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5" ht="18" customHeight="1" x14ac:dyDescent="0.35">
      <c r="F45" s="27" t="s">
        <v>302</v>
      </c>
      <c r="G45" s="157">
        <f>'Cost wo RE'!D41</f>
        <v>1233.3545312489719</v>
      </c>
      <c r="I45" s="160" t="s">
        <v>304</v>
      </c>
      <c r="J45" s="160"/>
      <c r="K45" s="160"/>
      <c r="L45" s="160"/>
      <c r="M45" s="160"/>
      <c r="N45" s="24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5" ht="18" customHeight="1" x14ac:dyDescent="0.35">
      <c r="F46" s="27"/>
      <c r="L46"/>
      <c r="M46"/>
      <c r="N46" s="24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5" x14ac:dyDescent="0.35">
      <c r="F47" s="27"/>
      <c r="L47"/>
      <c r="M47"/>
      <c r="N47" s="24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5" x14ac:dyDescent="0.35">
      <c r="F48" s="27"/>
      <c r="L48"/>
      <c r="M48"/>
      <c r="N48" s="24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:33" x14ac:dyDescent="0.35">
      <c r="F49" s="27"/>
      <c r="L49"/>
      <c r="M49"/>
      <c r="N49" s="24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3:33" x14ac:dyDescent="0.35">
      <c r="F50" s="27"/>
      <c r="L50"/>
      <c r="M50"/>
      <c r="N50" s="24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3:33" x14ac:dyDescent="0.35">
      <c r="F51" s="27"/>
      <c r="L51"/>
      <c r="M51"/>
      <c r="N51" s="24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3:33" x14ac:dyDescent="0.35">
      <c r="E52" s="37"/>
      <c r="F52" s="27"/>
      <c r="L52"/>
      <c r="M52"/>
      <c r="N52" s="24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3:33" x14ac:dyDescent="0.35">
      <c r="F53" s="27"/>
      <c r="L53"/>
      <c r="M53"/>
      <c r="N53" s="24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3:33" x14ac:dyDescent="0.35">
      <c r="D54" s="107"/>
      <c r="L54"/>
      <c r="M54"/>
      <c r="N54" s="2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3:33" x14ac:dyDescent="0.35">
      <c r="L55"/>
      <c r="M55"/>
      <c r="N55" s="24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3:33" x14ac:dyDescent="0.35">
      <c r="C56" s="27"/>
      <c r="D56" s="27"/>
      <c r="E56" s="27"/>
      <c r="F56" s="27"/>
      <c r="L56"/>
      <c r="M56"/>
      <c r="N56" s="24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3:33" x14ac:dyDescent="0.35">
      <c r="C57" s="27"/>
      <c r="D57" s="60"/>
      <c r="E57" s="60"/>
      <c r="F57" s="27"/>
      <c r="L57"/>
      <c r="M57"/>
      <c r="N57" s="24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D57"/>
      <c r="AE57"/>
      <c r="AF57"/>
      <c r="AG57"/>
    </row>
    <row r="58" spans="3:33" x14ac:dyDescent="0.35">
      <c r="C58" s="27"/>
      <c r="D58" s="60"/>
      <c r="E58" s="60"/>
      <c r="F58" s="27"/>
      <c r="L58"/>
      <c r="M58"/>
      <c r="N58" s="2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D58"/>
      <c r="AE58"/>
      <c r="AF58"/>
      <c r="AG58"/>
    </row>
    <row r="59" spans="3:33" x14ac:dyDescent="0.35">
      <c r="C59" s="27"/>
      <c r="D59" s="27"/>
      <c r="E59" s="27"/>
      <c r="F59" s="27"/>
      <c r="L59"/>
      <c r="M59"/>
      <c r="N59" s="24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D59"/>
      <c r="AE59"/>
      <c r="AF59"/>
      <c r="AG59"/>
    </row>
    <row r="60" spans="3:33" x14ac:dyDescent="0.35">
      <c r="C60" s="27"/>
      <c r="D60" s="94"/>
      <c r="E60" s="94"/>
      <c r="F60" s="27"/>
      <c r="L60"/>
      <c r="M60"/>
      <c r="N60" s="24"/>
      <c r="O60"/>
      <c r="P60"/>
      <c r="Q60"/>
      <c r="R60"/>
      <c r="S60"/>
      <c r="T60"/>
      <c r="U60"/>
      <c r="V60"/>
      <c r="W60"/>
      <c r="X60"/>
      <c r="AC60"/>
      <c r="AD60"/>
      <c r="AE60"/>
      <c r="AF60"/>
      <c r="AG60"/>
    </row>
    <row r="61" spans="3:33" x14ac:dyDescent="0.35">
      <c r="C61" s="27"/>
      <c r="D61" s="27"/>
      <c r="E61" s="27"/>
      <c r="F61" s="27"/>
      <c r="L61"/>
      <c r="M61"/>
      <c r="N61" s="24"/>
      <c r="O61"/>
      <c r="P61"/>
      <c r="Q61"/>
      <c r="R61"/>
      <c r="S61"/>
      <c r="T61"/>
      <c r="U61"/>
      <c r="V61"/>
      <c r="W61"/>
      <c r="X61"/>
      <c r="AC61"/>
      <c r="AD61"/>
      <c r="AE61"/>
      <c r="AF61"/>
      <c r="AG61"/>
    </row>
    <row r="62" spans="3:33" x14ac:dyDescent="0.35">
      <c r="C62" s="60"/>
      <c r="D62" s="27"/>
      <c r="E62" s="95"/>
      <c r="F62" s="27"/>
      <c r="L62"/>
      <c r="M62"/>
      <c r="N62" s="24"/>
      <c r="O62"/>
      <c r="P62"/>
      <c r="Q62"/>
      <c r="R62"/>
      <c r="S62"/>
      <c r="T62"/>
      <c r="U62"/>
      <c r="V62"/>
      <c r="W62"/>
      <c r="X62"/>
      <c r="AC62"/>
      <c r="AD62"/>
      <c r="AE62"/>
      <c r="AF62"/>
      <c r="AG62"/>
    </row>
    <row r="63" spans="3:33" x14ac:dyDescent="0.35">
      <c r="C63" s="60"/>
      <c r="D63" s="27"/>
      <c r="E63" s="95"/>
      <c r="F63" s="27"/>
      <c r="L63"/>
      <c r="M63"/>
      <c r="N63" s="24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3:33" x14ac:dyDescent="0.35">
      <c r="C64" s="60"/>
      <c r="D64" s="27"/>
      <c r="E64" s="95"/>
      <c r="F64" s="27"/>
      <c r="L64"/>
      <c r="M64"/>
      <c r="N64" s="2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2:33" x14ac:dyDescent="0.35">
      <c r="B65" s="37"/>
      <c r="C65" s="60"/>
      <c r="D65" s="27"/>
      <c r="E65" s="34"/>
      <c r="F65" s="27"/>
      <c r="L65"/>
      <c r="M65"/>
      <c r="N65" s="24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2:33" x14ac:dyDescent="0.35">
      <c r="C66" s="60"/>
      <c r="D66" s="27"/>
      <c r="E66" s="95"/>
      <c r="F66" s="27"/>
      <c r="L66"/>
      <c r="M66"/>
      <c r="N66" s="24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2:33" x14ac:dyDescent="0.35">
      <c r="C67" s="60"/>
      <c r="D67" s="27"/>
      <c r="E67" s="95"/>
      <c r="F67" s="27"/>
      <c r="L67"/>
      <c r="M67"/>
      <c r="N67" s="24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2:33" x14ac:dyDescent="0.35">
      <c r="C68" s="106"/>
      <c r="D68" s="101"/>
      <c r="E68" s="101"/>
      <c r="F68" s="27"/>
      <c r="L68"/>
      <c r="M68"/>
      <c r="N68" s="24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2:33" x14ac:dyDescent="0.35">
      <c r="C69" s="106"/>
      <c r="D69" s="27"/>
      <c r="E69" s="27"/>
      <c r="F69" s="27"/>
      <c r="L69"/>
      <c r="M69"/>
      <c r="N69" s="24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2:33" x14ac:dyDescent="0.35">
      <c r="C70" s="106"/>
      <c r="D70" s="27"/>
      <c r="E70" s="27"/>
      <c r="F70" s="27"/>
      <c r="L70"/>
      <c r="M70"/>
      <c r="N70" s="24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2:33" x14ac:dyDescent="0.35">
      <c r="C71" s="26"/>
      <c r="D71" s="27"/>
      <c r="E71" s="95"/>
      <c r="F71" s="27"/>
      <c r="L71"/>
      <c r="M71"/>
      <c r="N71" s="24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2:33" x14ac:dyDescent="0.35">
      <c r="C72" s="28"/>
      <c r="D72" s="27"/>
      <c r="E72" s="27"/>
      <c r="F72" s="27"/>
      <c r="L72"/>
      <c r="M72"/>
      <c r="N72" s="24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2:33" x14ac:dyDescent="0.35">
      <c r="C73" s="28"/>
      <c r="D73" s="27"/>
      <c r="E73" s="27"/>
      <c r="F73" s="27"/>
      <c r="L73"/>
      <c r="M73"/>
      <c r="N73" s="24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2:33" x14ac:dyDescent="0.35">
      <c r="C74" s="60"/>
      <c r="D74" s="27"/>
      <c r="E74" s="34"/>
      <c r="F74" s="27"/>
      <c r="L74"/>
      <c r="M74"/>
      <c r="N74" s="2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2:33" x14ac:dyDescent="0.35">
      <c r="C75" s="60"/>
      <c r="D75" s="27"/>
      <c r="E75" s="34"/>
      <c r="F75" s="27"/>
      <c r="L75"/>
      <c r="M75"/>
      <c r="N75" s="24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2:33" x14ac:dyDescent="0.35">
      <c r="C76" s="60"/>
      <c r="D76" s="27"/>
      <c r="E76" s="34"/>
      <c r="F76" s="27"/>
      <c r="L76"/>
      <c r="M76"/>
      <c r="N76" s="24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2:33" x14ac:dyDescent="0.35">
      <c r="B77" s="27"/>
      <c r="C77" s="28"/>
      <c r="D77" s="27"/>
      <c r="E77" s="27"/>
      <c r="F77" s="27"/>
      <c r="L77"/>
      <c r="M77"/>
      <c r="N77" s="24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2:33" x14ac:dyDescent="0.35">
      <c r="C78" s="26"/>
      <c r="D78" s="27"/>
      <c r="E78" s="34"/>
      <c r="F78" s="27"/>
      <c r="L78"/>
      <c r="M78"/>
      <c r="N78" s="24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2:33" x14ac:dyDescent="0.35">
      <c r="C79" s="28"/>
      <c r="D79" s="27"/>
      <c r="E79" s="27"/>
      <c r="F79" s="27"/>
      <c r="L79"/>
      <c r="M79"/>
      <c r="N79" s="24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2:33" x14ac:dyDescent="0.35">
      <c r="C80" s="26"/>
      <c r="D80" s="27"/>
      <c r="E80" s="34"/>
      <c r="F80" s="27"/>
      <c r="L80"/>
      <c r="M80"/>
      <c r="N80" s="24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2:33" x14ac:dyDescent="0.35">
      <c r="B81" s="27"/>
      <c r="C81" s="26"/>
      <c r="D81" s="27"/>
      <c r="E81" s="34"/>
      <c r="F81" s="27"/>
      <c r="L81"/>
      <c r="M81"/>
      <c r="N81" s="24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2:33" x14ac:dyDescent="0.35">
      <c r="C82" s="26"/>
      <c r="D82" s="27"/>
      <c r="E82" s="34"/>
      <c r="F82" s="27"/>
      <c r="L82"/>
      <c r="M82"/>
      <c r="N82" s="24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2:33" x14ac:dyDescent="0.35">
      <c r="C83" s="28"/>
      <c r="D83" s="27"/>
      <c r="E83" s="27"/>
      <c r="F83" s="27"/>
      <c r="L83"/>
      <c r="M83"/>
      <c r="N83" s="24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2:33" x14ac:dyDescent="0.35">
      <c r="C84" s="27"/>
      <c r="D84" s="27"/>
      <c r="E84" s="27"/>
      <c r="F84" s="27"/>
      <c r="L84"/>
      <c r="M84"/>
      <c r="N84" s="2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2:33" x14ac:dyDescent="0.35">
      <c r="C85" s="27"/>
      <c r="D85" s="27"/>
      <c r="E85" s="27"/>
      <c r="F85" s="27"/>
      <c r="L85"/>
      <c r="M85"/>
      <c r="N85" s="24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2:33" x14ac:dyDescent="0.35">
      <c r="C86" s="27"/>
      <c r="D86" s="27"/>
      <c r="E86" s="27"/>
      <c r="F86" s="27"/>
      <c r="L86"/>
      <c r="M86"/>
      <c r="N86" s="24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2:33" x14ac:dyDescent="0.35">
      <c r="C87" s="27"/>
      <c r="D87" s="27"/>
      <c r="E87" s="27"/>
      <c r="F87" s="27"/>
      <c r="L87"/>
      <c r="M87"/>
      <c r="N87" s="24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2:33" x14ac:dyDescent="0.35">
      <c r="C88" s="27"/>
      <c r="D88" s="27"/>
      <c r="E88" s="27"/>
      <c r="F88" s="27"/>
      <c r="L88"/>
      <c r="M88"/>
      <c r="N88" s="24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2:33" x14ac:dyDescent="0.35">
      <c r="C89" s="27"/>
      <c r="D89" s="27"/>
      <c r="E89" s="27"/>
      <c r="F89" s="27"/>
      <c r="L89"/>
      <c r="M89"/>
      <c r="N89" s="24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2:33" x14ac:dyDescent="0.35">
      <c r="C90" s="27"/>
      <c r="D90" s="27"/>
      <c r="E90" s="27"/>
      <c r="F90" s="27"/>
      <c r="L90"/>
      <c r="M90"/>
      <c r="N90" s="24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2:33" x14ac:dyDescent="0.35">
      <c r="C91" s="27"/>
      <c r="D91" s="27"/>
      <c r="E91" s="27"/>
      <c r="F91" s="27"/>
      <c r="L91"/>
      <c r="M91"/>
      <c r="N91" s="24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2:33" x14ac:dyDescent="0.35">
      <c r="C92" s="27"/>
      <c r="D92" s="27"/>
      <c r="E92" s="27"/>
      <c r="F92" s="27"/>
      <c r="AD92"/>
      <c r="AE92"/>
      <c r="AF92"/>
      <c r="AG92"/>
    </row>
    <row r="93" spans="2:33" x14ac:dyDescent="0.35">
      <c r="C93" s="27"/>
      <c r="D93" s="27"/>
      <c r="E93" s="27"/>
      <c r="F93" s="27"/>
      <c r="L93"/>
      <c r="M93"/>
      <c r="N93" s="24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2:33" x14ac:dyDescent="0.35">
      <c r="C94" s="27"/>
      <c r="D94" s="27"/>
      <c r="E94" s="27"/>
      <c r="F94" s="27"/>
      <c r="L94"/>
      <c r="M94"/>
      <c r="N94" s="2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2:33" x14ac:dyDescent="0.35">
      <c r="C95" s="27"/>
      <c r="D95" s="27"/>
      <c r="E95" s="27"/>
      <c r="F95" s="27"/>
      <c r="L95"/>
      <c r="M95"/>
      <c r="N95" s="24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2:33" x14ac:dyDescent="0.35">
      <c r="C96" s="27"/>
      <c r="D96" s="27"/>
      <c r="E96" s="27"/>
      <c r="F96" s="27"/>
      <c r="L96"/>
      <c r="M96"/>
      <c r="N96" s="24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3:14" customFormat="1" x14ac:dyDescent="0.35">
      <c r="C97" s="27"/>
      <c r="D97" s="27"/>
      <c r="E97" s="27"/>
      <c r="F97" s="27"/>
      <c r="N97" s="24"/>
    </row>
    <row r="98" spans="3:14" customFormat="1" x14ac:dyDescent="0.35">
      <c r="C98" s="27"/>
      <c r="D98" s="27"/>
      <c r="E98" s="27"/>
      <c r="F98" s="27"/>
      <c r="N98" s="24"/>
    </row>
    <row r="99" spans="3:14" customFormat="1" x14ac:dyDescent="0.35">
      <c r="C99" s="27"/>
      <c r="D99" s="27"/>
      <c r="E99" s="27"/>
      <c r="F99" s="27"/>
      <c r="N99" s="24"/>
    </row>
    <row r="100" spans="3:14" customFormat="1" x14ac:dyDescent="0.35">
      <c r="C100" s="27"/>
      <c r="D100" s="27"/>
      <c r="E100" s="27"/>
      <c r="F100" s="27"/>
      <c r="N100" s="24"/>
    </row>
    <row r="101" spans="3:14" customFormat="1" x14ac:dyDescent="0.35">
      <c r="C101" s="27"/>
      <c r="D101" s="27"/>
      <c r="E101" s="27"/>
      <c r="F101" s="27"/>
      <c r="N101" s="24"/>
    </row>
    <row r="102" spans="3:14" customFormat="1" x14ac:dyDescent="0.35">
      <c r="C102" s="27"/>
      <c r="D102" s="27"/>
      <c r="E102" s="27"/>
      <c r="F102" s="27"/>
      <c r="N102" s="24"/>
    </row>
    <row r="103" spans="3:14" customFormat="1" x14ac:dyDescent="0.35">
      <c r="N103" s="24"/>
    </row>
    <row r="104" spans="3:14" customFormat="1" x14ac:dyDescent="0.35">
      <c r="N104" s="24"/>
    </row>
    <row r="105" spans="3:14" customFormat="1" x14ac:dyDescent="0.35">
      <c r="N105" s="24"/>
    </row>
    <row r="106" spans="3:14" customFormat="1" x14ac:dyDescent="0.35">
      <c r="N106" s="24"/>
    </row>
    <row r="107" spans="3:14" customFormat="1" x14ac:dyDescent="0.35">
      <c r="N107" s="24"/>
    </row>
    <row r="108" spans="3:14" customFormat="1" x14ac:dyDescent="0.35">
      <c r="N108" s="24"/>
    </row>
    <row r="109" spans="3:14" customFormat="1" x14ac:dyDescent="0.35">
      <c r="N109" s="24"/>
    </row>
    <row r="110" spans="3:14" customFormat="1" x14ac:dyDescent="0.35">
      <c r="N110" s="24"/>
    </row>
  </sheetData>
  <mergeCells count="12">
    <mergeCell ref="F23:F25"/>
    <mergeCell ref="B23:D23"/>
    <mergeCell ref="N12:Q12"/>
    <mergeCell ref="R12:U12"/>
    <mergeCell ref="V12:Y12"/>
    <mergeCell ref="B17:D17"/>
    <mergeCell ref="F17:F21"/>
    <mergeCell ref="B2:D2"/>
    <mergeCell ref="B12:D12"/>
    <mergeCell ref="F2:H2"/>
    <mergeCell ref="G12:J12"/>
    <mergeCell ref="K12:M12"/>
  </mergeCells>
  <conditionalFormatting sqref="D37">
    <cfRule type="cellIs" dxfId="14" priority="6" operator="lessThan">
      <formula>0</formula>
    </cfRule>
  </conditionalFormatting>
  <conditionalFormatting sqref="D41">
    <cfRule type="cellIs" dxfId="13" priority="3" operator="lessThan">
      <formula>0</formula>
    </cfRule>
  </conditionalFormatting>
  <conditionalFormatting sqref="D42">
    <cfRule type="containsText" dxfId="12" priority="4" operator="containsText" text="Payback not reached">
      <formula>NOT(ISERROR(SEARCH("Payback not reached",D42)))</formula>
    </cfRule>
    <cfRule type="cellIs" dxfId="11" priority="5" operator="equal">
      <formula>"""Payback not reached"""</formula>
    </cfRule>
  </conditionalFormatting>
  <conditionalFormatting sqref="H20:AA20">
    <cfRule type="cellIs" dxfId="10" priority="1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15A19A6E-8325-4EA7-9B22-AEB64EA46951}">
            <xm:f>Input!$D$28</xm:f>
            <x14:dxf>
              <fill>
                <patternFill>
                  <bgColor rgb="FFC00000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6A1D-A3AA-C24C-9CA0-D6A34B3F9E33}">
  <dimension ref="A1:AI110"/>
  <sheetViews>
    <sheetView topLeftCell="A30" zoomScaleNormal="100" workbookViewId="0">
      <selection activeCell="D60" sqref="D60"/>
    </sheetView>
  </sheetViews>
  <sheetFormatPr defaultColWidth="8.81640625" defaultRowHeight="14.5" x14ac:dyDescent="0.35"/>
  <cols>
    <col min="1" max="1" width="3.81640625" customWidth="1"/>
    <col min="2" max="2" width="51.1796875" customWidth="1"/>
    <col min="3" max="3" width="11.6328125" customWidth="1"/>
    <col min="4" max="4" width="12.1796875" customWidth="1"/>
    <col min="6" max="6" width="35.81640625" customWidth="1"/>
    <col min="7" max="7" width="21.81640625" customWidth="1"/>
    <col min="8" max="8" width="10.6328125" customWidth="1"/>
    <col min="9" max="9" width="9.81640625" bestFit="1" customWidth="1"/>
    <col min="10" max="10" width="9.6328125" customWidth="1"/>
    <col min="12" max="33" width="8.81640625" style="27"/>
  </cols>
  <sheetData>
    <row r="1" spans="1:33" ht="18" customHeight="1" x14ac:dyDescent="0.35">
      <c r="A1" s="27"/>
      <c r="F1" s="16"/>
      <c r="M1" s="28"/>
    </row>
    <row r="2" spans="1:33" ht="18" customHeight="1" x14ac:dyDescent="0.35">
      <c r="A2" s="26"/>
      <c r="B2" s="175" t="s">
        <v>53</v>
      </c>
      <c r="C2" s="175"/>
      <c r="D2" s="175"/>
      <c r="F2" s="175" t="s">
        <v>214</v>
      </c>
      <c r="G2" s="175"/>
      <c r="H2" s="175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33" ht="18" customHeight="1" x14ac:dyDescent="0.35">
      <c r="M3" s="28"/>
    </row>
    <row r="4" spans="1:33" ht="18" customHeight="1" x14ac:dyDescent="0.35">
      <c r="A4" s="74"/>
      <c r="B4" s="6" t="s">
        <v>9</v>
      </c>
      <c r="C4" s="5" t="s">
        <v>8</v>
      </c>
      <c r="D4" s="5" t="s">
        <v>7</v>
      </c>
      <c r="F4" s="6" t="s">
        <v>9</v>
      </c>
      <c r="G4" s="5" t="s">
        <v>8</v>
      </c>
      <c r="H4" s="5" t="s">
        <v>7</v>
      </c>
      <c r="L4" s="95"/>
      <c r="M4" s="96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33" ht="18" customHeight="1" x14ac:dyDescent="0.35">
      <c r="A5" s="71"/>
      <c r="B5" s="7" t="s">
        <v>49</v>
      </c>
      <c r="C5" s="8" t="s">
        <v>4</v>
      </c>
      <c r="D5" s="17">
        <v>0</v>
      </c>
      <c r="F5" s="1" t="s">
        <v>63</v>
      </c>
      <c r="G5" s="4" t="s">
        <v>4</v>
      </c>
      <c r="H5" s="19">
        <f>CEILING(D10*Input!D29/100,1)</f>
        <v>0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33" ht="18" customHeight="1" x14ac:dyDescent="0.35">
      <c r="A6" s="71"/>
      <c r="B6" s="7" t="s">
        <v>50</v>
      </c>
      <c r="C6" s="3" t="s">
        <v>4</v>
      </c>
      <c r="D6" s="17">
        <v>0</v>
      </c>
      <c r="E6" s="20"/>
      <c r="F6" s="1" t="s">
        <v>64</v>
      </c>
      <c r="G6" s="4" t="s">
        <v>4</v>
      </c>
      <c r="H6" s="19">
        <f>CEILING(D10*Input!D30/100,1)</f>
        <v>0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33" ht="18" customHeight="1" x14ac:dyDescent="0.35">
      <c r="A7" s="75"/>
      <c r="B7" s="2" t="s">
        <v>51</v>
      </c>
      <c r="C7" s="3" t="s">
        <v>4</v>
      </c>
      <c r="D7" s="17">
        <v>0</v>
      </c>
      <c r="H7" s="20"/>
      <c r="L7" s="34"/>
      <c r="M7" s="97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33" ht="18" customHeight="1" x14ac:dyDescent="0.35">
      <c r="A8" s="71"/>
      <c r="B8" s="2" t="s">
        <v>52</v>
      </c>
      <c r="C8" s="91" t="s">
        <v>4</v>
      </c>
      <c r="D8" s="18">
        <f>'System Sizing'!D36*Input!D58</f>
        <v>0</v>
      </c>
      <c r="F8" s="15" t="s">
        <v>75</v>
      </c>
      <c r="G8" s="3" t="s">
        <v>74</v>
      </c>
      <c r="H8" s="18">
        <f>H5*Input!D31/(12*100)</f>
        <v>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33" ht="18" customHeight="1" x14ac:dyDescent="0.35">
      <c r="A9" s="71"/>
      <c r="B9" s="140" t="s">
        <v>294</v>
      </c>
      <c r="C9" s="91" t="s">
        <v>4</v>
      </c>
      <c r="D9" s="18">
        <f>SUM(D5:D7)*Input!D58/100</f>
        <v>0</v>
      </c>
      <c r="F9" s="15" t="s">
        <v>76</v>
      </c>
      <c r="G9" s="3" t="s">
        <v>4</v>
      </c>
      <c r="H9" s="18">
        <f>PMT(Input!D33/(100*12), Input!D34*Input!D35, -H6)</f>
        <v>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33" ht="18" customHeight="1" x14ac:dyDescent="0.35">
      <c r="B10" s="38" t="s">
        <v>57</v>
      </c>
      <c r="C10" s="92" t="s">
        <v>4</v>
      </c>
      <c r="D10" s="40">
        <f>SUM(D5:D9)</f>
        <v>0</v>
      </c>
      <c r="F10" s="99" t="s">
        <v>139</v>
      </c>
      <c r="G10" s="25" t="s">
        <v>4</v>
      </c>
      <c r="H10" s="39">
        <f>H9*12*Input!D34</f>
        <v>0</v>
      </c>
      <c r="M10" s="28"/>
    </row>
    <row r="11" spans="1:33" ht="18" customHeight="1" x14ac:dyDescent="0.35">
      <c r="A11" s="71"/>
      <c r="B11" s="71"/>
      <c r="C11" s="85"/>
      <c r="D11" s="90"/>
    </row>
    <row r="12" spans="1:33" ht="18" customHeight="1" x14ac:dyDescent="0.35">
      <c r="B12" s="176" t="s">
        <v>58</v>
      </c>
      <c r="C12" s="176"/>
      <c r="D12" s="176"/>
      <c r="F12" s="120" t="s">
        <v>85</v>
      </c>
      <c r="G12" s="177" t="s">
        <v>85</v>
      </c>
      <c r="H12" s="177"/>
      <c r="I12" s="177"/>
      <c r="J12" s="177"/>
      <c r="K12" s="177" t="s">
        <v>85</v>
      </c>
      <c r="L12" s="177"/>
      <c r="M12" s="177"/>
      <c r="N12" s="177" t="s">
        <v>85</v>
      </c>
      <c r="O12" s="177"/>
      <c r="P12" s="177"/>
      <c r="Q12" s="177"/>
      <c r="R12" s="177" t="s">
        <v>85</v>
      </c>
      <c r="S12" s="177"/>
      <c r="T12" s="177"/>
      <c r="U12" s="177"/>
      <c r="V12" s="177" t="s">
        <v>85</v>
      </c>
      <c r="W12" s="177"/>
      <c r="X12" s="177"/>
      <c r="Y12" s="177"/>
      <c r="Z12" s="121"/>
      <c r="AA12" s="122"/>
      <c r="AB12"/>
      <c r="AC12"/>
      <c r="AD12"/>
      <c r="AE12"/>
      <c r="AF12"/>
      <c r="AG12"/>
    </row>
    <row r="13" spans="1:33" s="27" customFormat="1" ht="18" customHeight="1" x14ac:dyDescent="0.35">
      <c r="B13" s="26"/>
      <c r="C13" s="26"/>
      <c r="D13" s="26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33" ht="18" customHeight="1" x14ac:dyDescent="0.35">
      <c r="A14" s="71"/>
      <c r="B14" s="2" t="s">
        <v>131</v>
      </c>
      <c r="C14" s="3" t="s">
        <v>4</v>
      </c>
      <c r="D14" s="18">
        <f>D10*Input!D59/100</f>
        <v>0</v>
      </c>
      <c r="L14"/>
      <c r="M14"/>
      <c r="N14" s="2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8" customHeight="1" x14ac:dyDescent="0.35">
      <c r="G15" s="23" t="s">
        <v>86</v>
      </c>
      <c r="H15" s="22" t="s">
        <v>133</v>
      </c>
      <c r="I15" s="22" t="s">
        <v>133</v>
      </c>
      <c r="J15" s="22" t="s">
        <v>133</v>
      </c>
      <c r="K15" s="22" t="s">
        <v>133</v>
      </c>
      <c r="L15" s="22" t="s">
        <v>133</v>
      </c>
      <c r="M15" s="22" t="s">
        <v>133</v>
      </c>
      <c r="N15" s="22" t="s">
        <v>133</v>
      </c>
      <c r="O15" s="22" t="s">
        <v>133</v>
      </c>
      <c r="P15" s="22" t="s">
        <v>133</v>
      </c>
      <c r="Q15" s="22" t="s">
        <v>133</v>
      </c>
      <c r="R15" s="22" t="s">
        <v>133</v>
      </c>
      <c r="S15" s="22" t="s">
        <v>133</v>
      </c>
      <c r="T15" s="22" t="s">
        <v>133</v>
      </c>
      <c r="U15" s="22" t="s">
        <v>133</v>
      </c>
      <c r="V15" s="22" t="s">
        <v>133</v>
      </c>
      <c r="W15" s="22" t="s">
        <v>133</v>
      </c>
      <c r="X15" s="22" t="s">
        <v>133</v>
      </c>
      <c r="Y15" s="22" t="s">
        <v>133</v>
      </c>
      <c r="Z15" s="22" t="s">
        <v>133</v>
      </c>
      <c r="AA15" s="22" t="s">
        <v>133</v>
      </c>
      <c r="AB15"/>
      <c r="AC15"/>
      <c r="AD15"/>
      <c r="AE15"/>
      <c r="AF15"/>
      <c r="AG15"/>
    </row>
    <row r="16" spans="1:33" ht="18" customHeight="1" x14ac:dyDescent="0.35">
      <c r="A16" s="60"/>
      <c r="H16" s="100">
        <v>1</v>
      </c>
      <c r="I16" s="100">
        <v>2</v>
      </c>
      <c r="J16" s="100">
        <v>3</v>
      </c>
      <c r="K16" s="100">
        <v>4</v>
      </c>
      <c r="L16" s="100">
        <v>5</v>
      </c>
      <c r="M16" s="100">
        <v>6</v>
      </c>
      <c r="N16" s="100">
        <v>7</v>
      </c>
      <c r="O16" s="100">
        <v>8</v>
      </c>
      <c r="P16" s="100">
        <v>9</v>
      </c>
      <c r="Q16" s="100">
        <v>10</v>
      </c>
      <c r="R16" s="100">
        <v>11</v>
      </c>
      <c r="S16" s="100">
        <v>12</v>
      </c>
      <c r="T16" s="100">
        <v>13</v>
      </c>
      <c r="U16" s="100">
        <v>14</v>
      </c>
      <c r="V16" s="100">
        <v>15</v>
      </c>
      <c r="W16" s="100">
        <v>16</v>
      </c>
      <c r="X16" s="100">
        <v>17</v>
      </c>
      <c r="Y16" s="100">
        <v>18</v>
      </c>
      <c r="Z16" s="100">
        <v>19</v>
      </c>
      <c r="AA16" s="100">
        <v>20</v>
      </c>
      <c r="AB16"/>
      <c r="AC16"/>
      <c r="AD16"/>
      <c r="AE16"/>
      <c r="AF16"/>
      <c r="AG16"/>
    </row>
    <row r="17" spans="1:35" ht="18" customHeight="1" x14ac:dyDescent="0.35">
      <c r="B17" s="176" t="s">
        <v>215</v>
      </c>
      <c r="C17" s="176"/>
      <c r="D17" s="176"/>
      <c r="F17" s="178" t="s">
        <v>237</v>
      </c>
      <c r="G17" s="1" t="s">
        <v>87</v>
      </c>
      <c r="H17" s="31">
        <f>IF(H$16&gt;Input!$D$32, 0, $H$8*12)</f>
        <v>0</v>
      </c>
      <c r="I17" s="31">
        <f>IF(I$16&gt;Input!$D$32, 0, $H$8*12)</f>
        <v>0</v>
      </c>
      <c r="J17" s="31">
        <f>IF(J$16&gt;Input!$D$32, 0, $H$8*12)</f>
        <v>0</v>
      </c>
      <c r="K17" s="31">
        <f>IF(K$16&gt;Input!$D$32, 0, $H$8*12)</f>
        <v>0</v>
      </c>
      <c r="L17" s="31">
        <f>IF(L$16&gt;Input!$D$32, 0, $H$8*12)</f>
        <v>0</v>
      </c>
      <c r="M17" s="31">
        <f>IF(M$16&gt;Input!$D$32, 0, $H$8*12)</f>
        <v>0</v>
      </c>
      <c r="N17" s="31">
        <f>IF(N$16&gt;Input!$D$32, 0, $H$8*12)</f>
        <v>0</v>
      </c>
      <c r="O17" s="31">
        <f>IF(O$16&gt;Input!$D$32, 0, $H$8*12)</f>
        <v>0</v>
      </c>
      <c r="P17" s="31">
        <f>IF(P$16&gt;Input!$D$32, 0, $H$8*12)</f>
        <v>0</v>
      </c>
      <c r="Q17" s="31">
        <f>IF(Q$16&gt;Input!$D$32, 0, $H$8*12)</f>
        <v>0</v>
      </c>
      <c r="R17" s="31">
        <f>IF(R$16&gt;Input!$D$32, 0, $H$8*12)</f>
        <v>0</v>
      </c>
      <c r="S17" s="31">
        <f>IF(S$16&gt;Input!$D$32, 0, $H$8*12)</f>
        <v>0</v>
      </c>
      <c r="T17" s="31">
        <f>IF(T$16&gt;Input!$D$32, 0, $H$8*12)</f>
        <v>0</v>
      </c>
      <c r="U17" s="31">
        <f>IF(U$16&gt;Input!$D$32, 0, $H$8*12)</f>
        <v>0</v>
      </c>
      <c r="V17" s="31">
        <f>IF(V$16&gt;Input!$D$32, 0, $H$8*12)</f>
        <v>0</v>
      </c>
      <c r="W17" s="31">
        <f>IF(W$16&gt;Input!$D$32, 0, $H$8*12)</f>
        <v>0</v>
      </c>
      <c r="X17" s="31">
        <f>IF(X$16&gt;Input!$D$32, 0, $H$8*12)</f>
        <v>0</v>
      </c>
      <c r="Y17" s="31">
        <f>IF(Y$16&gt;Input!$D$32, 0, $H$8*12)</f>
        <v>0</v>
      </c>
      <c r="Z17" s="31">
        <f>IF(Z$16&gt;Input!$D$32, 0, $H$8*12)</f>
        <v>0</v>
      </c>
      <c r="AA17" s="31">
        <f>IF(AA$16&gt;Input!$D$32, 0, $H$8*12)</f>
        <v>0</v>
      </c>
      <c r="AB17"/>
      <c r="AC17"/>
      <c r="AD17"/>
      <c r="AE17"/>
      <c r="AF17"/>
      <c r="AG17"/>
    </row>
    <row r="18" spans="1:35" ht="18" customHeight="1" x14ac:dyDescent="0.35">
      <c r="A18" s="71"/>
      <c r="F18" s="179"/>
      <c r="G18" s="1" t="s">
        <v>88</v>
      </c>
      <c r="H18" s="31">
        <f>IF(H$16&lt;=Input!$D$34,$H$9*12,0)</f>
        <v>0</v>
      </c>
      <c r="I18" s="31">
        <f>IF(I$16&lt;=Input!$D$34,$H$9*12,0)</f>
        <v>0</v>
      </c>
      <c r="J18" s="31">
        <f>IF(J$16&lt;=Input!$D$34,$H$9*12,0)</f>
        <v>0</v>
      </c>
      <c r="K18" s="31">
        <f>IF(K$16&lt;=Input!$D$34,$H$9*12,0)</f>
        <v>0</v>
      </c>
      <c r="L18" s="31">
        <f>IF(L$16&lt;=Input!$D$34,$H$9*12,0)</f>
        <v>0</v>
      </c>
      <c r="M18" s="31">
        <f>IF(M$16&lt;=Input!$D$34,$H$9*12,0)</f>
        <v>0</v>
      </c>
      <c r="N18" s="31">
        <f>IF(N$16&lt;=Input!$D$34,$H$9*12,0)</f>
        <v>0</v>
      </c>
      <c r="O18" s="31">
        <f>IF(O$16&lt;=Input!$D$34,$H$9*12,0)</f>
        <v>0</v>
      </c>
      <c r="P18" s="31">
        <f>IF(P$16&lt;=Input!$D$34,$H$9*12,0)</f>
        <v>0</v>
      </c>
      <c r="Q18" s="31">
        <f>IF(Q$16&lt;=Input!$D$34,$H$9*12,0)</f>
        <v>0</v>
      </c>
      <c r="R18" s="31">
        <f>IF(R$16&lt;=Input!$D$34,$H$9*12,0)</f>
        <v>0</v>
      </c>
      <c r="S18" s="31">
        <f>IF(S$16&lt;=Input!$D$34,$H$9*12,0)</f>
        <v>0</v>
      </c>
      <c r="T18" s="31">
        <f>IF(T$16&lt;=Input!$D$34,$H$9*12,0)</f>
        <v>0</v>
      </c>
      <c r="U18" s="31">
        <f>IF(U$16&lt;=Input!$D$34,$H$9*12,0)</f>
        <v>0</v>
      </c>
      <c r="V18" s="31">
        <f>IF(V$16&lt;=Input!$D$34,$H$9*12,0)</f>
        <v>0</v>
      </c>
      <c r="W18" s="31">
        <f>IF(W$16&lt;=Input!$D$34,$H$9*12,0)</f>
        <v>0</v>
      </c>
      <c r="X18" s="31">
        <f>IF(X$16&lt;=Input!$D$34,$H$9*12,0)</f>
        <v>0</v>
      </c>
      <c r="Y18" s="31">
        <f>IF(Y$16&lt;=Input!$D$34,$H$9*12,0)</f>
        <v>0</v>
      </c>
      <c r="Z18" s="31">
        <f>IF(Z$16&lt;=Input!$D$34,$H$9*12,0)</f>
        <v>0</v>
      </c>
      <c r="AA18" s="31">
        <f>IF(AA$16&lt;=Input!$D$34,$H$9*12,0)</f>
        <v>0</v>
      </c>
      <c r="AB18"/>
      <c r="AC18"/>
      <c r="AD18"/>
      <c r="AE18"/>
      <c r="AF18"/>
      <c r="AG18"/>
    </row>
    <row r="19" spans="1:35" ht="18" customHeight="1" x14ac:dyDescent="0.35">
      <c r="A19" s="71"/>
      <c r="B19" s="2" t="s">
        <v>216</v>
      </c>
      <c r="C19" s="3" t="s">
        <v>4</v>
      </c>
      <c r="D19" s="18">
        <f>'System Sizing'!J30</f>
        <v>106.12500000000004</v>
      </c>
      <c r="F19" s="179"/>
      <c r="G19" s="1" t="s">
        <v>58</v>
      </c>
      <c r="H19" s="31">
        <f>IF(H$16&lt;=Input!$D$32,$D$14,0)</f>
        <v>0</v>
      </c>
      <c r="I19" s="31">
        <f>IF(I$16&lt;=Input!$D$32,$D$14,0)</f>
        <v>0</v>
      </c>
      <c r="J19" s="31">
        <f>IF(J$16&lt;=Input!$D$32,$D$14,0)</f>
        <v>0</v>
      </c>
      <c r="K19" s="31">
        <f>IF(K$16&lt;=Input!$D$32,$D$14,0)</f>
        <v>0</v>
      </c>
      <c r="L19" s="31">
        <f>IF(L$16&lt;=Input!$D$32,$D$14,0)</f>
        <v>0</v>
      </c>
      <c r="M19" s="31">
        <f>IF(M$16&lt;=Input!$D$32,$D$14,0)</f>
        <v>0</v>
      </c>
      <c r="N19" s="31">
        <f>IF(N$16&lt;=Input!$D$32,$D$14,0)</f>
        <v>0</v>
      </c>
      <c r="O19" s="31">
        <f>IF(O$16&lt;=Input!$D$32,$D$14,0)</f>
        <v>0</v>
      </c>
      <c r="P19" s="31">
        <f>IF(P$16&lt;=Input!$D$32,$D$14,0)</f>
        <v>0</v>
      </c>
      <c r="Q19" s="31">
        <f>IF(Q$16&lt;=Input!$D$32,$D$14,0)</f>
        <v>0</v>
      </c>
      <c r="R19" s="31">
        <f>IF(R$16&lt;=Input!$D$32,$D$14,0)</f>
        <v>0</v>
      </c>
      <c r="S19" s="31">
        <f>IF(S$16&lt;=Input!$D$32,$D$14,0)</f>
        <v>0</v>
      </c>
      <c r="T19" s="31">
        <f>IF(T$16&lt;=Input!$D$32,$D$14,0)</f>
        <v>0</v>
      </c>
      <c r="U19" s="31">
        <f>IF(U$16&lt;=Input!$D$32,$D$14,0)</f>
        <v>0</v>
      </c>
      <c r="V19" s="31">
        <f>IF(V$16&lt;=Input!$D$32,$D$14,0)</f>
        <v>0</v>
      </c>
      <c r="W19" s="31">
        <f>IF(W$16&lt;=Input!$D$32,$D$14,0)</f>
        <v>0</v>
      </c>
      <c r="X19" s="31">
        <f>IF(X$16&lt;=Input!$D$32,$D$14,0)</f>
        <v>0</v>
      </c>
      <c r="Y19" s="31">
        <f>IF(Y$16&lt;=Input!$D$32,$D$14,0)</f>
        <v>0</v>
      </c>
      <c r="Z19" s="31">
        <f>IF(Z$16&lt;=Input!$D$32,$D$14,0)</f>
        <v>0</v>
      </c>
      <c r="AA19" s="31">
        <f>IF(AA$16&lt;=Input!$D$32,$D$14,0)</f>
        <v>0</v>
      </c>
      <c r="AB19"/>
      <c r="AC19"/>
      <c r="AD19"/>
      <c r="AE19"/>
      <c r="AF19"/>
      <c r="AG19"/>
    </row>
    <row r="20" spans="1:35" ht="18" customHeight="1" x14ac:dyDescent="0.35">
      <c r="A20" s="71"/>
      <c r="B20" s="2" t="s">
        <v>217</v>
      </c>
      <c r="C20" s="3" t="s">
        <v>4</v>
      </c>
      <c r="D20" s="18">
        <f>'System Sizing'!J34</f>
        <v>971.48325358851673</v>
      </c>
      <c r="F20" s="179"/>
      <c r="G20" s="1" t="s">
        <v>89</v>
      </c>
      <c r="H20" s="31">
        <f>IF(H$16&lt;=Input!$D$32,Input!$D$14*12,0)</f>
        <v>2688</v>
      </c>
      <c r="I20" s="31">
        <f>IF(I$16&lt;=Input!$D$32,Input!$D$14*12,0)</f>
        <v>2688</v>
      </c>
      <c r="J20" s="31">
        <f>IF(J$16&lt;=Input!$D$32,Input!$D$14*12,0)</f>
        <v>2688</v>
      </c>
      <c r="K20" s="31">
        <f>IF(K$16&lt;=Input!$D$32,Input!$D$14*12,0)</f>
        <v>2688</v>
      </c>
      <c r="L20" s="31">
        <f>IF(L$16&lt;=Input!$D$32,Input!$D$14*12,0)</f>
        <v>2688</v>
      </c>
      <c r="M20" s="31">
        <f>IF(M$16&lt;=Input!$D$32,Input!$D$14*12,0)</f>
        <v>2688</v>
      </c>
      <c r="N20" s="31">
        <f>IF(N$16&lt;=Input!$D$32,Input!$D$14*12,0)</f>
        <v>2688</v>
      </c>
      <c r="O20" s="31">
        <f>IF(O$16&lt;=Input!$D$32,Input!$D$14*12,0)</f>
        <v>2688</v>
      </c>
      <c r="P20" s="31">
        <f>IF(P$16&lt;=Input!$D$32,Input!$D$14*12,0)</f>
        <v>2688</v>
      </c>
      <c r="Q20" s="31">
        <f>IF(Q$16&lt;=Input!$D$32,Input!$D$14*12,0)</f>
        <v>2688</v>
      </c>
      <c r="R20" s="31">
        <f>IF(R$16&lt;=Input!$D$32,Input!$D$14*12,0)</f>
        <v>2688</v>
      </c>
      <c r="S20" s="31">
        <f>IF(S$16&lt;=Input!$D$32,Input!$D$14*12,0)</f>
        <v>2688</v>
      </c>
      <c r="T20" s="31">
        <f>IF(T$16&lt;=Input!$D$32,Input!$D$14*12,0)</f>
        <v>2688</v>
      </c>
      <c r="U20" s="31">
        <f>IF(U$16&lt;=Input!$D$32,Input!$D$14*12,0)</f>
        <v>2688</v>
      </c>
      <c r="V20" s="31">
        <f>IF(V$16&lt;=Input!$D$32,Input!$D$14*12,0)</f>
        <v>2688</v>
      </c>
      <c r="W20" s="31">
        <f>IF(W$16&lt;=Input!$D$32,Input!$D$14*12,0)</f>
        <v>2688</v>
      </c>
      <c r="X20" s="31">
        <f>IF(X$16&lt;=Input!$D$32,Input!$D$14*12,0)</f>
        <v>2688</v>
      </c>
      <c r="Y20" s="31">
        <f>IF(Y$16&lt;=Input!$D$32,Input!$D$14*12,0)</f>
        <v>2688</v>
      </c>
      <c r="Z20" s="31">
        <f>IF(Z$16&lt;=Input!$D$32,Input!$D$14*12,0)</f>
        <v>2688</v>
      </c>
      <c r="AA20" s="31">
        <f>IF(AA$16&lt;=Input!$D$32,Input!$D$14*12,0)</f>
        <v>2688</v>
      </c>
      <c r="AB20"/>
      <c r="AC20"/>
      <c r="AD20"/>
      <c r="AE20"/>
      <c r="AF20"/>
      <c r="AG20"/>
    </row>
    <row r="21" spans="1:35" ht="18" customHeight="1" x14ac:dyDescent="0.35">
      <c r="A21" s="71"/>
      <c r="F21" s="180"/>
      <c r="G21" s="1" t="s">
        <v>90</v>
      </c>
      <c r="H21" s="31">
        <f>IF(H$16&lt;=Input!$D$32,Input!$D$19*12,0)</f>
        <v>1440</v>
      </c>
      <c r="I21" s="31">
        <f>IF(I$16&lt;=Input!$D$32,Input!$D$19*12,0)</f>
        <v>1440</v>
      </c>
      <c r="J21" s="31">
        <f>IF(J$16&lt;=Input!$D$32,Input!$D$19*12,0)</f>
        <v>1440</v>
      </c>
      <c r="K21" s="31">
        <f>IF(K$16&lt;=Input!$D$32,Input!$D$19*12,0)</f>
        <v>1440</v>
      </c>
      <c r="L21" s="31">
        <f>IF(L$16&lt;=Input!$D$32,Input!$D$19*12,0)</f>
        <v>1440</v>
      </c>
      <c r="M21" s="31">
        <f>IF(M$16&lt;=Input!$D$32,Input!$D$19*12,0)</f>
        <v>1440</v>
      </c>
      <c r="N21" s="31">
        <f>IF(N$16&lt;=Input!$D$32,Input!$D$19*12,0)</f>
        <v>1440</v>
      </c>
      <c r="O21" s="31">
        <f>IF(O$16&lt;=Input!$D$32,Input!$D$19*12,0)</f>
        <v>1440</v>
      </c>
      <c r="P21" s="31">
        <f>IF(P$16&lt;=Input!$D$32,Input!$D$19*12,0)</f>
        <v>1440</v>
      </c>
      <c r="Q21" s="31">
        <f>IF(Q$16&lt;=Input!$D$32,Input!$D$19*12,0)</f>
        <v>1440</v>
      </c>
      <c r="R21" s="31">
        <f>IF(R$16&lt;=Input!$D$32,Input!$D$19*12,0)</f>
        <v>1440</v>
      </c>
      <c r="S21" s="31">
        <f>IF(S$16&lt;=Input!$D$32,Input!$D$19*12,0)</f>
        <v>1440</v>
      </c>
      <c r="T21" s="31">
        <f>IF(T$16&lt;=Input!$D$32,Input!$D$19*12,0)</f>
        <v>1440</v>
      </c>
      <c r="U21" s="31">
        <f>IF(U$16&lt;=Input!$D$32,Input!$D$19*12,0)</f>
        <v>1440</v>
      </c>
      <c r="V21" s="31">
        <f>IF(V$16&lt;=Input!$D$32,Input!$D$19*12,0)</f>
        <v>1440</v>
      </c>
      <c r="W21" s="31">
        <f>IF(W$16&lt;=Input!$D$32,Input!$D$19*12,0)</f>
        <v>1440</v>
      </c>
      <c r="X21" s="31">
        <f>IF(X$16&lt;=Input!$D$32,Input!$D$19*12,0)</f>
        <v>1440</v>
      </c>
      <c r="Y21" s="31">
        <f>IF(Y$16&lt;=Input!$D$32,Input!$D$19*12,0)</f>
        <v>1440</v>
      </c>
      <c r="Z21" s="31">
        <f>IF(Z$16&lt;=Input!$D$32,Input!$D$19*12,0)</f>
        <v>1440</v>
      </c>
      <c r="AA21" s="31">
        <f>IF(AA$16&lt;=Input!$D$32,Input!$D$19*12,0)</f>
        <v>1440</v>
      </c>
      <c r="AB21"/>
      <c r="AC21"/>
      <c r="AD21"/>
      <c r="AE21"/>
      <c r="AF21"/>
      <c r="AG21"/>
    </row>
    <row r="22" spans="1:35" ht="18" customHeight="1" x14ac:dyDescent="0.35">
      <c r="A22" s="71"/>
      <c r="E22" s="37"/>
      <c r="F22" s="60"/>
      <c r="AB22"/>
      <c r="AC22"/>
      <c r="AD22"/>
      <c r="AE22"/>
      <c r="AF22"/>
      <c r="AG22"/>
    </row>
    <row r="23" spans="1:35" ht="18" customHeight="1" x14ac:dyDescent="0.35">
      <c r="A23" s="71"/>
      <c r="B23" s="175" t="s">
        <v>212</v>
      </c>
      <c r="C23" s="175"/>
      <c r="D23" s="175"/>
      <c r="E23" s="37"/>
      <c r="F23" s="178" t="s">
        <v>236</v>
      </c>
      <c r="G23" s="1" t="s">
        <v>89</v>
      </c>
      <c r="H23" s="31">
        <f>IF(H$16&lt;=Input!$D$32,Input!$D$14*12,0)</f>
        <v>2688</v>
      </c>
      <c r="I23" s="31">
        <f>IF(I$16&lt;=Input!$D$32,Input!$D$14*12,0)</f>
        <v>2688</v>
      </c>
      <c r="J23" s="31">
        <f>IF(J$16&lt;=Input!$D$32,Input!$D$14*12,0)</f>
        <v>2688</v>
      </c>
      <c r="K23" s="31">
        <f>IF(K$16&lt;=Input!$D$32,Input!$D$14*12,0)</f>
        <v>2688</v>
      </c>
      <c r="L23" s="31">
        <f>IF(L$16&lt;=Input!$D$32,Input!$D$14*12,0)</f>
        <v>2688</v>
      </c>
      <c r="M23" s="31">
        <f>IF(M$16&lt;=Input!$D$32,Input!$D$14*12,0)</f>
        <v>2688</v>
      </c>
      <c r="N23" s="31">
        <f>IF(N$16&lt;=Input!$D$32,Input!$D$14*12,0)</f>
        <v>2688</v>
      </c>
      <c r="O23" s="31">
        <f>IF(O$16&lt;=Input!$D$32,Input!$D$14*12,0)</f>
        <v>2688</v>
      </c>
      <c r="P23" s="31">
        <f>IF(P$16&lt;=Input!$D$32,Input!$D$14*12,0)</f>
        <v>2688</v>
      </c>
      <c r="Q23" s="31">
        <f>IF(Q$16&lt;=Input!$D$32,Input!$D$14*12,0)</f>
        <v>2688</v>
      </c>
      <c r="R23" s="31">
        <f>IF(R$16&lt;=Input!$D$32,Input!$D$14*12,0)</f>
        <v>2688</v>
      </c>
      <c r="S23" s="31">
        <f>IF(S$16&lt;=Input!$D$32,Input!$D$14*12,0)</f>
        <v>2688</v>
      </c>
      <c r="T23" s="31">
        <f>IF(T$16&lt;=Input!$D$32,Input!$D$14*12,0)</f>
        <v>2688</v>
      </c>
      <c r="U23" s="31">
        <f>IF(U$16&lt;=Input!$D$32,Input!$D$14*12,0)</f>
        <v>2688</v>
      </c>
      <c r="V23" s="31">
        <f>IF(V$16&lt;=Input!$D$32,Input!$D$14*12,0)</f>
        <v>2688</v>
      </c>
      <c r="W23" s="31">
        <f>IF(W$16&lt;=Input!$D$32,Input!$D$14*12,0)</f>
        <v>2688</v>
      </c>
      <c r="X23" s="31">
        <f>IF(X$16&lt;=Input!$D$32,Input!$D$14*12,0)</f>
        <v>2688</v>
      </c>
      <c r="Y23" s="31">
        <f>IF(Y$16&lt;=Input!$D$32,Input!$D$14*12,0)</f>
        <v>2688</v>
      </c>
      <c r="Z23" s="31">
        <f>IF(Z$16&lt;=Input!$D$32,Input!$D$14*12,0)</f>
        <v>2688</v>
      </c>
      <c r="AA23" s="31">
        <f>IF(AA$16&lt;=Input!$D$32,Input!$D$14*12,0)</f>
        <v>2688</v>
      </c>
      <c r="AB23"/>
      <c r="AC23"/>
      <c r="AD23"/>
      <c r="AE23"/>
      <c r="AF23"/>
      <c r="AG23"/>
    </row>
    <row r="24" spans="1:35" ht="18" customHeight="1" x14ac:dyDescent="0.35">
      <c r="A24" s="71"/>
      <c r="F24" s="179"/>
      <c r="G24" s="1" t="s">
        <v>90</v>
      </c>
      <c r="H24" s="31">
        <f>IF(H$16&lt;=Input!$D$32,Input!$D$19*12,0)</f>
        <v>1440</v>
      </c>
      <c r="I24" s="31">
        <f>IF(I$16&lt;=Input!$D$32,Input!$D$19*12,0)</f>
        <v>1440</v>
      </c>
      <c r="J24" s="31">
        <f>IF(J$16&lt;=Input!$D$32,Input!$D$19*12,0)</f>
        <v>1440</v>
      </c>
      <c r="K24" s="31">
        <f>IF(K$16&lt;=Input!$D$32,Input!$D$19*12,0)</f>
        <v>1440</v>
      </c>
      <c r="L24" s="31">
        <f>IF(L$16&lt;=Input!$D$32,Input!$D$19*12,0)</f>
        <v>1440</v>
      </c>
      <c r="M24" s="31">
        <f>IF(M$16&lt;=Input!$D$32,Input!$D$19*12,0)</f>
        <v>1440</v>
      </c>
      <c r="N24" s="31">
        <f>IF(N$16&lt;=Input!$D$32,Input!$D$19*12,0)</f>
        <v>1440</v>
      </c>
      <c r="O24" s="31">
        <f>IF(O$16&lt;=Input!$D$32,Input!$D$19*12,0)</f>
        <v>1440</v>
      </c>
      <c r="P24" s="31">
        <f>IF(P$16&lt;=Input!$D$32,Input!$D$19*12,0)</f>
        <v>1440</v>
      </c>
      <c r="Q24" s="31">
        <f>IF(Q$16&lt;=Input!$D$32,Input!$D$19*12,0)</f>
        <v>1440</v>
      </c>
      <c r="R24" s="31">
        <f>IF(R$16&lt;=Input!$D$32,Input!$D$19*12,0)</f>
        <v>1440</v>
      </c>
      <c r="S24" s="31">
        <f>IF(S$16&lt;=Input!$D$32,Input!$D$19*12,0)</f>
        <v>1440</v>
      </c>
      <c r="T24" s="31">
        <f>IF(T$16&lt;=Input!$D$32,Input!$D$19*12,0)</f>
        <v>1440</v>
      </c>
      <c r="U24" s="31">
        <f>IF(U$16&lt;=Input!$D$32,Input!$D$19*12,0)</f>
        <v>1440</v>
      </c>
      <c r="V24" s="31">
        <f>IF(V$16&lt;=Input!$D$32,Input!$D$19*12,0)</f>
        <v>1440</v>
      </c>
      <c r="W24" s="31">
        <f>IF(W$16&lt;=Input!$D$32,Input!$D$19*12,0)</f>
        <v>1440</v>
      </c>
      <c r="X24" s="31">
        <f>IF(X$16&lt;=Input!$D$32,Input!$D$19*12,0)</f>
        <v>1440</v>
      </c>
      <c r="Y24" s="31">
        <f>IF(Y$16&lt;=Input!$D$32,Input!$D$19*12,0)</f>
        <v>1440</v>
      </c>
      <c r="Z24" s="31">
        <f>IF(Z$16&lt;=Input!$D$32,Input!$D$19*12,0)</f>
        <v>1440</v>
      </c>
      <c r="AA24" s="31">
        <f>IF(AA$16&lt;=Input!$D$32,Input!$D$19*12,0)</f>
        <v>1440</v>
      </c>
      <c r="AB24"/>
      <c r="AC24"/>
      <c r="AD24"/>
      <c r="AE24"/>
      <c r="AF24"/>
      <c r="AG24"/>
    </row>
    <row r="25" spans="1:35" ht="18" customHeight="1" x14ac:dyDescent="0.35">
      <c r="A25" s="71"/>
      <c r="B25" s="89" t="s">
        <v>77</v>
      </c>
      <c r="C25" s="87" t="s">
        <v>4</v>
      </c>
      <c r="D25" s="88">
        <f>H8*12*Input!D32</f>
        <v>0</v>
      </c>
      <c r="F25" s="180"/>
      <c r="G25" s="1" t="s">
        <v>136</v>
      </c>
      <c r="H25" s="31">
        <f>IF(H$16&lt;=Input!$D$32,(H$23+H$24)*(Input!$D$59+2)/100,0)</f>
        <v>165.12</v>
      </c>
      <c r="I25" s="31">
        <f>IF(I$16&lt;=Input!$D$32,(I$23+I$24)*(Input!$D$59+2)/100,0)</f>
        <v>165.12</v>
      </c>
      <c r="J25" s="31">
        <f>IF(J$16&lt;=Input!$D$32,(J$23+J$24)*(Input!$D$59+2)/100,0)</f>
        <v>165.12</v>
      </c>
      <c r="K25" s="31">
        <f>IF(K$16&lt;=Input!$D$32,(K$23+K$24)*(Input!$D$59+2)/100,0)</f>
        <v>165.12</v>
      </c>
      <c r="L25" s="31">
        <f>IF(L$16&lt;=Input!$D$32,(L$23+L$24)*(Input!$D$59+2)/100,0)</f>
        <v>165.12</v>
      </c>
      <c r="M25" s="31">
        <f>IF(M$16&lt;=Input!$D$32,(M$23+M$24)*(Input!$D$59+2)/100,0)</f>
        <v>165.12</v>
      </c>
      <c r="N25" s="31">
        <f>IF(N$16&lt;=Input!$D$32,(N$23+N$24)*(Input!$D$59+2)/100,0)</f>
        <v>165.12</v>
      </c>
      <c r="O25" s="31">
        <f>IF(O$16&lt;=Input!$D$32,(O$23+O$24)*(Input!$D$59+2)/100,0)</f>
        <v>165.12</v>
      </c>
      <c r="P25" s="31">
        <f>IF(P$16&lt;=Input!$D$32,(P$23+P$24)*(Input!$D$59+2)/100,0)</f>
        <v>165.12</v>
      </c>
      <c r="Q25" s="31">
        <f>IF(Q$16&lt;=Input!$D$32,(Q$23+Q$24)*(Input!$D$59+2)/100,0)</f>
        <v>165.12</v>
      </c>
      <c r="R25" s="31">
        <f>IF(R$16&lt;=Input!$D$32,(R$23+R$24)*(Input!$D$59+2)/100,0)</f>
        <v>165.12</v>
      </c>
      <c r="S25" s="31">
        <f>IF(S$16&lt;=Input!$D$32,(S$23+S$24)*(Input!$D$59+2)/100,0)</f>
        <v>165.12</v>
      </c>
      <c r="T25" s="31">
        <f>IF(T$16&lt;=Input!$D$32,(T$23+T$24)*(Input!$D$59+2)/100,0)</f>
        <v>165.12</v>
      </c>
      <c r="U25" s="31">
        <f>IF(U$16&lt;=Input!$D$32,(U$23+U$24)*(Input!$D$59+2)/100,0)</f>
        <v>165.12</v>
      </c>
      <c r="V25" s="31">
        <f>IF(V$16&lt;=Input!$D$32,(V$23+V$24)*(Input!$D$59+2)/100,0)</f>
        <v>165.12</v>
      </c>
      <c r="W25" s="31">
        <f>IF(W$16&lt;=Input!$D$32,(W$23+W$24)*(Input!$D$59+2)/100,0)</f>
        <v>165.12</v>
      </c>
      <c r="X25" s="31">
        <f>IF(X$16&lt;=Input!$D$32,(X$23+X$24)*(Input!$D$59+2)/100,0)</f>
        <v>165.12</v>
      </c>
      <c r="Y25" s="31">
        <f>IF(Y$16&lt;=Input!$D$32,(Y$23+Y$24)*(Input!$D$59+2)/100,0)</f>
        <v>165.12</v>
      </c>
      <c r="Z25" s="31">
        <f>IF(Z$16&lt;=Input!$D$32,(Z$23+Z$24)*(Input!$D$59+2)/100,0)</f>
        <v>165.12</v>
      </c>
      <c r="AA25" s="31">
        <f>IF(AA$16&lt;=Input!$D$32,(AA$23+AA$24)*(Input!$D$59+2)/100,0)</f>
        <v>165.12</v>
      </c>
      <c r="AB25"/>
      <c r="AC25"/>
      <c r="AD25"/>
      <c r="AE25"/>
      <c r="AF25"/>
      <c r="AG25"/>
    </row>
    <row r="26" spans="1:35" ht="18" customHeight="1" x14ac:dyDescent="0.35">
      <c r="A26" s="71"/>
      <c r="B26" s="89" t="s">
        <v>78</v>
      </c>
      <c r="C26" s="87" t="s">
        <v>4</v>
      </c>
      <c r="D26" s="88">
        <f>H9*12*Input!D34</f>
        <v>0</v>
      </c>
      <c r="AB26"/>
      <c r="AC26"/>
      <c r="AD26"/>
      <c r="AE26"/>
      <c r="AF26"/>
      <c r="AG26"/>
    </row>
    <row r="27" spans="1:35" ht="18" customHeight="1" x14ac:dyDescent="0.35">
      <c r="A27" s="71"/>
      <c r="B27" s="89" t="s">
        <v>213</v>
      </c>
      <c r="C27" s="87" t="s">
        <v>4</v>
      </c>
      <c r="D27" s="88">
        <f>D14*Input!D32</f>
        <v>0</v>
      </c>
      <c r="AB27"/>
      <c r="AC27"/>
      <c r="AD27"/>
      <c r="AE27"/>
      <c r="AF27"/>
      <c r="AG27"/>
    </row>
    <row r="28" spans="1:35" ht="18" customHeight="1" x14ac:dyDescent="0.35">
      <c r="A28" s="71"/>
      <c r="B28" s="89" t="s">
        <v>79</v>
      </c>
      <c r="C28" s="87" t="s">
        <v>4</v>
      </c>
      <c r="D28" s="88">
        <f>E66*Input!D32</f>
        <v>0</v>
      </c>
      <c r="F28" s="33" t="s">
        <v>224</v>
      </c>
      <c r="G28" s="30"/>
      <c r="H28" s="32">
        <f t="shared" ref="H28:AA28" si="0">H$17+H$18+H$20+H$21+H$22</f>
        <v>4128</v>
      </c>
      <c r="I28" s="32">
        <f t="shared" si="0"/>
        <v>4128</v>
      </c>
      <c r="J28" s="32">
        <f t="shared" si="0"/>
        <v>4128</v>
      </c>
      <c r="K28" s="32">
        <f t="shared" si="0"/>
        <v>4128</v>
      </c>
      <c r="L28" s="32">
        <f t="shared" si="0"/>
        <v>4128</v>
      </c>
      <c r="M28" s="32">
        <f t="shared" si="0"/>
        <v>4128</v>
      </c>
      <c r="N28" s="32">
        <f t="shared" si="0"/>
        <v>4128</v>
      </c>
      <c r="O28" s="32">
        <f t="shared" si="0"/>
        <v>4128</v>
      </c>
      <c r="P28" s="32">
        <f t="shared" si="0"/>
        <v>4128</v>
      </c>
      <c r="Q28" s="32">
        <f t="shared" si="0"/>
        <v>4128</v>
      </c>
      <c r="R28" s="32">
        <f t="shared" si="0"/>
        <v>4128</v>
      </c>
      <c r="S28" s="32">
        <f t="shared" si="0"/>
        <v>4128</v>
      </c>
      <c r="T28" s="32">
        <f t="shared" si="0"/>
        <v>4128</v>
      </c>
      <c r="U28" s="32">
        <f t="shared" si="0"/>
        <v>4128</v>
      </c>
      <c r="V28" s="32">
        <f t="shared" si="0"/>
        <v>4128</v>
      </c>
      <c r="W28" s="32">
        <f t="shared" si="0"/>
        <v>4128</v>
      </c>
      <c r="X28" s="32">
        <f t="shared" si="0"/>
        <v>4128</v>
      </c>
      <c r="Y28" s="32">
        <f t="shared" si="0"/>
        <v>4128</v>
      </c>
      <c r="Z28" s="32">
        <f t="shared" si="0"/>
        <v>4128</v>
      </c>
      <c r="AA28" s="32">
        <f t="shared" si="0"/>
        <v>4128</v>
      </c>
      <c r="AB28"/>
      <c r="AC28"/>
      <c r="AD28"/>
      <c r="AE28"/>
      <c r="AF28"/>
      <c r="AG28"/>
    </row>
    <row r="29" spans="1:35" ht="18" customHeight="1" x14ac:dyDescent="0.35">
      <c r="A29" s="71"/>
      <c r="B29" s="89" t="s">
        <v>80</v>
      </c>
      <c r="C29" s="87" t="s">
        <v>4</v>
      </c>
      <c r="D29" s="88">
        <f>E67*Input!D32</f>
        <v>0</v>
      </c>
      <c r="F29" s="28"/>
      <c r="G29" s="27"/>
      <c r="H29" s="34"/>
      <c r="I29" s="34"/>
      <c r="J29" s="34"/>
      <c r="K29" s="34"/>
      <c r="L29" s="34"/>
      <c r="M29" s="34"/>
      <c r="N29" s="97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D29"/>
      <c r="AE29"/>
      <c r="AF29"/>
      <c r="AG29"/>
    </row>
    <row r="30" spans="1:35" ht="18" customHeight="1" x14ac:dyDescent="0.35">
      <c r="B30" s="123" t="s">
        <v>68</v>
      </c>
      <c r="C30" s="124" t="s">
        <v>4</v>
      </c>
      <c r="D30" s="125">
        <f>SUM(D25:D29)</f>
        <v>0</v>
      </c>
      <c r="F30" s="33" t="s">
        <v>134</v>
      </c>
      <c r="G30" s="30"/>
      <c r="H30" s="32">
        <f t="shared" ref="H30:AA30" si="1">H$23+H$24+H$25</f>
        <v>4293.12</v>
      </c>
      <c r="I30" s="32">
        <f t="shared" si="1"/>
        <v>4293.12</v>
      </c>
      <c r="J30" s="32">
        <f t="shared" si="1"/>
        <v>4293.12</v>
      </c>
      <c r="K30" s="32">
        <f t="shared" si="1"/>
        <v>4293.12</v>
      </c>
      <c r="L30" s="32">
        <f t="shared" si="1"/>
        <v>4293.12</v>
      </c>
      <c r="M30" s="32">
        <f t="shared" si="1"/>
        <v>4293.12</v>
      </c>
      <c r="N30" s="32">
        <f t="shared" si="1"/>
        <v>4293.12</v>
      </c>
      <c r="O30" s="32">
        <f t="shared" si="1"/>
        <v>4293.12</v>
      </c>
      <c r="P30" s="32">
        <f t="shared" si="1"/>
        <v>4293.12</v>
      </c>
      <c r="Q30" s="32">
        <f t="shared" si="1"/>
        <v>4293.12</v>
      </c>
      <c r="R30" s="32">
        <f t="shared" si="1"/>
        <v>4293.12</v>
      </c>
      <c r="S30" s="32">
        <f t="shared" si="1"/>
        <v>4293.12</v>
      </c>
      <c r="T30" s="32">
        <f t="shared" si="1"/>
        <v>4293.12</v>
      </c>
      <c r="U30" s="32">
        <f t="shared" si="1"/>
        <v>4293.12</v>
      </c>
      <c r="V30" s="32">
        <f t="shared" si="1"/>
        <v>4293.12</v>
      </c>
      <c r="W30" s="32">
        <f t="shared" si="1"/>
        <v>4293.12</v>
      </c>
      <c r="X30" s="32">
        <f t="shared" si="1"/>
        <v>4293.12</v>
      </c>
      <c r="Y30" s="32">
        <f t="shared" si="1"/>
        <v>4293.12</v>
      </c>
      <c r="Z30" s="32">
        <f t="shared" si="1"/>
        <v>4293.12</v>
      </c>
      <c r="AA30" s="32">
        <f t="shared" si="1"/>
        <v>4293.12</v>
      </c>
      <c r="AB30"/>
      <c r="AC30"/>
      <c r="AD30"/>
      <c r="AE30"/>
      <c r="AF30"/>
      <c r="AG30"/>
    </row>
    <row r="31" spans="1:35" ht="18" customHeight="1" x14ac:dyDescent="0.35">
      <c r="B31" s="126"/>
      <c r="C31" s="126"/>
      <c r="D31" s="126"/>
      <c r="F31" s="24"/>
      <c r="L31"/>
      <c r="M31"/>
      <c r="N31" s="2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5" ht="18" customHeight="1" x14ac:dyDescent="0.35">
      <c r="B32" s="89" t="s">
        <v>82</v>
      </c>
      <c r="C32" s="87" t="s">
        <v>4</v>
      </c>
      <c r="D32" s="88">
        <f>Input!D14*12*Input!D32</f>
        <v>67200</v>
      </c>
      <c r="F32" s="33" t="s">
        <v>135</v>
      </c>
      <c r="G32" s="30"/>
      <c r="H32" s="32">
        <f t="shared" ref="H32:AA32" si="2">H30-H28</f>
        <v>165.11999999999989</v>
      </c>
      <c r="I32" s="32">
        <f t="shared" si="2"/>
        <v>165.11999999999989</v>
      </c>
      <c r="J32" s="32">
        <f t="shared" si="2"/>
        <v>165.11999999999989</v>
      </c>
      <c r="K32" s="32">
        <f t="shared" si="2"/>
        <v>165.11999999999989</v>
      </c>
      <c r="L32" s="32">
        <f t="shared" si="2"/>
        <v>165.11999999999989</v>
      </c>
      <c r="M32" s="32">
        <f t="shared" si="2"/>
        <v>165.11999999999989</v>
      </c>
      <c r="N32" s="32">
        <f t="shared" si="2"/>
        <v>165.11999999999989</v>
      </c>
      <c r="O32" s="32">
        <f t="shared" si="2"/>
        <v>165.11999999999989</v>
      </c>
      <c r="P32" s="32">
        <f t="shared" si="2"/>
        <v>165.11999999999989</v>
      </c>
      <c r="Q32" s="32">
        <f t="shared" si="2"/>
        <v>165.11999999999989</v>
      </c>
      <c r="R32" s="32">
        <f t="shared" si="2"/>
        <v>165.11999999999989</v>
      </c>
      <c r="S32" s="32">
        <f t="shared" si="2"/>
        <v>165.11999999999989</v>
      </c>
      <c r="T32" s="32">
        <f t="shared" si="2"/>
        <v>165.11999999999989</v>
      </c>
      <c r="U32" s="32">
        <f t="shared" si="2"/>
        <v>165.11999999999989</v>
      </c>
      <c r="V32" s="32">
        <f t="shared" si="2"/>
        <v>165.11999999999989</v>
      </c>
      <c r="W32" s="32">
        <f t="shared" si="2"/>
        <v>165.11999999999989</v>
      </c>
      <c r="X32" s="32">
        <f t="shared" si="2"/>
        <v>165.11999999999989</v>
      </c>
      <c r="Y32" s="32">
        <f t="shared" si="2"/>
        <v>165.11999999999989</v>
      </c>
      <c r="Z32" s="32">
        <f t="shared" si="2"/>
        <v>165.11999999999989</v>
      </c>
      <c r="AA32" s="32">
        <f t="shared" si="2"/>
        <v>165.11999999999989</v>
      </c>
      <c r="AB32"/>
      <c r="AC32"/>
      <c r="AH32" s="27"/>
      <c r="AI32" s="27"/>
    </row>
    <row r="33" spans="1:35" ht="18" customHeight="1" x14ac:dyDescent="0.35">
      <c r="A33" s="29"/>
      <c r="B33" s="89" t="s">
        <v>83</v>
      </c>
      <c r="C33" s="87" t="s">
        <v>4</v>
      </c>
      <c r="D33" s="88">
        <f>Input!D19*Input!D32</f>
        <v>3000</v>
      </c>
      <c r="AD33"/>
      <c r="AE33"/>
      <c r="AF33"/>
      <c r="AG33"/>
    </row>
    <row r="34" spans="1:35" ht="18" customHeight="1" x14ac:dyDescent="0.35">
      <c r="A34" s="29"/>
      <c r="B34" s="89" t="s">
        <v>137</v>
      </c>
      <c r="C34" s="87" t="s">
        <v>4</v>
      </c>
      <c r="D34" s="88">
        <f>D14*Input!D32</f>
        <v>0</v>
      </c>
      <c r="F34" s="110" t="s">
        <v>225</v>
      </c>
      <c r="G34" s="111"/>
      <c r="H34" s="112">
        <f>H$28/(1+Input!$D$48/100)^H$16</f>
        <v>3685.7142857142853</v>
      </c>
      <c r="I34" s="112">
        <f>I$28/(1+Input!$D$48/100)^I$16</f>
        <v>3290.8163265306116</v>
      </c>
      <c r="J34" s="112">
        <f>J$28/(1+Input!$D$48/100)^J$16</f>
        <v>2938.22886297376</v>
      </c>
      <c r="K34" s="112">
        <f>K$28/(1+Input!$D$48/100)^K$16</f>
        <v>2623.4186276551432</v>
      </c>
      <c r="L34" s="112">
        <f>L$28/(1+Input!$D$48/100)^L$16</f>
        <v>2342.3380604063777</v>
      </c>
      <c r="M34" s="112">
        <f>M$28/(1+Input!$D$48/100)^M$16</f>
        <v>2091.3732682199798</v>
      </c>
      <c r="N34" s="112">
        <f>N$28/(1+Input!$D$48/100)^N$16</f>
        <v>1867.2975609106961</v>
      </c>
      <c r="O34" s="112">
        <f>O$28/(1+Input!$D$48/100)^O$16</f>
        <v>1667.2299650988357</v>
      </c>
      <c r="P34" s="112">
        <f>P$28/(1+Input!$D$48/100)^P$16</f>
        <v>1488.5981831239603</v>
      </c>
      <c r="Q34" s="112">
        <f>Q$28/(1+Input!$D$48/100)^Q$16</f>
        <v>1329.1055206463932</v>
      </c>
      <c r="R34" s="112">
        <f>R$28/(1+Input!$D$48/100)^R$16</f>
        <v>1186.7013577199937</v>
      </c>
      <c r="S34" s="112">
        <f>S$28/(1+Input!$D$48/100)^S$16</f>
        <v>1059.5547836785659</v>
      </c>
      <c r="T34" s="112">
        <f>T$28/(1+Input!$D$48/100)^T$16</f>
        <v>946.03105685586218</v>
      </c>
      <c r="U34" s="112">
        <f>U$28/(1+Input!$D$48/100)^U$16</f>
        <v>844.67058647844829</v>
      </c>
      <c r="V34" s="112">
        <f>V$28/(1+Input!$D$48/100)^V$16</f>
        <v>754.17016649861466</v>
      </c>
      <c r="W34" s="112">
        <f>W$28/(1+Input!$D$48/100)^W$16</f>
        <v>673.36622008804864</v>
      </c>
      <c r="X34" s="112">
        <f>X$28/(1+Input!$D$48/100)^X$16</f>
        <v>601.21983936432912</v>
      </c>
      <c r="Y34" s="112">
        <f>Y$28/(1+Input!$D$48/100)^Y$16</f>
        <v>536.80342800386518</v>
      </c>
      <c r="Z34" s="112">
        <f>Z$28/(1+Input!$D$48/100)^Z$16</f>
        <v>479.28877500345106</v>
      </c>
      <c r="AA34" s="112">
        <f>AA$28/(1+Input!$D$48/100)^AA$16</f>
        <v>427.93640625308132</v>
      </c>
      <c r="AB34"/>
      <c r="AC34"/>
      <c r="AD34"/>
      <c r="AE34"/>
      <c r="AF34"/>
      <c r="AG34"/>
    </row>
    <row r="35" spans="1:35" ht="18" customHeight="1" x14ac:dyDescent="0.35">
      <c r="A35" s="26"/>
      <c r="B35" s="123" t="s">
        <v>138</v>
      </c>
      <c r="C35" s="124" t="s">
        <v>4</v>
      </c>
      <c r="D35" s="125">
        <f>D32+D33+D34</f>
        <v>70200</v>
      </c>
      <c r="E35" s="27"/>
      <c r="F35" s="28"/>
      <c r="G35" s="27"/>
      <c r="H35" s="34"/>
      <c r="I35" s="34"/>
      <c r="J35" s="34"/>
      <c r="K35" s="34"/>
      <c r="L35" s="34"/>
      <c r="M35" s="34"/>
      <c r="N35" s="97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/>
      <c r="AC35"/>
      <c r="AD35"/>
      <c r="AE35"/>
      <c r="AF35"/>
      <c r="AG35"/>
    </row>
    <row r="36" spans="1:35" ht="18" customHeight="1" x14ac:dyDescent="0.35">
      <c r="B36" s="126"/>
      <c r="C36" s="126"/>
      <c r="D36" s="126"/>
      <c r="F36" s="110" t="s">
        <v>221</v>
      </c>
      <c r="G36" s="111"/>
      <c r="H36" s="112">
        <f>H$30/(1+Input!$D$48/100)^H$16</f>
        <v>3833.1428571428569</v>
      </c>
      <c r="I36" s="112">
        <f>I$30/(1+Input!$D$48/100)^I$16</f>
        <v>3422.4489795918362</v>
      </c>
      <c r="J36" s="112">
        <f>J$30/(1+Input!$D$48/100)^J$16</f>
        <v>3055.7580174927102</v>
      </c>
      <c r="K36" s="112">
        <f>K$30/(1+Input!$D$48/100)^K$16</f>
        <v>2728.3553727613489</v>
      </c>
      <c r="L36" s="112">
        <f>L$30/(1+Input!$D$48/100)^L$16</f>
        <v>2436.0315828226326</v>
      </c>
      <c r="M36" s="112">
        <f>M$30/(1+Input!$D$48/100)^M$16</f>
        <v>2175.0281989487789</v>
      </c>
      <c r="N36" s="112">
        <f>N$30/(1+Input!$D$48/100)^N$16</f>
        <v>1941.989463347124</v>
      </c>
      <c r="O36" s="112">
        <f>O$30/(1+Input!$D$48/100)^O$16</f>
        <v>1733.9191637027891</v>
      </c>
      <c r="P36" s="112">
        <f>P$30/(1+Input!$D$48/100)^P$16</f>
        <v>1548.1421104489189</v>
      </c>
      <c r="Q36" s="112">
        <f>Q$30/(1+Input!$D$48/100)^Q$16</f>
        <v>1382.2697414722488</v>
      </c>
      <c r="R36" s="112">
        <f>R$30/(1+Input!$D$48/100)^R$16</f>
        <v>1234.1694120287934</v>
      </c>
      <c r="S36" s="112">
        <f>S$30/(1+Input!$D$48/100)^S$16</f>
        <v>1101.9369750257085</v>
      </c>
      <c r="T36" s="112">
        <f>T$30/(1+Input!$D$48/100)^T$16</f>
        <v>983.87229913009662</v>
      </c>
      <c r="U36" s="112">
        <f>U$30/(1+Input!$D$48/100)^U$16</f>
        <v>878.45740993758625</v>
      </c>
      <c r="V36" s="112">
        <f>V$30/(1+Input!$D$48/100)^V$16</f>
        <v>784.3369731585592</v>
      </c>
      <c r="W36" s="112">
        <f>W$30/(1+Input!$D$48/100)^W$16</f>
        <v>700.30086889157053</v>
      </c>
      <c r="X36" s="112">
        <f>X$30/(1+Input!$D$48/100)^X$16</f>
        <v>625.26863293890221</v>
      </c>
      <c r="Y36" s="112">
        <f>Y$30/(1+Input!$D$48/100)^Y$16</f>
        <v>558.27556512401986</v>
      </c>
      <c r="Z36" s="112">
        <f>Z$30/(1+Input!$D$48/100)^Z$16</f>
        <v>498.4603260035891</v>
      </c>
      <c r="AA36" s="112">
        <f>AA$30/(1+Input!$D$48/100)^AA$16</f>
        <v>445.05386250320453</v>
      </c>
      <c r="AB36"/>
      <c r="AC36"/>
      <c r="AH36" s="27"/>
      <c r="AI36" s="27"/>
    </row>
    <row r="37" spans="1:35" ht="18" customHeight="1" x14ac:dyDescent="0.35">
      <c r="B37" s="123" t="s">
        <v>84</v>
      </c>
      <c r="C37" s="124" t="s">
        <v>4</v>
      </c>
      <c r="D37" s="125">
        <f>(D32+D33+D34)-D30</f>
        <v>70200</v>
      </c>
      <c r="AB37"/>
      <c r="AC37"/>
      <c r="AD37"/>
      <c r="AE37"/>
      <c r="AF37"/>
      <c r="AG37"/>
    </row>
    <row r="38" spans="1:35" ht="18" customHeight="1" x14ac:dyDescent="0.35">
      <c r="F38" s="110" t="s">
        <v>238</v>
      </c>
      <c r="G38" s="111"/>
      <c r="H38" s="112">
        <f t="shared" ref="H38:AA38" si="3">H$36-H$34</f>
        <v>147.42857142857156</v>
      </c>
      <c r="I38" s="112">
        <f t="shared" si="3"/>
        <v>131.63265306122457</v>
      </c>
      <c r="J38" s="112">
        <f t="shared" si="3"/>
        <v>117.52915451895024</v>
      </c>
      <c r="K38" s="112">
        <f t="shared" si="3"/>
        <v>104.93674510620576</v>
      </c>
      <c r="L38" s="112">
        <f t="shared" si="3"/>
        <v>93.693522416254837</v>
      </c>
      <c r="M38" s="112">
        <f t="shared" si="3"/>
        <v>83.654930728799172</v>
      </c>
      <c r="N38" s="112">
        <f t="shared" si="3"/>
        <v>74.691902436427881</v>
      </c>
      <c r="O38" s="112">
        <f t="shared" si="3"/>
        <v>66.6891986039534</v>
      </c>
      <c r="P38" s="112">
        <f t="shared" si="3"/>
        <v>59.543927324958531</v>
      </c>
      <c r="Q38" s="112">
        <f t="shared" si="3"/>
        <v>53.164220825855637</v>
      </c>
      <c r="R38" s="112">
        <f t="shared" si="3"/>
        <v>47.468054308799765</v>
      </c>
      <c r="S38" s="112">
        <f t="shared" si="3"/>
        <v>42.38219134714268</v>
      </c>
      <c r="T38" s="112">
        <f t="shared" si="3"/>
        <v>37.841242274234446</v>
      </c>
      <c r="U38" s="112">
        <f t="shared" si="3"/>
        <v>33.786823459137963</v>
      </c>
      <c r="V38" s="112">
        <f t="shared" si="3"/>
        <v>30.166806659944541</v>
      </c>
      <c r="W38" s="112">
        <f t="shared" si="3"/>
        <v>26.934648803521895</v>
      </c>
      <c r="X38" s="112">
        <f t="shared" si="3"/>
        <v>24.048793574573097</v>
      </c>
      <c r="Y38" s="112">
        <f t="shared" si="3"/>
        <v>21.472137120154684</v>
      </c>
      <c r="Z38" s="112">
        <f t="shared" si="3"/>
        <v>19.171551000138038</v>
      </c>
      <c r="AA38" s="112">
        <f t="shared" si="3"/>
        <v>17.117456250123212</v>
      </c>
      <c r="AC38"/>
      <c r="AD38"/>
      <c r="AE38"/>
      <c r="AF38"/>
      <c r="AG38"/>
    </row>
    <row r="39" spans="1:35" ht="18" customHeight="1" x14ac:dyDescent="0.35">
      <c r="A39" s="27"/>
      <c r="B39" s="38" t="s">
        <v>222</v>
      </c>
      <c r="C39" s="25" t="s">
        <v>4</v>
      </c>
      <c r="D39" s="39">
        <f>SUM(H34:AA34)</f>
        <v>30833.863281224305</v>
      </c>
      <c r="E39" s="27"/>
      <c r="F39" s="24"/>
      <c r="L39"/>
      <c r="M39"/>
      <c r="N39" s="24"/>
      <c r="O39"/>
      <c r="P39"/>
      <c r="Q39"/>
      <c r="R39"/>
      <c r="S39"/>
      <c r="T39"/>
      <c r="U39"/>
      <c r="V39"/>
      <c r="W39"/>
      <c r="X39"/>
      <c r="Y39"/>
      <c r="Z39"/>
      <c r="AA39"/>
      <c r="AC39"/>
      <c r="AD39"/>
      <c r="AE39"/>
      <c r="AF39"/>
      <c r="AG39"/>
    </row>
    <row r="40" spans="1:35" ht="18" customHeight="1" x14ac:dyDescent="0.35">
      <c r="B40" s="38" t="s">
        <v>223</v>
      </c>
      <c r="C40" s="25" t="s">
        <v>4</v>
      </c>
      <c r="D40" s="39">
        <f>SUM(H36:AA36)</f>
        <v>32067.217812473275</v>
      </c>
      <c r="F40" s="110" t="s">
        <v>226</v>
      </c>
      <c r="G40" s="111"/>
      <c r="H40" s="112">
        <f>H38</f>
        <v>147.42857142857156</v>
      </c>
      <c r="I40" s="112">
        <f>SUM($H$38:I$38)</f>
        <v>279.06122448979613</v>
      </c>
      <c r="J40" s="112">
        <f>SUM($H$38:J$38)</f>
        <v>396.59037900874637</v>
      </c>
      <c r="K40" s="112">
        <f>SUM($H$38:K$38)</f>
        <v>501.52712411495213</v>
      </c>
      <c r="L40" s="112">
        <f>SUM($H$38:L$38)</f>
        <v>595.22064653120697</v>
      </c>
      <c r="M40" s="112">
        <f>SUM($H$38:M$38)</f>
        <v>678.87557726000614</v>
      </c>
      <c r="N40" s="112">
        <f>SUM($H$38:N$38)</f>
        <v>753.56747969643402</v>
      </c>
      <c r="O40" s="112">
        <f>SUM($H$38:O$38)</f>
        <v>820.25667830038742</v>
      </c>
      <c r="P40" s="112">
        <f>SUM($H$38:P$38)</f>
        <v>879.80060562534595</v>
      </c>
      <c r="Q40" s="112">
        <f>SUM($H$38:Q$38)</f>
        <v>932.96482645120159</v>
      </c>
      <c r="R40" s="112">
        <f>SUM($H$38:R$38)</f>
        <v>980.43288076000135</v>
      </c>
      <c r="S40" s="112">
        <f>SUM($H$38:S$38)</f>
        <v>1022.815072107144</v>
      </c>
      <c r="T40" s="112">
        <f>SUM($H$38:T$38)</f>
        <v>1060.6563143813785</v>
      </c>
      <c r="U40" s="112">
        <f>SUM($H$38:U$38)</f>
        <v>1094.4431378405166</v>
      </c>
      <c r="V40" s="112">
        <f>SUM($H$38:V$38)</f>
        <v>1124.6099445004611</v>
      </c>
      <c r="W40" s="112">
        <f>SUM($H$38:W$38)</f>
        <v>1151.544593303983</v>
      </c>
      <c r="X40" s="112">
        <f>SUM($H$38:X$38)</f>
        <v>1175.593386878556</v>
      </c>
      <c r="Y40" s="112">
        <f>SUM($H$38:Y$38)</f>
        <v>1197.0655239987107</v>
      </c>
      <c r="Z40" s="112">
        <f>SUM($H$38:Z$38)</f>
        <v>1216.2370749988486</v>
      </c>
      <c r="AA40" s="112">
        <f>SUM($H$38:AA$38)</f>
        <v>1233.3545312489719</v>
      </c>
      <c r="AC40"/>
      <c r="AD40"/>
      <c r="AE40"/>
      <c r="AF40"/>
      <c r="AG40"/>
    </row>
    <row r="41" spans="1:35" ht="18" customHeight="1" x14ac:dyDescent="0.35">
      <c r="B41" s="108" t="s">
        <v>227</v>
      </c>
      <c r="C41" s="109" t="s">
        <v>4</v>
      </c>
      <c r="D41" s="116">
        <f>SUM(H38:AA38)</f>
        <v>1233.3545312489719</v>
      </c>
      <c r="AB41"/>
      <c r="AC41"/>
      <c r="AD41"/>
      <c r="AE41"/>
      <c r="AF41"/>
      <c r="AG41"/>
    </row>
    <row r="42" spans="1:35" ht="31.5" customHeight="1" x14ac:dyDescent="0.35">
      <c r="B42" s="38" t="s">
        <v>6</v>
      </c>
      <c r="C42" s="25" t="s">
        <v>14</v>
      </c>
      <c r="D42" s="115" cm="1">
        <f t="array" ref="D42">IFERROR(INDEX($H$42:$AA$42,1,MATCH(TRUE,H40:AA40&gt;0,0)), "Payback not reached")</f>
        <v>1</v>
      </c>
      <c r="F42" s="113" t="s">
        <v>133</v>
      </c>
      <c r="G42" s="114"/>
      <c r="H42" s="114">
        <v>1</v>
      </c>
      <c r="I42" s="114">
        <v>2</v>
      </c>
      <c r="J42" s="114">
        <v>3</v>
      </c>
      <c r="K42" s="114">
        <v>4</v>
      </c>
      <c r="L42" s="114">
        <v>5</v>
      </c>
      <c r="M42" s="114">
        <v>6</v>
      </c>
      <c r="N42" s="114">
        <v>7</v>
      </c>
      <c r="O42" s="114">
        <v>8</v>
      </c>
      <c r="P42" s="114">
        <v>9</v>
      </c>
      <c r="Q42" s="114">
        <v>10</v>
      </c>
      <c r="R42" s="114">
        <v>11</v>
      </c>
      <c r="S42" s="114">
        <v>12</v>
      </c>
      <c r="T42" s="114">
        <v>13</v>
      </c>
      <c r="U42" s="114">
        <v>14</v>
      </c>
      <c r="V42" s="114">
        <v>15</v>
      </c>
      <c r="W42" s="114">
        <v>16</v>
      </c>
      <c r="X42" s="114">
        <v>17</v>
      </c>
      <c r="Y42" s="114">
        <v>18</v>
      </c>
      <c r="Z42" s="114">
        <v>19</v>
      </c>
      <c r="AA42" s="114">
        <v>20</v>
      </c>
      <c r="AB42"/>
      <c r="AC42"/>
      <c r="AD42"/>
      <c r="AE42"/>
      <c r="AF42"/>
      <c r="AG42"/>
    </row>
    <row r="43" spans="1:35" ht="18" customHeight="1" x14ac:dyDescent="0.35">
      <c r="AB43"/>
      <c r="AC43"/>
      <c r="AD43"/>
      <c r="AE43"/>
      <c r="AF43"/>
      <c r="AG43"/>
    </row>
    <row r="44" spans="1:35" ht="18" customHeight="1" x14ac:dyDescent="0.35">
      <c r="L44"/>
      <c r="M44"/>
      <c r="N44" s="2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5" ht="18" customHeight="1" x14ac:dyDescent="0.35">
      <c r="F45" s="27"/>
      <c r="L45"/>
      <c r="M45"/>
      <c r="N45" s="24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5" ht="18" customHeight="1" x14ac:dyDescent="0.35">
      <c r="F46" s="27"/>
      <c r="L46"/>
      <c r="M46"/>
      <c r="N46" s="24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5" x14ac:dyDescent="0.35">
      <c r="F47" s="27"/>
      <c r="L47"/>
      <c r="M47"/>
      <c r="N47" s="24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5" x14ac:dyDescent="0.35">
      <c r="F48" s="27"/>
      <c r="L48"/>
      <c r="M48"/>
      <c r="N48" s="24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:33" x14ac:dyDescent="0.35">
      <c r="F49" s="27"/>
      <c r="L49"/>
      <c r="M49"/>
      <c r="N49" s="24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3:33" x14ac:dyDescent="0.35">
      <c r="F50" s="27"/>
      <c r="L50"/>
      <c r="M50"/>
      <c r="N50" s="24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3:33" x14ac:dyDescent="0.35">
      <c r="F51" s="27"/>
      <c r="L51"/>
      <c r="M51"/>
      <c r="N51" s="24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3:33" x14ac:dyDescent="0.35">
      <c r="E52" s="37"/>
      <c r="F52" s="27"/>
      <c r="L52"/>
      <c r="M52"/>
      <c r="N52" s="24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3:33" x14ac:dyDescent="0.35">
      <c r="F53" s="27"/>
      <c r="L53"/>
      <c r="M53"/>
      <c r="N53" s="24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3:33" x14ac:dyDescent="0.35">
      <c r="D54" s="107"/>
      <c r="L54"/>
      <c r="M54"/>
      <c r="N54" s="2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3:33" x14ac:dyDescent="0.35">
      <c r="L55"/>
      <c r="M55"/>
      <c r="N55" s="24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3:33" x14ac:dyDescent="0.35">
      <c r="C56" s="27"/>
      <c r="D56" s="27"/>
      <c r="E56" s="27"/>
      <c r="F56" s="27"/>
      <c r="L56"/>
      <c r="M56"/>
      <c r="N56" s="24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3:33" x14ac:dyDescent="0.35">
      <c r="C57" s="27"/>
      <c r="D57" s="60"/>
      <c r="E57" s="60"/>
      <c r="F57" s="27"/>
      <c r="L57"/>
      <c r="M57"/>
      <c r="N57" s="24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D57"/>
      <c r="AE57"/>
      <c r="AF57"/>
      <c r="AG57"/>
    </row>
    <row r="58" spans="3:33" x14ac:dyDescent="0.35">
      <c r="C58" s="27"/>
      <c r="D58" s="60"/>
      <c r="E58" s="60"/>
      <c r="F58" s="27"/>
      <c r="L58"/>
      <c r="M58"/>
      <c r="N58" s="2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D58"/>
      <c r="AE58"/>
      <c r="AF58"/>
      <c r="AG58"/>
    </row>
    <row r="59" spans="3:33" x14ac:dyDescent="0.35">
      <c r="C59" s="27"/>
      <c r="D59" s="27"/>
      <c r="E59" s="27"/>
      <c r="F59" s="27"/>
      <c r="L59"/>
      <c r="M59"/>
      <c r="N59" s="24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D59"/>
      <c r="AE59"/>
      <c r="AF59"/>
      <c r="AG59"/>
    </row>
    <row r="60" spans="3:33" x14ac:dyDescent="0.35">
      <c r="C60" s="27"/>
      <c r="D60" s="94"/>
      <c r="E60" s="94"/>
      <c r="F60" s="27"/>
      <c r="L60"/>
      <c r="M60"/>
      <c r="N60" s="24"/>
      <c r="O60"/>
      <c r="P60"/>
      <c r="Q60"/>
      <c r="R60"/>
      <c r="S60"/>
      <c r="T60"/>
      <c r="U60"/>
      <c r="V60"/>
      <c r="W60"/>
      <c r="X60"/>
      <c r="AC60"/>
      <c r="AD60"/>
      <c r="AE60"/>
      <c r="AF60"/>
      <c r="AG60"/>
    </row>
    <row r="61" spans="3:33" x14ac:dyDescent="0.35">
      <c r="C61" s="27"/>
      <c r="D61" s="27"/>
      <c r="E61" s="27"/>
      <c r="F61" s="27"/>
      <c r="L61"/>
      <c r="M61"/>
      <c r="N61" s="24"/>
      <c r="O61"/>
      <c r="P61"/>
      <c r="Q61"/>
      <c r="R61"/>
      <c r="S61"/>
      <c r="T61"/>
      <c r="U61"/>
      <c r="V61"/>
      <c r="W61"/>
      <c r="X61"/>
      <c r="AC61"/>
      <c r="AD61"/>
      <c r="AE61"/>
      <c r="AF61"/>
      <c r="AG61"/>
    </row>
    <row r="62" spans="3:33" x14ac:dyDescent="0.35">
      <c r="C62" s="60"/>
      <c r="D62" s="27"/>
      <c r="E62" s="95"/>
      <c r="F62" s="27"/>
      <c r="L62"/>
      <c r="M62"/>
      <c r="N62" s="24"/>
      <c r="O62"/>
      <c r="P62"/>
      <c r="Q62"/>
      <c r="R62"/>
      <c r="S62"/>
      <c r="T62"/>
      <c r="U62"/>
      <c r="V62"/>
      <c r="W62"/>
      <c r="X62"/>
      <c r="AC62"/>
      <c r="AD62"/>
      <c r="AE62"/>
      <c r="AF62"/>
      <c r="AG62"/>
    </row>
    <row r="63" spans="3:33" x14ac:dyDescent="0.35">
      <c r="C63" s="60"/>
      <c r="D63" s="27"/>
      <c r="E63" s="95"/>
      <c r="F63" s="27"/>
      <c r="L63"/>
      <c r="M63"/>
      <c r="N63" s="24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3:33" x14ac:dyDescent="0.35">
      <c r="C64" s="60"/>
      <c r="D64" s="27"/>
      <c r="E64" s="95"/>
      <c r="F64" s="27"/>
      <c r="L64"/>
      <c r="M64"/>
      <c r="N64" s="2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2:33" x14ac:dyDescent="0.35">
      <c r="B65" s="37"/>
      <c r="C65" s="60"/>
      <c r="D65" s="27"/>
      <c r="E65" s="34"/>
      <c r="F65" s="27"/>
      <c r="L65"/>
      <c r="M65"/>
      <c r="N65" s="24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2:33" x14ac:dyDescent="0.35">
      <c r="C66" s="60"/>
      <c r="D66" s="27"/>
      <c r="E66" s="95"/>
      <c r="F66" s="27"/>
      <c r="L66"/>
      <c r="M66"/>
      <c r="N66" s="24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2:33" x14ac:dyDescent="0.35">
      <c r="C67" s="60"/>
      <c r="D67" s="27"/>
      <c r="E67" s="95"/>
      <c r="F67" s="27"/>
      <c r="L67"/>
      <c r="M67"/>
      <c r="N67" s="24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2:33" x14ac:dyDescent="0.35">
      <c r="C68" s="106"/>
      <c r="D68" s="101"/>
      <c r="E68" s="101"/>
      <c r="F68" s="27"/>
      <c r="L68"/>
      <c r="M68"/>
      <c r="N68" s="24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2:33" x14ac:dyDescent="0.35">
      <c r="C69" s="106"/>
      <c r="D69" s="27"/>
      <c r="E69" s="27"/>
      <c r="F69" s="27"/>
      <c r="L69"/>
      <c r="M69"/>
      <c r="N69" s="24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2:33" x14ac:dyDescent="0.35">
      <c r="C70" s="106"/>
      <c r="D70" s="27"/>
      <c r="E70" s="27"/>
      <c r="F70" s="27"/>
      <c r="L70"/>
      <c r="M70"/>
      <c r="N70" s="24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2:33" x14ac:dyDescent="0.35">
      <c r="C71" s="26"/>
      <c r="D71" s="27"/>
      <c r="E71" s="95"/>
      <c r="F71" s="27"/>
      <c r="L71"/>
      <c r="M71"/>
      <c r="N71" s="24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2:33" x14ac:dyDescent="0.35">
      <c r="C72" s="28"/>
      <c r="D72" s="27"/>
      <c r="E72" s="27"/>
      <c r="F72" s="27"/>
      <c r="L72"/>
      <c r="M72"/>
      <c r="N72" s="24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2:33" x14ac:dyDescent="0.35">
      <c r="C73" s="28"/>
      <c r="D73" s="27"/>
      <c r="E73" s="27"/>
      <c r="F73" s="27"/>
      <c r="L73"/>
      <c r="M73"/>
      <c r="N73" s="24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2:33" x14ac:dyDescent="0.35">
      <c r="C74" s="60"/>
      <c r="D74" s="27"/>
      <c r="E74" s="34"/>
      <c r="F74" s="27"/>
      <c r="L74"/>
      <c r="M74"/>
      <c r="N74" s="2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2:33" x14ac:dyDescent="0.35">
      <c r="C75" s="60"/>
      <c r="D75" s="27"/>
      <c r="E75" s="34"/>
      <c r="F75" s="27"/>
      <c r="L75"/>
      <c r="M75"/>
      <c r="N75" s="24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2:33" x14ac:dyDescent="0.35">
      <c r="C76" s="60"/>
      <c r="D76" s="27"/>
      <c r="E76" s="34"/>
      <c r="F76" s="27"/>
      <c r="L76"/>
      <c r="M76"/>
      <c r="N76" s="24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2:33" x14ac:dyDescent="0.35">
      <c r="B77" s="27"/>
      <c r="C77" s="28"/>
      <c r="D77" s="27"/>
      <c r="E77" s="27"/>
      <c r="F77" s="27"/>
      <c r="L77"/>
      <c r="M77"/>
      <c r="N77" s="24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2:33" x14ac:dyDescent="0.35">
      <c r="C78" s="26"/>
      <c r="D78" s="27"/>
      <c r="E78" s="34"/>
      <c r="F78" s="27"/>
      <c r="L78"/>
      <c r="M78"/>
      <c r="N78" s="24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2:33" x14ac:dyDescent="0.35">
      <c r="C79" s="28"/>
      <c r="D79" s="27"/>
      <c r="E79" s="27"/>
      <c r="F79" s="27"/>
      <c r="L79"/>
      <c r="M79"/>
      <c r="N79" s="24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2:33" x14ac:dyDescent="0.35">
      <c r="C80" s="26"/>
      <c r="D80" s="27"/>
      <c r="E80" s="34"/>
      <c r="F80" s="27"/>
      <c r="L80"/>
      <c r="M80"/>
      <c r="N80" s="24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2:33" x14ac:dyDescent="0.35">
      <c r="B81" s="27"/>
      <c r="C81" s="26"/>
      <c r="D81" s="27"/>
      <c r="E81" s="34"/>
      <c r="F81" s="27"/>
      <c r="L81"/>
      <c r="M81"/>
      <c r="N81" s="24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2:33" x14ac:dyDescent="0.35">
      <c r="C82" s="26"/>
      <c r="D82" s="27"/>
      <c r="E82" s="34"/>
      <c r="F82" s="27"/>
      <c r="L82"/>
      <c r="M82"/>
      <c r="N82" s="24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2:33" x14ac:dyDescent="0.35">
      <c r="C83" s="28"/>
      <c r="D83" s="27"/>
      <c r="E83" s="27"/>
      <c r="F83" s="27"/>
      <c r="L83"/>
      <c r="M83"/>
      <c r="N83" s="24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2:33" x14ac:dyDescent="0.35">
      <c r="C84" s="27"/>
      <c r="D84" s="27"/>
      <c r="E84" s="27"/>
      <c r="F84" s="27"/>
      <c r="L84"/>
      <c r="M84"/>
      <c r="N84" s="2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2:33" x14ac:dyDescent="0.35">
      <c r="C85" s="27"/>
      <c r="D85" s="27"/>
      <c r="E85" s="27"/>
      <c r="F85" s="27"/>
      <c r="L85"/>
      <c r="M85"/>
      <c r="N85" s="24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2:33" x14ac:dyDescent="0.35">
      <c r="C86" s="27"/>
      <c r="D86" s="27"/>
      <c r="E86" s="27"/>
      <c r="F86" s="27"/>
      <c r="L86"/>
      <c r="M86"/>
      <c r="N86" s="24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2:33" x14ac:dyDescent="0.35">
      <c r="C87" s="27"/>
      <c r="D87" s="27"/>
      <c r="E87" s="27"/>
      <c r="F87" s="27"/>
      <c r="L87"/>
      <c r="M87"/>
      <c r="N87" s="24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2:33" x14ac:dyDescent="0.35">
      <c r="C88" s="27"/>
      <c r="D88" s="27"/>
      <c r="E88" s="27"/>
      <c r="F88" s="27"/>
      <c r="L88"/>
      <c r="M88"/>
      <c r="N88" s="24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2:33" x14ac:dyDescent="0.35">
      <c r="C89" s="27"/>
      <c r="D89" s="27"/>
      <c r="E89" s="27"/>
      <c r="F89" s="27"/>
      <c r="L89"/>
      <c r="M89"/>
      <c r="N89" s="24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2:33" x14ac:dyDescent="0.35">
      <c r="C90" s="27"/>
      <c r="D90" s="27"/>
      <c r="E90" s="27"/>
      <c r="F90" s="27"/>
      <c r="L90"/>
      <c r="M90"/>
      <c r="N90" s="24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2:33" x14ac:dyDescent="0.35">
      <c r="C91" s="27"/>
      <c r="D91" s="27"/>
      <c r="E91" s="27"/>
      <c r="F91" s="27"/>
      <c r="L91"/>
      <c r="M91"/>
      <c r="N91" s="24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2:33" x14ac:dyDescent="0.35">
      <c r="C92" s="27"/>
      <c r="D92" s="27"/>
      <c r="E92" s="27"/>
      <c r="F92" s="27"/>
      <c r="AD92"/>
      <c r="AE92"/>
      <c r="AF92"/>
      <c r="AG92"/>
    </row>
    <row r="93" spans="2:33" x14ac:dyDescent="0.35">
      <c r="C93" s="27"/>
      <c r="D93" s="27"/>
      <c r="E93" s="27"/>
      <c r="F93" s="27"/>
      <c r="L93"/>
      <c r="M93"/>
      <c r="N93" s="24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2:33" x14ac:dyDescent="0.35">
      <c r="C94" s="27"/>
      <c r="D94" s="27"/>
      <c r="E94" s="27"/>
      <c r="F94" s="27"/>
      <c r="L94"/>
      <c r="M94"/>
      <c r="N94" s="2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2:33" x14ac:dyDescent="0.35">
      <c r="C95" s="27"/>
      <c r="D95" s="27"/>
      <c r="E95" s="27"/>
      <c r="F95" s="27"/>
      <c r="L95"/>
      <c r="M95"/>
      <c r="N95" s="24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2:33" x14ac:dyDescent="0.35">
      <c r="C96" s="27"/>
      <c r="D96" s="27"/>
      <c r="E96" s="27"/>
      <c r="F96" s="27"/>
      <c r="L96"/>
      <c r="M96"/>
      <c r="N96" s="24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3:14" customFormat="1" x14ac:dyDescent="0.35">
      <c r="C97" s="27"/>
      <c r="D97" s="27"/>
      <c r="E97" s="27"/>
      <c r="F97" s="27"/>
      <c r="N97" s="24"/>
    </row>
    <row r="98" spans="3:14" customFormat="1" x14ac:dyDescent="0.35">
      <c r="C98" s="27"/>
      <c r="D98" s="27"/>
      <c r="E98" s="27"/>
      <c r="F98" s="27"/>
      <c r="N98" s="24"/>
    </row>
    <row r="99" spans="3:14" customFormat="1" x14ac:dyDescent="0.35">
      <c r="C99" s="27"/>
      <c r="D99" s="27"/>
      <c r="E99" s="27"/>
      <c r="F99" s="27"/>
      <c r="N99" s="24"/>
    </row>
    <row r="100" spans="3:14" customFormat="1" x14ac:dyDescent="0.35">
      <c r="C100" s="27"/>
      <c r="D100" s="27"/>
      <c r="E100" s="27"/>
      <c r="F100" s="27"/>
      <c r="N100" s="24"/>
    </row>
    <row r="101" spans="3:14" customFormat="1" x14ac:dyDescent="0.35">
      <c r="C101" s="27"/>
      <c r="D101" s="27"/>
      <c r="E101" s="27"/>
      <c r="F101" s="27"/>
      <c r="N101" s="24"/>
    </row>
    <row r="102" spans="3:14" customFormat="1" x14ac:dyDescent="0.35">
      <c r="C102" s="27"/>
      <c r="D102" s="27"/>
      <c r="E102" s="27"/>
      <c r="F102" s="27"/>
      <c r="N102" s="24"/>
    </row>
    <row r="103" spans="3:14" customFormat="1" x14ac:dyDescent="0.35">
      <c r="N103" s="24"/>
    </row>
    <row r="104" spans="3:14" customFormat="1" x14ac:dyDescent="0.35">
      <c r="N104" s="24"/>
    </row>
    <row r="105" spans="3:14" customFormat="1" x14ac:dyDescent="0.35">
      <c r="N105" s="24"/>
    </row>
    <row r="106" spans="3:14" customFormat="1" x14ac:dyDescent="0.35">
      <c r="N106" s="24"/>
    </row>
    <row r="107" spans="3:14" customFormat="1" x14ac:dyDescent="0.35">
      <c r="N107" s="24"/>
    </row>
    <row r="108" spans="3:14" customFormat="1" x14ac:dyDescent="0.35">
      <c r="N108" s="24"/>
    </row>
    <row r="109" spans="3:14" customFormat="1" x14ac:dyDescent="0.35">
      <c r="N109" s="24"/>
    </row>
    <row r="110" spans="3:14" customFormat="1" x14ac:dyDescent="0.35">
      <c r="N110" s="24"/>
    </row>
  </sheetData>
  <mergeCells count="12">
    <mergeCell ref="B2:D2"/>
    <mergeCell ref="F2:H2"/>
    <mergeCell ref="B12:D12"/>
    <mergeCell ref="G12:J12"/>
    <mergeCell ref="K12:M12"/>
    <mergeCell ref="R12:U12"/>
    <mergeCell ref="V12:Y12"/>
    <mergeCell ref="B17:D17"/>
    <mergeCell ref="F17:F21"/>
    <mergeCell ref="B23:D23"/>
    <mergeCell ref="F23:F25"/>
    <mergeCell ref="N12:Q12"/>
  </mergeCells>
  <conditionalFormatting sqref="D37">
    <cfRule type="cellIs" dxfId="8" priority="6" operator="lessThan">
      <formula>0</formula>
    </cfRule>
  </conditionalFormatting>
  <conditionalFormatting sqref="D41">
    <cfRule type="cellIs" dxfId="7" priority="3" operator="lessThan">
      <formula>0</formula>
    </cfRule>
  </conditionalFormatting>
  <conditionalFormatting sqref="D42">
    <cfRule type="containsText" dxfId="6" priority="4" operator="containsText" text="Payback not reached">
      <formula>NOT(ISERROR(SEARCH("Payback not reached",D42)))</formula>
    </cfRule>
    <cfRule type="cellIs" dxfId="5" priority="5" operator="equal">
      <formula>"""Payback not reached"""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F8A796AC-B7A9-8441-B319-2EA62B670AD3}">
            <xm:f>Input!$D$28</xm:f>
            <x14:dxf>
              <fill>
                <patternFill>
                  <bgColor rgb="FFC00000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C725-0E6A-4362-8752-143D2AC09721}">
  <dimension ref="B1:XFD1048576"/>
  <sheetViews>
    <sheetView topLeftCell="A58" zoomScale="104" zoomScaleNormal="104" workbookViewId="0">
      <selection activeCell="G91" sqref="G91"/>
    </sheetView>
  </sheetViews>
  <sheetFormatPr defaultColWidth="8.81640625" defaultRowHeight="14.5" x14ac:dyDescent="0.35"/>
  <cols>
    <col min="1" max="1" width="6.36328125" customWidth="1"/>
    <col min="2" max="2" width="40.36328125" customWidth="1"/>
    <col min="3" max="3" width="12.1796875" customWidth="1"/>
    <col min="4" max="4" width="14.6328125" customWidth="1"/>
    <col min="5" max="5" width="11.36328125" customWidth="1"/>
    <col min="6" max="6" width="11.6328125" customWidth="1"/>
    <col min="7" max="7" width="10" customWidth="1"/>
    <col min="8" max="8" width="10.453125" customWidth="1"/>
    <col min="11" max="11" width="9.453125" customWidth="1"/>
    <col min="12" max="12" width="11.81640625" customWidth="1"/>
    <col min="16" max="16" width="9.453125" customWidth="1"/>
  </cols>
  <sheetData>
    <row r="1" spans="2:20" x14ac:dyDescent="0.35">
      <c r="B1" s="168" t="s">
        <v>312</v>
      </c>
    </row>
    <row r="2" spans="2:20" x14ac:dyDescent="0.35">
      <c r="B2" s="16" t="s">
        <v>311</v>
      </c>
      <c r="C2" s="16"/>
      <c r="D2" s="16"/>
    </row>
    <row r="3" spans="2:20" x14ac:dyDescent="0.35">
      <c r="B3" s="16" t="s">
        <v>309</v>
      </c>
      <c r="C3" s="16"/>
      <c r="D3" s="16"/>
    </row>
    <row r="4" spans="2:20" x14ac:dyDescent="0.35">
      <c r="B4" s="16" t="s">
        <v>310</v>
      </c>
      <c r="C4" s="10"/>
      <c r="D4" s="10"/>
      <c r="P4" t="s">
        <v>239</v>
      </c>
      <c r="Q4" t="s">
        <v>240</v>
      </c>
      <c r="R4" t="s">
        <v>241</v>
      </c>
    </row>
    <row r="5" spans="2:20" x14ac:dyDescent="0.35">
      <c r="O5" t="s">
        <v>242</v>
      </c>
      <c r="P5" t="s">
        <v>249</v>
      </c>
      <c r="Q5" s="18" t="s">
        <v>245</v>
      </c>
      <c r="R5" t="s">
        <v>253</v>
      </c>
    </row>
    <row r="6" spans="2:20" x14ac:dyDescent="0.35">
      <c r="B6" s="141" t="s">
        <v>285</v>
      </c>
      <c r="C6" s="134" t="s">
        <v>8</v>
      </c>
      <c r="D6" s="134" t="s">
        <v>273</v>
      </c>
      <c r="E6" s="134" t="s">
        <v>274</v>
      </c>
      <c r="F6" s="134" t="s">
        <v>269</v>
      </c>
      <c r="O6" t="s">
        <v>3</v>
      </c>
      <c r="P6" t="s">
        <v>250</v>
      </c>
      <c r="Q6" s="18" t="s">
        <v>246</v>
      </c>
      <c r="R6" t="s">
        <v>254</v>
      </c>
    </row>
    <row r="7" spans="2:20" x14ac:dyDescent="0.35">
      <c r="B7" s="15" t="s">
        <v>271</v>
      </c>
      <c r="C7" s="3" t="s">
        <v>1</v>
      </c>
      <c r="D7" s="150">
        <f>'System Sizing'!$D$7</f>
        <v>39.822222222222223</v>
      </c>
      <c r="E7" s="150">
        <f>'System Sizing'!$D$8</f>
        <v>9.9555555555555557</v>
      </c>
      <c r="F7" s="133">
        <f>D7+E7</f>
        <v>49.777777777777779</v>
      </c>
      <c r="O7" t="s">
        <v>243</v>
      </c>
      <c r="P7" t="s">
        <v>251</v>
      </c>
      <c r="Q7" s="18" t="s">
        <v>247</v>
      </c>
      <c r="R7" t="s">
        <v>255</v>
      </c>
    </row>
    <row r="8" spans="2:20" x14ac:dyDescent="0.35">
      <c r="B8" s="15" t="s">
        <v>272</v>
      </c>
      <c r="C8" s="3" t="s">
        <v>38</v>
      </c>
      <c r="D8" s="150">
        <f>'System Sizing'!$F$11*Input!D15/(Input!D15+Input!D16)</f>
        <v>8.36</v>
      </c>
      <c r="E8" s="150">
        <f>'System Sizing'!$F$11*Input!$D16/(Input!$D15+Input!$D16)</f>
        <v>2.09</v>
      </c>
      <c r="F8" s="133">
        <f>D8+E8</f>
        <v>10.45</v>
      </c>
      <c r="O8" t="s">
        <v>244</v>
      </c>
      <c r="P8" t="s">
        <v>252</v>
      </c>
      <c r="Q8" s="18" t="s">
        <v>248</v>
      </c>
      <c r="R8" t="s">
        <v>256</v>
      </c>
    </row>
    <row r="10" spans="2:20" x14ac:dyDescent="0.35">
      <c r="O10" t="s">
        <v>265</v>
      </c>
      <c r="Q10" s="107" t="s">
        <v>266</v>
      </c>
      <c r="R10" t="s">
        <v>161</v>
      </c>
      <c r="S10" t="s">
        <v>267</v>
      </c>
      <c r="T10" t="s">
        <v>6</v>
      </c>
    </row>
    <row r="11" spans="2:20" x14ac:dyDescent="0.35">
      <c r="B11" s="142" t="s">
        <v>291</v>
      </c>
      <c r="C11" s="25" t="s">
        <v>8</v>
      </c>
      <c r="D11" s="25" t="s">
        <v>7</v>
      </c>
    </row>
    <row r="12" spans="2:20" x14ac:dyDescent="0.35">
      <c r="B12" s="2" t="s">
        <v>280</v>
      </c>
      <c r="C12" s="3" t="s">
        <v>281</v>
      </c>
      <c r="D12" s="41">
        <f>Input!D24</f>
        <v>1500</v>
      </c>
    </row>
    <row r="13" spans="2:20" x14ac:dyDescent="0.35">
      <c r="B13" s="11" t="s">
        <v>283</v>
      </c>
      <c r="C13" s="3" t="s">
        <v>282</v>
      </c>
      <c r="D13" s="41">
        <f>2*(Input!D25+Input!D26)</f>
        <v>240</v>
      </c>
    </row>
    <row r="14" spans="2:20" x14ac:dyDescent="0.35">
      <c r="B14" s="2" t="s">
        <v>48</v>
      </c>
      <c r="C14" s="3" t="s">
        <v>4</v>
      </c>
      <c r="D14" s="41">
        <f>Input!D28</f>
        <v>25000</v>
      </c>
    </row>
    <row r="15" spans="2:20" x14ac:dyDescent="0.35">
      <c r="O15" t="s">
        <v>258</v>
      </c>
      <c r="P15" s="107" t="s">
        <v>57</v>
      </c>
      <c r="Q15" t="s">
        <v>257</v>
      </c>
    </row>
    <row r="16" spans="2:20" x14ac:dyDescent="0.35">
      <c r="D16" t="s">
        <v>292</v>
      </c>
      <c r="O16" t="s">
        <v>259</v>
      </c>
      <c r="P16" s="107" t="s">
        <v>260</v>
      </c>
      <c r="Q16" t="s">
        <v>261</v>
      </c>
    </row>
    <row r="17" spans="2:23" ht="43.5" x14ac:dyDescent="0.35">
      <c r="B17" s="142" t="s">
        <v>286</v>
      </c>
      <c r="C17" s="25" t="s">
        <v>8</v>
      </c>
      <c r="D17" s="136" t="s">
        <v>279</v>
      </c>
      <c r="E17" s="136" t="s">
        <v>307</v>
      </c>
      <c r="F17" s="136" t="s">
        <v>278</v>
      </c>
      <c r="G17" s="136" t="s">
        <v>293</v>
      </c>
      <c r="H17" s="136" t="s">
        <v>268</v>
      </c>
      <c r="I17" s="136" t="s">
        <v>270</v>
      </c>
      <c r="J17" s="136" t="s">
        <v>277</v>
      </c>
      <c r="K17" s="136" t="s">
        <v>287</v>
      </c>
      <c r="L17" s="136" t="s">
        <v>288</v>
      </c>
      <c r="M17" s="163" t="s">
        <v>308</v>
      </c>
      <c r="O17" t="s">
        <v>262</v>
      </c>
      <c r="P17" s="107" t="s">
        <v>263</v>
      </c>
      <c r="Q17" t="s">
        <v>264</v>
      </c>
    </row>
    <row r="18" spans="2:23" x14ac:dyDescent="0.35">
      <c r="B18" s="135" t="s">
        <v>275</v>
      </c>
      <c r="C18" s="3" t="s">
        <v>0</v>
      </c>
      <c r="D18" s="138">
        <f>'System Sizing'!$D$23</f>
        <v>12.5</v>
      </c>
      <c r="E18" s="145">
        <v>10.41103847725828</v>
      </c>
      <c r="F18" s="84">
        <f>Input!D61*E18</f>
        <v>1249.3246172709937</v>
      </c>
      <c r="G18" s="84">
        <f>E18*Input!D9*Input!D65/100-E19</f>
        <v>39.82222217551292</v>
      </c>
      <c r="H18" s="84">
        <v>0</v>
      </c>
      <c r="I18" s="84">
        <f>G18+H18</f>
        <v>39.82222217551292</v>
      </c>
      <c r="J18" s="148">
        <f>Input!D54</f>
        <v>1500</v>
      </c>
      <c r="K18" s="139">
        <f>E18*J18</f>
        <v>15616.55771588742</v>
      </c>
      <c r="L18" s="181">
        <f>SUM(K18:K22)</f>
        <v>15928.888870205168</v>
      </c>
    </row>
    <row r="19" spans="2:23" x14ac:dyDescent="0.35">
      <c r="B19" s="135" t="s">
        <v>3</v>
      </c>
      <c r="C19" s="3" t="s">
        <v>1</v>
      </c>
      <c r="D19" s="138">
        <f>'System Sizing'!$D$25</f>
        <v>7.9902777777777771</v>
      </c>
      <c r="E19" s="145">
        <v>0</v>
      </c>
      <c r="F19" s="84" t="s">
        <v>284</v>
      </c>
      <c r="G19" s="84">
        <v>0</v>
      </c>
      <c r="H19" s="84">
        <f>E19</f>
        <v>0</v>
      </c>
      <c r="I19" s="84">
        <f>G19+H19</f>
        <v>0</v>
      </c>
      <c r="J19" s="148">
        <f>Input!D55</f>
        <v>600</v>
      </c>
      <c r="K19" s="139">
        <f>E19*J19</f>
        <v>0</v>
      </c>
      <c r="L19" s="182"/>
    </row>
    <row r="20" spans="2:23" x14ac:dyDescent="0.35">
      <c r="B20" s="135" t="s">
        <v>244</v>
      </c>
      <c r="C20" s="4" t="s">
        <v>0</v>
      </c>
      <c r="D20" s="147">
        <f>'System Sizing'!$D$36</f>
        <v>0</v>
      </c>
      <c r="E20" s="145">
        <v>0</v>
      </c>
      <c r="F20" s="84" t="s">
        <v>284</v>
      </c>
      <c r="G20" s="84">
        <f>E20*Input!$D$74</f>
        <v>0</v>
      </c>
      <c r="H20" s="84">
        <v>0</v>
      </c>
      <c r="I20" s="84">
        <f>G20+H20</f>
        <v>0</v>
      </c>
      <c r="J20" s="148">
        <f>Input!D57</f>
        <v>1800</v>
      </c>
      <c r="K20" s="139">
        <f>E20*J20</f>
        <v>0</v>
      </c>
      <c r="L20" s="182"/>
      <c r="M20" s="20">
        <f>D14-L18</f>
        <v>9071.1111297948319</v>
      </c>
    </row>
    <row r="21" spans="2:23" x14ac:dyDescent="0.35">
      <c r="B21" s="135" t="s">
        <v>276</v>
      </c>
      <c r="C21" s="3" t="s">
        <v>38</v>
      </c>
      <c r="D21" s="147">
        <f>'System Sizing'!$D$32</f>
        <v>3.4</v>
      </c>
      <c r="E21" s="145">
        <v>0</v>
      </c>
      <c r="F21" s="84">
        <f>IF(E21=0,0,100+(100*E21))</f>
        <v>0</v>
      </c>
      <c r="G21" s="84">
        <f>E21*Input!D15/(Input!D15+Input!D16)</f>
        <v>0</v>
      </c>
      <c r="H21" s="84">
        <f>E21*Input!D16/(Input!D15+Input!D16)</f>
        <v>0</v>
      </c>
      <c r="I21" s="84">
        <f>G21+H21</f>
        <v>0</v>
      </c>
      <c r="J21" s="148">
        <f>Input!D56</f>
        <v>2100</v>
      </c>
      <c r="K21" s="139">
        <f>E21*J21</f>
        <v>0</v>
      </c>
      <c r="L21" s="182"/>
    </row>
    <row r="22" spans="2:23" x14ac:dyDescent="0.35">
      <c r="B22" s="140" t="s">
        <v>294</v>
      </c>
      <c r="C22" s="4" t="s">
        <v>23</v>
      </c>
      <c r="D22" s="4" t="s">
        <v>284</v>
      </c>
      <c r="E22" s="4" t="s">
        <v>284</v>
      </c>
      <c r="F22" s="4" t="s">
        <v>284</v>
      </c>
      <c r="G22" s="4" t="s">
        <v>284</v>
      </c>
      <c r="H22" s="4" t="s">
        <v>284</v>
      </c>
      <c r="I22" s="4" t="s">
        <v>284</v>
      </c>
      <c r="J22" s="149">
        <f>Input!D58/100</f>
        <v>0.02</v>
      </c>
      <c r="K22" s="139">
        <f>SUM(K18:K21)*J22</f>
        <v>312.33115431774843</v>
      </c>
      <c r="L22" s="183"/>
    </row>
    <row r="25" spans="2:23" ht="29" x14ac:dyDescent="0.35">
      <c r="G25" s="71"/>
      <c r="J25" s="136" t="s">
        <v>277</v>
      </c>
      <c r="K25" s="137" t="s">
        <v>289</v>
      </c>
    </row>
    <row r="26" spans="2:23" x14ac:dyDescent="0.35">
      <c r="B26" s="135" t="s">
        <v>290</v>
      </c>
      <c r="C26" s="3" t="s">
        <v>1</v>
      </c>
      <c r="D26" s="138" t="s">
        <v>284</v>
      </c>
      <c r="E26" s="84" t="s">
        <v>284</v>
      </c>
      <c r="F26" s="84" t="s">
        <v>284</v>
      </c>
      <c r="G26" s="84">
        <f>D7-(G20+G18)</f>
        <v>4.6709303092029586E-8</v>
      </c>
      <c r="H26" s="84">
        <f>E7-H19</f>
        <v>9.9555555555555557</v>
      </c>
      <c r="I26" s="84" t="s">
        <v>284</v>
      </c>
      <c r="J26" s="151" t="s">
        <v>284</v>
      </c>
      <c r="K26" s="31">
        <f>IF(G26&lt;0,G26*Input!D46,G26*Input!D45)*30*12+H26*Input!D45*30*12</f>
        <v>537.60000252230236</v>
      </c>
    </row>
    <row r="27" spans="2:23" x14ac:dyDescent="0.35">
      <c r="B27" s="140" t="s">
        <v>296</v>
      </c>
      <c r="C27" s="4" t="s">
        <v>38</v>
      </c>
      <c r="D27" s="4" t="s">
        <v>284</v>
      </c>
      <c r="E27" s="4" t="s">
        <v>284</v>
      </c>
      <c r="F27" s="4" t="s">
        <v>284</v>
      </c>
      <c r="G27" s="133">
        <f>D8-G21</f>
        <v>8.36</v>
      </c>
      <c r="H27" s="133">
        <f>E8-H21</f>
        <v>2.09</v>
      </c>
      <c r="I27" s="133" t="s">
        <v>284</v>
      </c>
      <c r="J27" s="143">
        <f>(Input!D19/30)/'System Sizing'!F11</f>
        <v>0.38277511961722488</v>
      </c>
      <c r="K27" s="31">
        <f>(G27+H27)*J27*30*12</f>
        <v>1439.9999999999998</v>
      </c>
    </row>
    <row r="28" spans="2:23" x14ac:dyDescent="0.35">
      <c r="B28" s="1" t="s">
        <v>58</v>
      </c>
      <c r="C28" s="4" t="s">
        <v>23</v>
      </c>
      <c r="D28" s="4" t="s">
        <v>284</v>
      </c>
      <c r="E28" s="4" t="s">
        <v>284</v>
      </c>
      <c r="F28" s="4" t="s">
        <v>284</v>
      </c>
      <c r="G28" s="4" t="s">
        <v>284</v>
      </c>
      <c r="H28" s="4" t="s">
        <v>284</v>
      </c>
      <c r="I28" s="4" t="s">
        <v>284</v>
      </c>
      <c r="J28" s="144">
        <f>Input!D59/100</f>
        <v>0.02</v>
      </c>
      <c r="K28" s="139">
        <f>L18*J28</f>
        <v>318.57777740410336</v>
      </c>
    </row>
    <row r="30" spans="2:23" x14ac:dyDescent="0.35">
      <c r="B30" s="184" t="s">
        <v>214</v>
      </c>
      <c r="C30" s="184"/>
      <c r="D30" s="18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27"/>
    </row>
    <row r="31" spans="2:23" x14ac:dyDescent="0.35">
      <c r="H31" s="27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3" x14ac:dyDescent="0.35">
      <c r="B32" s="6" t="s">
        <v>9</v>
      </c>
      <c r="C32" s="5" t="s">
        <v>8</v>
      </c>
      <c r="D32" s="5" t="s">
        <v>7</v>
      </c>
      <c r="H32" s="95"/>
      <c r="I32" s="96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27"/>
    </row>
    <row r="33" spans="2:23" x14ac:dyDescent="0.35">
      <c r="B33" s="1" t="s">
        <v>63</v>
      </c>
      <c r="C33" s="4" t="s">
        <v>4</v>
      </c>
      <c r="D33" s="19">
        <f>L18*Input!D29/100</f>
        <v>2389.3333305307751</v>
      </c>
      <c r="E33" s="24">
        <f>Input!D29</f>
        <v>15</v>
      </c>
      <c r="F33" t="s">
        <v>5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27"/>
    </row>
    <row r="34" spans="2:23" x14ac:dyDescent="0.35">
      <c r="B34" s="1" t="s">
        <v>64</v>
      </c>
      <c r="C34" s="4" t="s">
        <v>4</v>
      </c>
      <c r="D34" s="19">
        <f>L18-D33</f>
        <v>13539.555539674393</v>
      </c>
      <c r="E34" s="24">
        <f>100-E33</f>
        <v>85</v>
      </c>
      <c r="F34" t="s">
        <v>5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27"/>
    </row>
    <row r="35" spans="2:23" x14ac:dyDescent="0.35">
      <c r="D35" s="20"/>
      <c r="H35" s="34"/>
      <c r="I35" s="97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7"/>
    </row>
    <row r="36" spans="2:23" x14ac:dyDescent="0.35">
      <c r="B36" s="15" t="s">
        <v>75</v>
      </c>
      <c r="C36" s="3" t="s">
        <v>74</v>
      </c>
      <c r="D36" s="18">
        <f>D33*Input!D31/(100*12)</f>
        <v>14.196622205570357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27"/>
    </row>
    <row r="37" spans="2:23" x14ac:dyDescent="0.35">
      <c r="B37" s="15" t="s">
        <v>76</v>
      </c>
      <c r="C37" s="3" t="s">
        <v>4</v>
      </c>
      <c r="D37" s="18">
        <f>PMT(Input!D33/(100*12), Input!D34*Input!D35, -D34)</f>
        <v>125.51335334221706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27"/>
    </row>
    <row r="38" spans="2:23" x14ac:dyDescent="0.35">
      <c r="B38" s="99" t="s">
        <v>295</v>
      </c>
      <c r="C38" s="25" t="s">
        <v>4</v>
      </c>
      <c r="D38" s="19">
        <f>D36+D37</f>
        <v>139.70997554778742</v>
      </c>
      <c r="H38" s="27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2:23" x14ac:dyDescent="0.35"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1" spans="2:23" x14ac:dyDescent="0.35">
      <c r="B41" s="120" t="s">
        <v>85</v>
      </c>
      <c r="C41" s="177" t="s">
        <v>85</v>
      </c>
      <c r="D41" s="177"/>
      <c r="E41" s="177"/>
      <c r="F41" s="177"/>
      <c r="G41" s="177" t="s">
        <v>85</v>
      </c>
      <c r="H41" s="177"/>
      <c r="I41" s="177"/>
      <c r="J41" s="177" t="s">
        <v>85</v>
      </c>
      <c r="K41" s="177"/>
      <c r="L41" s="177"/>
      <c r="M41" s="177"/>
      <c r="N41" s="177" t="s">
        <v>85</v>
      </c>
      <c r="O41" s="177"/>
      <c r="P41" s="177"/>
      <c r="Q41" s="177"/>
      <c r="R41" s="177" t="s">
        <v>85</v>
      </c>
      <c r="S41" s="177"/>
      <c r="T41" s="177"/>
      <c r="U41" s="177"/>
      <c r="V41" s="121"/>
      <c r="W41" s="122"/>
    </row>
    <row r="42" spans="2:23" x14ac:dyDescent="0.35">
      <c r="B42" s="27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27"/>
      <c r="W42" s="27"/>
    </row>
    <row r="43" spans="2:23" x14ac:dyDescent="0.35">
      <c r="J43" s="24"/>
    </row>
    <row r="44" spans="2:23" x14ac:dyDescent="0.35">
      <c r="C44" s="23" t="s">
        <v>86</v>
      </c>
      <c r="D44" s="22" t="s">
        <v>133</v>
      </c>
      <c r="E44" s="22" t="s">
        <v>133</v>
      </c>
      <c r="F44" s="22" t="s">
        <v>133</v>
      </c>
      <c r="G44" s="22" t="s">
        <v>133</v>
      </c>
      <c r="H44" s="22" t="s">
        <v>133</v>
      </c>
      <c r="I44" s="22" t="s">
        <v>133</v>
      </c>
      <c r="J44" s="22" t="s">
        <v>133</v>
      </c>
      <c r="K44" s="22" t="s">
        <v>133</v>
      </c>
      <c r="L44" s="22" t="s">
        <v>133</v>
      </c>
      <c r="M44" s="22" t="s">
        <v>133</v>
      </c>
      <c r="N44" s="22" t="s">
        <v>133</v>
      </c>
      <c r="O44" s="22" t="s">
        <v>133</v>
      </c>
      <c r="P44" s="22" t="s">
        <v>133</v>
      </c>
      <c r="Q44" s="22" t="s">
        <v>133</v>
      </c>
      <c r="R44" s="22" t="s">
        <v>133</v>
      </c>
      <c r="S44" s="22" t="s">
        <v>133</v>
      </c>
      <c r="T44" s="22" t="s">
        <v>133</v>
      </c>
      <c r="U44" s="22" t="s">
        <v>133</v>
      </c>
      <c r="V44" s="22" t="s">
        <v>133</v>
      </c>
      <c r="W44" s="22" t="s">
        <v>133</v>
      </c>
    </row>
    <row r="45" spans="2:23" x14ac:dyDescent="0.35">
      <c r="D45" s="100">
        <v>1</v>
      </c>
      <c r="E45" s="100">
        <v>2</v>
      </c>
      <c r="F45" s="100">
        <v>3</v>
      </c>
      <c r="G45" s="100">
        <v>4</v>
      </c>
      <c r="H45" s="100">
        <v>5</v>
      </c>
      <c r="I45" s="100">
        <v>6</v>
      </c>
      <c r="J45" s="100">
        <v>7</v>
      </c>
      <c r="K45" s="100">
        <v>8</v>
      </c>
      <c r="L45" s="100">
        <v>9</v>
      </c>
      <c r="M45" s="100">
        <v>10</v>
      </c>
      <c r="N45" s="100">
        <v>11</v>
      </c>
      <c r="O45" s="100">
        <v>12</v>
      </c>
      <c r="P45" s="100">
        <v>13</v>
      </c>
      <c r="Q45" s="100">
        <v>14</v>
      </c>
      <c r="R45" s="100">
        <v>15</v>
      </c>
      <c r="S45" s="100">
        <v>16</v>
      </c>
      <c r="T45" s="100">
        <v>17</v>
      </c>
      <c r="U45" s="100">
        <v>18</v>
      </c>
      <c r="V45" s="100">
        <v>19</v>
      </c>
      <c r="W45" s="100">
        <v>20</v>
      </c>
    </row>
    <row r="46" spans="2:23" x14ac:dyDescent="0.35">
      <c r="B46" s="103" t="s">
        <v>237</v>
      </c>
      <c r="C46" s="162" t="s">
        <v>306</v>
      </c>
      <c r="D46" s="31">
        <f>IF(D$45&gt;Input!$D$32, 0, $D$33+$D$36*12)</f>
        <v>2559.6927969976196</v>
      </c>
      <c r="E46" s="31">
        <f>IF(E$45&gt;Input!$D$32, 0, $D$36*12)</f>
        <v>170.35946646684428</v>
      </c>
      <c r="F46" s="31">
        <f>IF(F$45&gt;Input!$D$32, 0, $D$36*12)</f>
        <v>170.35946646684428</v>
      </c>
      <c r="G46" s="31">
        <f>IF(G$45&gt;Input!$D$32, 0, $D$36*12)</f>
        <v>170.35946646684428</v>
      </c>
      <c r="H46" s="31">
        <f>IF(H$45&gt;Input!$D$32, 0, $D$36*12)</f>
        <v>170.35946646684428</v>
      </c>
      <c r="I46" s="31">
        <f>IF(I$45&gt;Input!$D$32, 0, $D$36*12)</f>
        <v>170.35946646684428</v>
      </c>
      <c r="J46" s="31">
        <f>IF(J$45&gt;Input!$D$32, 0, $D$36*12)</f>
        <v>170.35946646684428</v>
      </c>
      <c r="K46" s="31">
        <f>IF(K$45&gt;Input!$D$32, 0, $D$36*12)</f>
        <v>170.35946646684428</v>
      </c>
      <c r="L46" s="31">
        <f>IF(L$45&gt;Input!$D$32, 0, $D$36*12)</f>
        <v>170.35946646684428</v>
      </c>
      <c r="M46" s="31">
        <f>IF(M$45&gt;Input!$D$32, 0, $D$36*12)</f>
        <v>170.35946646684428</v>
      </c>
      <c r="N46" s="31">
        <f>IF(N$45&gt;Input!$D$32, 0, $D$36*12)</f>
        <v>170.35946646684428</v>
      </c>
      <c r="O46" s="31">
        <f>IF(O$45&gt;Input!$D$32, 0, $D$36*12)</f>
        <v>170.35946646684428</v>
      </c>
      <c r="P46" s="31">
        <f>IF(P$45&gt;Input!$D$32, 0, $D$36*12)</f>
        <v>170.35946646684428</v>
      </c>
      <c r="Q46" s="31">
        <f>IF(Q$45&gt;Input!$D$32, 0, $D$36*12)</f>
        <v>170.35946646684428</v>
      </c>
      <c r="R46" s="31">
        <f>IF(R$45&gt;Input!$D$32, 0, $D$36*12)</f>
        <v>170.35946646684428</v>
      </c>
      <c r="S46" s="31">
        <f>IF(S$45&gt;Input!$D$32, 0, $D$36*12)</f>
        <v>170.35946646684428</v>
      </c>
      <c r="T46" s="31">
        <f>IF(T$45&gt;Input!$D$32, 0, $D$36*12)</f>
        <v>170.35946646684428</v>
      </c>
      <c r="U46" s="31">
        <f>IF(U$45&gt;Input!$D$32, 0, $D$36*12)</f>
        <v>170.35946646684428</v>
      </c>
      <c r="V46" s="31">
        <f>IF(V$45&gt;Input!$D$32, 0, $D$36*12)</f>
        <v>170.35946646684428</v>
      </c>
      <c r="W46" s="31">
        <f>IF(W$45&gt;Input!$D$32, 0, $D$36*12)</f>
        <v>170.35946646684428</v>
      </c>
    </row>
    <row r="47" spans="2:23" x14ac:dyDescent="0.35">
      <c r="B47" s="104"/>
      <c r="C47" s="1" t="s">
        <v>88</v>
      </c>
      <c r="D47" s="31">
        <f>IF(D$45&gt;Input!$D$34, 0, $D$37*12)</f>
        <v>1506.1602401066048</v>
      </c>
      <c r="E47" s="31">
        <f>IF(E$45&gt;Input!$D$34, 0, $D$37*12)</f>
        <v>1506.1602401066048</v>
      </c>
      <c r="F47" s="31">
        <f>IF(F$45&gt;Input!$D$34, 0, $D$37*12)</f>
        <v>1506.1602401066048</v>
      </c>
      <c r="G47" s="31">
        <f>IF(G$45&gt;Input!$D$34, 0, $D$37*12)</f>
        <v>1506.1602401066048</v>
      </c>
      <c r="H47" s="31">
        <f>IF(H$45&gt;Input!$D$34, 0, $D$37*12)</f>
        <v>1506.1602401066048</v>
      </c>
      <c r="I47" s="31">
        <f>IF(I$45&gt;Input!$D$34, 0, $D$37*12)</f>
        <v>1506.1602401066048</v>
      </c>
      <c r="J47" s="31">
        <f>IF(J$45&gt;Input!$D$34, 0, $D$37*12)</f>
        <v>1506.1602401066048</v>
      </c>
      <c r="K47" s="31">
        <f>IF(K$45&gt;Input!$D$34, 0, $D$37*12)</f>
        <v>1506.1602401066048</v>
      </c>
      <c r="L47" s="31">
        <f>IF(L$45&gt;Input!$D$34, 0, $D$37*12)</f>
        <v>1506.1602401066048</v>
      </c>
      <c r="M47" s="31">
        <f>IF(M$45&gt;Input!$D$34, 0, $D$37*12)</f>
        <v>1506.1602401066048</v>
      </c>
      <c r="N47" s="31">
        <f>IF(N$45&gt;Input!$D$34, 0, $D$37*12)</f>
        <v>1506.1602401066048</v>
      </c>
      <c r="O47" s="31">
        <f>IF(O$45&gt;Input!$D$34, 0, $D$37*12)</f>
        <v>1506.1602401066048</v>
      </c>
      <c r="P47" s="31">
        <f>IF(P$45&gt;Input!$D$34, 0, $D$37*12)</f>
        <v>1506.1602401066048</v>
      </c>
      <c r="Q47" s="31">
        <f>IF(Q$45&gt;Input!$D$34, 0, $D$37*12)</f>
        <v>1506.1602401066048</v>
      </c>
      <c r="R47" s="31">
        <f>IF(R$45&gt;Input!$D$34, 0, $D$37*12)</f>
        <v>1506.1602401066048</v>
      </c>
      <c r="S47" s="31">
        <f>IF(S$45&gt;Input!$D$34, 0, $D$37*12)</f>
        <v>0</v>
      </c>
      <c r="T47" s="31">
        <f>IF(T$45&gt;Input!$D$34, 0, $D$37*12)</f>
        <v>0</v>
      </c>
      <c r="U47" s="31">
        <f>IF(U$45&gt;Input!$D$34, 0, $D$37*12)</f>
        <v>0</v>
      </c>
      <c r="V47" s="31">
        <f>IF(V$45&gt;Input!$D$34, 0, $D$37*12)</f>
        <v>0</v>
      </c>
      <c r="W47" s="31">
        <f>IF(W$45&gt;Input!$D$34, 0, $D$37*12)</f>
        <v>0</v>
      </c>
    </row>
    <row r="48" spans="2:23" x14ac:dyDescent="0.35">
      <c r="B48" s="104"/>
      <c r="C48" s="1" t="s">
        <v>58</v>
      </c>
      <c r="D48" s="31">
        <f>IF(D$45&lt;=Input!$D$32,$K$28,0)</f>
        <v>318.57777740410336</v>
      </c>
      <c r="E48" s="31">
        <f>IF(E$45&lt;=Input!$D$32,$K$28,0)</f>
        <v>318.57777740410336</v>
      </c>
      <c r="F48" s="31">
        <f>IF(F$45&lt;=Input!$D$32,$K$28,0)</f>
        <v>318.57777740410336</v>
      </c>
      <c r="G48" s="31">
        <f>IF(G$45&lt;=Input!$D$32,$K$28,0)</f>
        <v>318.57777740410336</v>
      </c>
      <c r="H48" s="31">
        <f>IF(H$45&lt;=Input!$D$32,$K$28,0)</f>
        <v>318.57777740410336</v>
      </c>
      <c r="I48" s="31">
        <f>IF(I$45&lt;=Input!$D$32,$K$28,0)</f>
        <v>318.57777740410336</v>
      </c>
      <c r="J48" s="31">
        <f>IF(J$45&lt;=Input!$D$32,$K$28,0)</f>
        <v>318.57777740410336</v>
      </c>
      <c r="K48" s="31">
        <f>IF(K$45&lt;=Input!$D$32,$K$28,0)</f>
        <v>318.57777740410336</v>
      </c>
      <c r="L48" s="31">
        <f>IF(L$45&lt;=Input!$D$32,$K$28,0)</f>
        <v>318.57777740410336</v>
      </c>
      <c r="M48" s="31">
        <f>IF(M$45&lt;=Input!$D$32,$K$28,0)</f>
        <v>318.57777740410336</v>
      </c>
      <c r="N48" s="31">
        <f>IF(N$45&lt;=Input!$D$32,$K$28,0)</f>
        <v>318.57777740410336</v>
      </c>
      <c r="O48" s="31">
        <f>IF(O$45&lt;=Input!$D$32,$K$28,0)</f>
        <v>318.57777740410336</v>
      </c>
      <c r="P48" s="31">
        <f>IF(P$45&lt;=Input!$D$32,$K$28,0)</f>
        <v>318.57777740410336</v>
      </c>
      <c r="Q48" s="31">
        <f>IF(Q$45&lt;=Input!$D$32,$K$28,0)</f>
        <v>318.57777740410336</v>
      </c>
      <c r="R48" s="31">
        <f>IF(R$45&lt;=Input!$D$32,$K$28,0)</f>
        <v>318.57777740410336</v>
      </c>
      <c r="S48" s="31">
        <f>IF(S$45&lt;=Input!$D$32,$K$28,0)</f>
        <v>318.57777740410336</v>
      </c>
      <c r="T48" s="31">
        <f>IF(T$45&lt;=Input!$D$32,$K$28,0)</f>
        <v>318.57777740410336</v>
      </c>
      <c r="U48" s="31">
        <f>IF(U$45&lt;=Input!$D$32,$K$28,0)</f>
        <v>318.57777740410336</v>
      </c>
      <c r="V48" s="31">
        <f>IF(V$45&lt;=Input!$D$32,$K$28,0)</f>
        <v>318.57777740410336</v>
      </c>
      <c r="W48" s="31">
        <f>IF(W$45&lt;=Input!$D$32,$K$28,0)</f>
        <v>318.57777740410336</v>
      </c>
    </row>
    <row r="49" spans="2:23" x14ac:dyDescent="0.35">
      <c r="B49" s="104"/>
      <c r="C49" s="1" t="s">
        <v>89</v>
      </c>
      <c r="D49" s="152">
        <f>IF(D$45&lt;=Input!$D$32,$K$26,0)</f>
        <v>537.60000252230236</v>
      </c>
      <c r="E49" s="152">
        <f>IF(E$45&lt;=Input!$D$32,$K$26,0)</f>
        <v>537.60000252230236</v>
      </c>
      <c r="F49" s="152">
        <f>IF(F$45&lt;=Input!$D$32,$K$26,0)</f>
        <v>537.60000252230236</v>
      </c>
      <c r="G49" s="152">
        <f>IF(G$45&lt;=Input!$D$32,$K$26,0)</f>
        <v>537.60000252230236</v>
      </c>
      <c r="H49" s="152">
        <f>IF(H$45&lt;=Input!$D$32,$K$26,0)</f>
        <v>537.60000252230236</v>
      </c>
      <c r="I49" s="152">
        <f>IF(I$45&lt;=Input!$D$32,$K$26,0)</f>
        <v>537.60000252230236</v>
      </c>
      <c r="J49" s="152">
        <f>IF(J$45&lt;=Input!$D$32,$K$26,0)</f>
        <v>537.60000252230236</v>
      </c>
      <c r="K49" s="152">
        <f>IF(K$45&lt;=Input!$D$32,$K$26,0)</f>
        <v>537.60000252230236</v>
      </c>
      <c r="L49" s="152">
        <f>IF(L$45&lt;=Input!$D$32,$K$26,0)</f>
        <v>537.60000252230236</v>
      </c>
      <c r="M49" s="152">
        <f>IF(M$45&lt;=Input!$D$32,$K$26,0)</f>
        <v>537.60000252230236</v>
      </c>
      <c r="N49" s="152">
        <f>IF(N$45&lt;=Input!$D$32,$K$26,0)</f>
        <v>537.60000252230236</v>
      </c>
      <c r="O49" s="152">
        <f>IF(O$45&lt;=Input!$D$32,$K$26,0)</f>
        <v>537.60000252230236</v>
      </c>
      <c r="P49" s="152">
        <f>IF(P$45&lt;=Input!$D$32,$K$26,0)</f>
        <v>537.60000252230236</v>
      </c>
      <c r="Q49" s="152">
        <f>IF(Q$45&lt;=Input!$D$32,$K$26,0)</f>
        <v>537.60000252230236</v>
      </c>
      <c r="R49" s="152">
        <f>IF(R$45&lt;=Input!$D$32,$K$26,0)</f>
        <v>537.60000252230236</v>
      </c>
      <c r="S49" s="152">
        <f>IF(S$45&lt;=Input!$D$32,$K$26,0)</f>
        <v>537.60000252230236</v>
      </c>
      <c r="T49" s="152">
        <f>IF(T$45&lt;=Input!$D$32,$K$26,0)</f>
        <v>537.60000252230236</v>
      </c>
      <c r="U49" s="152">
        <f>IF(U$45&lt;=Input!$D$32,$K$26,0)</f>
        <v>537.60000252230236</v>
      </c>
      <c r="V49" s="152">
        <f>IF(V$45&lt;=Input!$D$32,$K$26,0)</f>
        <v>537.60000252230236</v>
      </c>
      <c r="W49" s="152">
        <f>IF(W$45&lt;=Input!$D$32,$K$26,0)</f>
        <v>537.60000252230236</v>
      </c>
    </row>
    <row r="50" spans="2:23" x14ac:dyDescent="0.35">
      <c r="B50" s="105"/>
      <c r="C50" s="1" t="s">
        <v>90</v>
      </c>
      <c r="D50" s="102">
        <f>IF(D$45&lt;=Input!$D$32,$K$27,0)</f>
        <v>1439.9999999999998</v>
      </c>
      <c r="E50" s="102">
        <f>IF(E$45&lt;=Input!$D$32,$K$27,0)</f>
        <v>1439.9999999999998</v>
      </c>
      <c r="F50" s="102">
        <f>IF(F$45&lt;=Input!$D$32,$K$27,0)</f>
        <v>1439.9999999999998</v>
      </c>
      <c r="G50" s="102">
        <f>IF(G$45&lt;=Input!$D$32,$K$27,0)</f>
        <v>1439.9999999999998</v>
      </c>
      <c r="H50" s="102">
        <f>IF(H$45&lt;=Input!$D$32,$K$27,0)</f>
        <v>1439.9999999999998</v>
      </c>
      <c r="I50" s="102">
        <f>IF(I$45&lt;=Input!$D$32,$K$27,0)</f>
        <v>1439.9999999999998</v>
      </c>
      <c r="J50" s="102">
        <f>IF(J$45&lt;=Input!$D$32,$K$27,0)</f>
        <v>1439.9999999999998</v>
      </c>
      <c r="K50" s="102">
        <f>IF(K$45&lt;=Input!$D$32,$K$27,0)</f>
        <v>1439.9999999999998</v>
      </c>
      <c r="L50" s="102">
        <f>IF(L$45&lt;=Input!$D$32,$K$27,0)</f>
        <v>1439.9999999999998</v>
      </c>
      <c r="M50" s="102">
        <f>IF(M$45&lt;=Input!$D$32,$K$27,0)</f>
        <v>1439.9999999999998</v>
      </c>
      <c r="N50" s="102">
        <f>IF(N$45&lt;=Input!$D$32,$K$27,0)</f>
        <v>1439.9999999999998</v>
      </c>
      <c r="O50" s="102">
        <f>IF(O$45&lt;=Input!$D$32,$K$27,0)</f>
        <v>1439.9999999999998</v>
      </c>
      <c r="P50" s="102">
        <f>IF(P$45&lt;=Input!$D$32,$K$27,0)</f>
        <v>1439.9999999999998</v>
      </c>
      <c r="Q50" s="102">
        <f>IF(Q$45&lt;=Input!$D$32,$K$27,0)</f>
        <v>1439.9999999999998</v>
      </c>
      <c r="R50" s="102">
        <f>IF(R$45&lt;=Input!$D$32,$K$27,0)</f>
        <v>1439.9999999999998</v>
      </c>
      <c r="S50" s="102">
        <f>IF(S$45&lt;=Input!$D$32,$K$27,0)</f>
        <v>1439.9999999999998</v>
      </c>
      <c r="T50" s="102">
        <f>IF(T$45&lt;=Input!$D$32,$K$27,0)</f>
        <v>1439.9999999999998</v>
      </c>
      <c r="U50" s="102">
        <f>IF(U$45&lt;=Input!$D$32,$K$27,0)</f>
        <v>1439.9999999999998</v>
      </c>
      <c r="V50" s="102">
        <f>IF(V$45&lt;=Input!$D$32,$K$27,0)</f>
        <v>1439.9999999999998</v>
      </c>
      <c r="W50" s="102">
        <f>IF(W$45&lt;=Input!$D$32,$K$27,0)</f>
        <v>1439.9999999999998</v>
      </c>
    </row>
    <row r="51" spans="2:23" x14ac:dyDescent="0.35">
      <c r="B51" s="60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2:23" x14ac:dyDescent="0.35">
      <c r="B52" s="103" t="s">
        <v>236</v>
      </c>
      <c r="C52" s="1" t="s">
        <v>89</v>
      </c>
      <c r="D52" s="31">
        <f>IF(D$45&lt;=Input!$D$32,Input!$D$14*12,0)</f>
        <v>2688</v>
      </c>
      <c r="E52" s="31">
        <f>IF(E$45&lt;=Input!$D$32,Input!$D$14*12,0)</f>
        <v>2688</v>
      </c>
      <c r="F52" s="31">
        <f>IF(F$45&lt;=Input!$D$32,Input!$D$14*12,0)</f>
        <v>2688</v>
      </c>
      <c r="G52" s="31">
        <f>IF(G$45&lt;=Input!$D$32,Input!$D$14*12,0)</f>
        <v>2688</v>
      </c>
      <c r="H52" s="31">
        <f>IF(H$45&lt;=Input!$D$32,Input!$D$14*12,0)</f>
        <v>2688</v>
      </c>
      <c r="I52" s="31">
        <f>IF(I$45&lt;=Input!$D$32,Input!$D$14*12,0)</f>
        <v>2688</v>
      </c>
      <c r="J52" s="31">
        <f>IF(J$45&lt;=Input!$D$32,Input!$D$14*12,0)</f>
        <v>2688</v>
      </c>
      <c r="K52" s="31">
        <f>IF(K$45&lt;=Input!$D$32,Input!$D$14*12,0)</f>
        <v>2688</v>
      </c>
      <c r="L52" s="31">
        <f>IF(L$45&lt;=Input!$D$32,Input!$D$14*12,0)</f>
        <v>2688</v>
      </c>
      <c r="M52" s="31">
        <f>IF(M$45&lt;=Input!$D$32,Input!$D$14*12,0)</f>
        <v>2688</v>
      </c>
      <c r="N52" s="31">
        <f>IF(N$45&lt;=Input!$D$32,Input!$D$14*12,0)</f>
        <v>2688</v>
      </c>
      <c r="O52" s="31">
        <f>IF(O$45&lt;=Input!$D$32,Input!$D$14*12,0)</f>
        <v>2688</v>
      </c>
      <c r="P52" s="31">
        <f>IF(P$45&lt;=Input!$D$32,Input!$D$14*12,0)</f>
        <v>2688</v>
      </c>
      <c r="Q52" s="31">
        <f>IF(Q$45&lt;=Input!$D$32,Input!$D$14*12,0)</f>
        <v>2688</v>
      </c>
      <c r="R52" s="31">
        <f>IF(R$45&lt;=Input!$D$32,Input!$D$14*12,0)</f>
        <v>2688</v>
      </c>
      <c r="S52" s="31">
        <f>IF(S$45&lt;=Input!$D$32,Input!$D$14*12,0)</f>
        <v>2688</v>
      </c>
      <c r="T52" s="31">
        <f>IF(T$45&lt;=Input!$D$32,Input!$D$14*12,0)</f>
        <v>2688</v>
      </c>
      <c r="U52" s="31">
        <f>IF(U$45&lt;=Input!$D$32,Input!$D$14*12,0)</f>
        <v>2688</v>
      </c>
      <c r="V52" s="31">
        <f>IF(V$45&lt;=Input!$D$32,Input!$D$14*12,0)</f>
        <v>2688</v>
      </c>
      <c r="W52" s="31">
        <f>IF(W$45&lt;=Input!$D$32,Input!$D$14*12,0)</f>
        <v>2688</v>
      </c>
    </row>
    <row r="53" spans="2:23" x14ac:dyDescent="0.35">
      <c r="B53" s="104"/>
      <c r="C53" s="1" t="s">
        <v>90</v>
      </c>
      <c r="D53" s="31">
        <f>IF(D$45&lt;=Input!$D$32,Input!$D$19*12,0)</f>
        <v>1440</v>
      </c>
      <c r="E53" s="31">
        <f>IF(E$45&lt;=Input!$D$32,Input!$D$19*12,0)</f>
        <v>1440</v>
      </c>
      <c r="F53" s="31">
        <f>IF(F$45&lt;=Input!$D$32,Input!$D$19*12,0)</f>
        <v>1440</v>
      </c>
      <c r="G53" s="31">
        <f>IF(G$45&lt;=Input!$D$32,Input!$D$19*12,0)</f>
        <v>1440</v>
      </c>
      <c r="H53" s="31">
        <f>IF(H$45&lt;=Input!$D$32,Input!$D$19*12,0)</f>
        <v>1440</v>
      </c>
      <c r="I53" s="31">
        <f>IF(I$45&lt;=Input!$D$32,Input!$D$19*12,0)</f>
        <v>1440</v>
      </c>
      <c r="J53" s="31">
        <f>IF(J$45&lt;=Input!$D$32,Input!$D$19*12,0)</f>
        <v>1440</v>
      </c>
      <c r="K53" s="31">
        <f>IF(K$45&lt;=Input!$D$32,Input!$D$19*12,0)</f>
        <v>1440</v>
      </c>
      <c r="L53" s="31">
        <f>IF(L$45&lt;=Input!$D$32,Input!$D$19*12,0)</f>
        <v>1440</v>
      </c>
      <c r="M53" s="31">
        <f>IF(M$45&lt;=Input!$D$32,Input!$D$19*12,0)</f>
        <v>1440</v>
      </c>
      <c r="N53" s="31">
        <f>IF(N$45&lt;=Input!$D$32,Input!$D$19*12,0)</f>
        <v>1440</v>
      </c>
      <c r="O53" s="31">
        <f>IF(O$45&lt;=Input!$D$32,Input!$D$19*12,0)</f>
        <v>1440</v>
      </c>
      <c r="P53" s="31">
        <f>IF(P$45&lt;=Input!$D$32,Input!$D$19*12,0)</f>
        <v>1440</v>
      </c>
      <c r="Q53" s="31">
        <f>IF(Q$45&lt;=Input!$D$32,Input!$D$19*12,0)</f>
        <v>1440</v>
      </c>
      <c r="R53" s="31">
        <f>IF(R$45&lt;=Input!$D$32,Input!$D$19*12,0)</f>
        <v>1440</v>
      </c>
      <c r="S53" s="31">
        <f>IF(S$45&lt;=Input!$D$32,Input!$D$19*12,0)</f>
        <v>1440</v>
      </c>
      <c r="T53" s="31">
        <f>IF(T$45&lt;=Input!$D$32,Input!$D$19*12,0)</f>
        <v>1440</v>
      </c>
      <c r="U53" s="31">
        <f>IF(U$45&lt;=Input!$D$32,Input!$D$19*12,0)</f>
        <v>1440</v>
      </c>
      <c r="V53" s="31">
        <f>IF(V$45&lt;=Input!$D$32,Input!$D$19*12,0)</f>
        <v>1440</v>
      </c>
      <c r="W53" s="31">
        <f>IF(W$45&lt;=Input!$D$32,Input!$D$19*12,0)</f>
        <v>1440</v>
      </c>
    </row>
    <row r="54" spans="2:23" x14ac:dyDescent="0.35">
      <c r="B54" s="105"/>
      <c r="C54" s="1" t="s">
        <v>136</v>
      </c>
      <c r="D54" s="31">
        <f>IF(D$45&lt;=Input!$D$32,(D$52+D$53)*(Input!$D$59+2)/100,0)</f>
        <v>165.12</v>
      </c>
      <c r="E54" s="31">
        <f>IF(E$45&lt;=Input!$D$32,(E$52+E$53)*(Input!$D$59+2)/100,0)</f>
        <v>165.12</v>
      </c>
      <c r="F54" s="31">
        <f>IF(F$45&lt;=Input!$D$32,(F$52+F$53)*(Input!$D$59+2)/100,0)</f>
        <v>165.12</v>
      </c>
      <c r="G54" s="31">
        <f>IF(G$45&lt;=Input!$D$32,(G$52+G$53)*(Input!$D$59+2)/100,0)</f>
        <v>165.12</v>
      </c>
      <c r="H54" s="31">
        <f>IF(H$45&lt;=Input!$D$32,(H$52+H$53)*(Input!$D$59+2)/100,0)</f>
        <v>165.12</v>
      </c>
      <c r="I54" s="31">
        <f>IF(I$45&lt;=Input!$D$32,(I$52+I$53)*(Input!$D$59+2)/100,0)</f>
        <v>165.12</v>
      </c>
      <c r="J54" s="31">
        <f>IF(J$45&lt;=Input!$D$32,(J$52+J$53)*(Input!$D$59+2)/100,0)</f>
        <v>165.12</v>
      </c>
      <c r="K54" s="31">
        <f>IF(K$45&lt;=Input!$D$32,(K$52+K$53)*(Input!$D$59+2)/100,0)</f>
        <v>165.12</v>
      </c>
      <c r="L54" s="31">
        <f>IF(L$45&lt;=Input!$D$32,(L$52+L$53)*(Input!$D$59+2)/100,0)</f>
        <v>165.12</v>
      </c>
      <c r="M54" s="31">
        <f>IF(M$45&lt;=Input!$D$32,(M$52+M$53)*(Input!$D$59+2)/100,0)</f>
        <v>165.12</v>
      </c>
      <c r="N54" s="31">
        <f>IF(N$45&lt;=Input!$D$32,(N$52+N$53)*(Input!$D$59+2)/100,0)</f>
        <v>165.12</v>
      </c>
      <c r="O54" s="31">
        <f>IF(O$45&lt;=Input!$D$32,(O$52+O$53)*(Input!$D$59+2)/100,0)</f>
        <v>165.12</v>
      </c>
      <c r="P54" s="31">
        <f>IF(P$45&lt;=Input!$D$32,(P$52+P$53)*(Input!$D$59+2)/100,0)</f>
        <v>165.12</v>
      </c>
      <c r="Q54" s="31">
        <f>IF(Q$45&lt;=Input!$D$32,(Q$52+Q$53)*(Input!$D$59+2)/100,0)</f>
        <v>165.12</v>
      </c>
      <c r="R54" s="31">
        <f>IF(R$45&lt;=Input!$D$32,(R$52+R$53)*(Input!$D$59+2)/100,0)</f>
        <v>165.12</v>
      </c>
      <c r="S54" s="31">
        <f>IF(S$45&lt;=Input!$D$32,(S$52+S$53)*(Input!$D$59+2)/100,0)</f>
        <v>165.12</v>
      </c>
      <c r="T54" s="31">
        <f>IF(T$45&lt;=Input!$D$32,(T$52+T$53)*(Input!$D$59+2)/100,0)</f>
        <v>165.12</v>
      </c>
      <c r="U54" s="31">
        <f>IF(U$45&lt;=Input!$D$32,(U$52+U$53)*(Input!$D$59+2)/100,0)</f>
        <v>165.12</v>
      </c>
      <c r="V54" s="31">
        <f>IF(V$45&lt;=Input!$D$32,(V$52+V$53)*(Input!$D$59+2)/100,0)</f>
        <v>165.12</v>
      </c>
      <c r="W54" s="31">
        <f>IF(W$45&lt;=Input!$D$32,(W$52+W$53)*(Input!$D$59+2)/100,0)</f>
        <v>165.12</v>
      </c>
    </row>
    <row r="55" spans="2:23" x14ac:dyDescent="0.35"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 x14ac:dyDescent="0.35"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2:23" x14ac:dyDescent="0.35">
      <c r="B57" s="33" t="s">
        <v>224</v>
      </c>
      <c r="C57" s="30"/>
      <c r="D57" s="32">
        <f t="shared" ref="D57:W57" si="0">D$46+D$47+D$48+D$49+D$50</f>
        <v>6362.0308170306298</v>
      </c>
      <c r="E57" s="32">
        <f t="shared" si="0"/>
        <v>3972.6974864998547</v>
      </c>
      <c r="F57" s="32">
        <f t="shared" si="0"/>
        <v>3972.6974864998547</v>
      </c>
      <c r="G57" s="32">
        <f t="shared" si="0"/>
        <v>3972.6974864998547</v>
      </c>
      <c r="H57" s="32">
        <f t="shared" si="0"/>
        <v>3972.6974864998547</v>
      </c>
      <c r="I57" s="32">
        <f t="shared" si="0"/>
        <v>3972.6974864998547</v>
      </c>
      <c r="J57" s="32">
        <f t="shared" si="0"/>
        <v>3972.6974864998547</v>
      </c>
      <c r="K57" s="32">
        <f t="shared" si="0"/>
        <v>3972.6974864998547</v>
      </c>
      <c r="L57" s="32">
        <f t="shared" si="0"/>
        <v>3972.6974864998547</v>
      </c>
      <c r="M57" s="32">
        <f t="shared" si="0"/>
        <v>3972.6974864998547</v>
      </c>
      <c r="N57" s="32">
        <f t="shared" si="0"/>
        <v>3972.6974864998547</v>
      </c>
      <c r="O57" s="32">
        <f t="shared" si="0"/>
        <v>3972.6974864998547</v>
      </c>
      <c r="P57" s="32">
        <f t="shared" si="0"/>
        <v>3972.6974864998547</v>
      </c>
      <c r="Q57" s="32">
        <f t="shared" si="0"/>
        <v>3972.6974864998547</v>
      </c>
      <c r="R57" s="32">
        <f t="shared" si="0"/>
        <v>3972.6974864998547</v>
      </c>
      <c r="S57" s="32">
        <f t="shared" si="0"/>
        <v>2466.5372463932499</v>
      </c>
      <c r="T57" s="32">
        <f t="shared" si="0"/>
        <v>2466.5372463932499</v>
      </c>
      <c r="U57" s="32">
        <f t="shared" si="0"/>
        <v>2466.5372463932499</v>
      </c>
      <c r="V57" s="32">
        <f t="shared" si="0"/>
        <v>2466.5372463932499</v>
      </c>
      <c r="W57" s="32">
        <f t="shared" si="0"/>
        <v>2466.5372463932499</v>
      </c>
    </row>
    <row r="58" spans="2:23" x14ac:dyDescent="0.35">
      <c r="B58" s="28"/>
      <c r="C58" s="27"/>
      <c r="D58" s="34"/>
      <c r="E58" s="34"/>
      <c r="F58" s="34"/>
      <c r="G58" s="34"/>
      <c r="H58" s="34"/>
      <c r="I58" s="34"/>
      <c r="J58" s="97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2:23" x14ac:dyDescent="0.35">
      <c r="B59" s="33" t="s">
        <v>134</v>
      </c>
      <c r="C59" s="30"/>
      <c r="D59" s="32">
        <f t="shared" ref="D59:W59" si="1">D$52+D$53+D$54</f>
        <v>4293.12</v>
      </c>
      <c r="E59" s="32">
        <f t="shared" si="1"/>
        <v>4293.12</v>
      </c>
      <c r="F59" s="32">
        <f t="shared" si="1"/>
        <v>4293.12</v>
      </c>
      <c r="G59" s="32">
        <f t="shared" si="1"/>
        <v>4293.12</v>
      </c>
      <c r="H59" s="32">
        <f t="shared" si="1"/>
        <v>4293.12</v>
      </c>
      <c r="I59" s="32">
        <f t="shared" si="1"/>
        <v>4293.12</v>
      </c>
      <c r="J59" s="32">
        <f t="shared" si="1"/>
        <v>4293.12</v>
      </c>
      <c r="K59" s="32">
        <f t="shared" si="1"/>
        <v>4293.12</v>
      </c>
      <c r="L59" s="32">
        <f t="shared" si="1"/>
        <v>4293.12</v>
      </c>
      <c r="M59" s="32">
        <f t="shared" si="1"/>
        <v>4293.12</v>
      </c>
      <c r="N59" s="32">
        <f t="shared" si="1"/>
        <v>4293.12</v>
      </c>
      <c r="O59" s="32">
        <f t="shared" si="1"/>
        <v>4293.12</v>
      </c>
      <c r="P59" s="32">
        <f t="shared" si="1"/>
        <v>4293.12</v>
      </c>
      <c r="Q59" s="32">
        <f t="shared" si="1"/>
        <v>4293.12</v>
      </c>
      <c r="R59" s="32">
        <f t="shared" si="1"/>
        <v>4293.12</v>
      </c>
      <c r="S59" s="32">
        <f t="shared" si="1"/>
        <v>4293.12</v>
      </c>
      <c r="T59" s="32">
        <f t="shared" si="1"/>
        <v>4293.12</v>
      </c>
      <c r="U59" s="32">
        <f t="shared" si="1"/>
        <v>4293.12</v>
      </c>
      <c r="V59" s="32">
        <f t="shared" si="1"/>
        <v>4293.12</v>
      </c>
      <c r="W59" s="32">
        <f t="shared" si="1"/>
        <v>4293.12</v>
      </c>
    </row>
    <row r="60" spans="2:23" x14ac:dyDescent="0.35">
      <c r="B60" s="24"/>
      <c r="J60" s="24"/>
    </row>
    <row r="61" spans="2:23" x14ac:dyDescent="0.35">
      <c r="B61" s="33" t="s">
        <v>135</v>
      </c>
      <c r="C61" s="30"/>
      <c r="D61" s="32">
        <f t="shared" ref="D61:W61" si="2">D59-D57</f>
        <v>-2068.9108170306299</v>
      </c>
      <c r="E61" s="32">
        <f t="shared" si="2"/>
        <v>320.42251350014521</v>
      </c>
      <c r="F61" s="32">
        <f t="shared" si="2"/>
        <v>320.42251350014521</v>
      </c>
      <c r="G61" s="32">
        <f t="shared" si="2"/>
        <v>320.42251350014521</v>
      </c>
      <c r="H61" s="32">
        <f t="shared" si="2"/>
        <v>320.42251350014521</v>
      </c>
      <c r="I61" s="32">
        <f t="shared" si="2"/>
        <v>320.42251350014521</v>
      </c>
      <c r="J61" s="32">
        <f t="shared" si="2"/>
        <v>320.42251350014521</v>
      </c>
      <c r="K61" s="32">
        <f t="shared" si="2"/>
        <v>320.42251350014521</v>
      </c>
      <c r="L61" s="32">
        <f t="shared" si="2"/>
        <v>320.42251350014521</v>
      </c>
      <c r="M61" s="32">
        <f t="shared" si="2"/>
        <v>320.42251350014521</v>
      </c>
      <c r="N61" s="32">
        <f t="shared" si="2"/>
        <v>320.42251350014521</v>
      </c>
      <c r="O61" s="32">
        <f t="shared" si="2"/>
        <v>320.42251350014521</v>
      </c>
      <c r="P61" s="32">
        <f t="shared" si="2"/>
        <v>320.42251350014521</v>
      </c>
      <c r="Q61" s="32">
        <f t="shared" si="2"/>
        <v>320.42251350014521</v>
      </c>
      <c r="R61" s="32">
        <f t="shared" si="2"/>
        <v>320.42251350014521</v>
      </c>
      <c r="S61" s="32">
        <f t="shared" si="2"/>
        <v>1826.58275360675</v>
      </c>
      <c r="T61" s="32">
        <f t="shared" si="2"/>
        <v>1826.58275360675</v>
      </c>
      <c r="U61" s="32">
        <f t="shared" si="2"/>
        <v>1826.58275360675</v>
      </c>
      <c r="V61" s="32">
        <f t="shared" si="2"/>
        <v>1826.58275360675</v>
      </c>
      <c r="W61" s="32">
        <f t="shared" si="2"/>
        <v>1826.58275360675</v>
      </c>
    </row>
    <row r="62" spans="2:23" x14ac:dyDescent="0.35"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2:23" x14ac:dyDescent="0.35">
      <c r="B63" s="110" t="s">
        <v>225</v>
      </c>
      <c r="C63" s="111"/>
      <c r="D63" s="112">
        <f>D$57/(1+Input!$D$48/100)^D$45</f>
        <v>5680.3846580630616</v>
      </c>
      <c r="E63" s="112">
        <f>E$57/(1+Input!$D$48/100)^E$45</f>
        <v>3167.0101136000112</v>
      </c>
      <c r="F63" s="112">
        <f>F$57/(1+Input!$D$48/100)^F$45</f>
        <v>2827.6876014285813</v>
      </c>
      <c r="G63" s="112">
        <f>G$57/(1+Input!$D$48/100)^G$45</f>
        <v>2524.7210727040901</v>
      </c>
      <c r="H63" s="112">
        <f>H$57/(1+Input!$D$48/100)^H$45</f>
        <v>2254.2152434857949</v>
      </c>
      <c r="I63" s="112">
        <f>I$57/(1+Input!$D$48/100)^I$45</f>
        <v>2012.692181683745</v>
      </c>
      <c r="J63" s="112">
        <f>J$57/(1+Input!$D$48/100)^J$45</f>
        <v>1797.0465907890582</v>
      </c>
      <c r="K63" s="112">
        <f>K$57/(1+Input!$D$48/100)^K$45</f>
        <v>1604.5058846330876</v>
      </c>
      <c r="L63" s="112">
        <f>L$57/(1+Input!$D$48/100)^L$45</f>
        <v>1432.5945398509709</v>
      </c>
      <c r="M63" s="112">
        <f>M$57/(1+Input!$D$48/100)^M$45</f>
        <v>1279.102267724081</v>
      </c>
      <c r="N63" s="112">
        <f>N$57/(1+Input!$D$48/100)^N$45</f>
        <v>1142.0555961822151</v>
      </c>
      <c r="O63" s="112">
        <f>O$57/(1+Input!$D$48/100)^O$45</f>
        <v>1019.6924965912635</v>
      </c>
      <c r="P63" s="112">
        <f>P$57/(1+Input!$D$48/100)^P$45</f>
        <v>910.43972909934223</v>
      </c>
      <c r="Q63" s="112">
        <f>Q$57/(1+Input!$D$48/100)^Q$45</f>
        <v>812.89261526726978</v>
      </c>
      <c r="R63" s="112">
        <f>R$57/(1+Input!$D$48/100)^R$45</f>
        <v>725.79697791720525</v>
      </c>
      <c r="S63" s="112">
        <f>S$57/(1+Input!$D$48/100)^S$45</f>
        <v>402.34565462941055</v>
      </c>
      <c r="T63" s="112">
        <f>T$57/(1+Input!$D$48/100)^T$45</f>
        <v>359.23719163340223</v>
      </c>
      <c r="U63" s="112">
        <f>U$57/(1+Input!$D$48/100)^U$45</f>
        <v>320.74749252982338</v>
      </c>
      <c r="V63" s="112">
        <f>V$57/(1+Input!$D$48/100)^V$45</f>
        <v>286.38168975877085</v>
      </c>
      <c r="W63" s="112">
        <f>W$57/(1+Input!$D$48/100)^W$45</f>
        <v>255.69793728461684</v>
      </c>
    </row>
    <row r="64" spans="2:23" x14ac:dyDescent="0.35">
      <c r="B64" s="28"/>
      <c r="C64" s="27"/>
      <c r="D64" s="34"/>
      <c r="E64" s="34"/>
      <c r="F64" s="34"/>
      <c r="G64" s="34"/>
      <c r="H64" s="34"/>
      <c r="I64" s="34"/>
      <c r="J64" s="97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2:23" x14ac:dyDescent="0.35">
      <c r="B65" s="110" t="s">
        <v>299</v>
      </c>
      <c r="C65" s="111"/>
      <c r="D65" s="112">
        <f>D$59/(1+Input!$D$48/100)^D$45</f>
        <v>3833.1428571428569</v>
      </c>
      <c r="E65" s="112">
        <f>E$59/(1+Input!$D$48/100)^E$45</f>
        <v>3422.4489795918362</v>
      </c>
      <c r="F65" s="112">
        <f>F$59/(1+Input!$D$48/100)^F$45</f>
        <v>3055.7580174927102</v>
      </c>
      <c r="G65" s="112">
        <f>G$59/(1+Input!$D$48/100)^G$45</f>
        <v>2728.3553727613489</v>
      </c>
      <c r="H65" s="112">
        <f>H$59/(1+Input!$D$48/100)^H$45</f>
        <v>2436.0315828226326</v>
      </c>
      <c r="I65" s="112">
        <f>I$59/(1+Input!$D$48/100)^I$45</f>
        <v>2175.0281989487789</v>
      </c>
      <c r="J65" s="112">
        <f>J$59/(1+Input!$D$48/100)^J$45</f>
        <v>1941.989463347124</v>
      </c>
      <c r="K65" s="112">
        <f>K$59/(1+Input!$D$48/100)^K$45</f>
        <v>1733.9191637027891</v>
      </c>
      <c r="L65" s="112">
        <f>L$59/(1+Input!$D$48/100)^L$45</f>
        <v>1548.1421104489189</v>
      </c>
      <c r="M65" s="112">
        <f>M$59/(1+Input!$D$48/100)^M$45</f>
        <v>1382.2697414722488</v>
      </c>
      <c r="N65" s="112">
        <f>N$59/(1+Input!$D$48/100)^N$45</f>
        <v>1234.1694120287934</v>
      </c>
      <c r="O65" s="112">
        <f>O$59/(1+Input!$D$48/100)^O$45</f>
        <v>1101.9369750257085</v>
      </c>
      <c r="P65" s="112">
        <f>P$59/(1+Input!$D$48/100)^P$45</f>
        <v>983.87229913009662</v>
      </c>
      <c r="Q65" s="112">
        <f>Q$59/(1+Input!$D$48/100)^Q$45</f>
        <v>878.45740993758625</v>
      </c>
      <c r="R65" s="112">
        <f>R$59/(1+Input!$D$48/100)^R$45</f>
        <v>784.3369731585592</v>
      </c>
      <c r="S65" s="112">
        <f>S$59/(1+Input!$D$48/100)^S$45</f>
        <v>700.30086889157053</v>
      </c>
      <c r="T65" s="112">
        <f>T$59/(1+Input!$D$48/100)^T$45</f>
        <v>625.26863293890221</v>
      </c>
      <c r="U65" s="112">
        <f>U$59/(1+Input!$D$48/100)^U$45</f>
        <v>558.27556512401986</v>
      </c>
      <c r="V65" s="112">
        <f>V$59/(1+Input!$D$48/100)^V$45</f>
        <v>498.4603260035891</v>
      </c>
      <c r="W65" s="112">
        <f>W$59/(1+Input!$D$48/100)^W$45</f>
        <v>445.05386250320453</v>
      </c>
    </row>
    <row r="66" spans="2:23" x14ac:dyDescent="0.35"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2:23" x14ac:dyDescent="0.35">
      <c r="B67" s="110" t="s">
        <v>298</v>
      </c>
      <c r="C67" s="111"/>
      <c r="D67" s="112">
        <f t="shared" ref="D67:W67" si="3">D$65-D$63</f>
        <v>-1847.2418009202047</v>
      </c>
      <c r="E67" s="112">
        <f t="shared" si="3"/>
        <v>255.43886599182497</v>
      </c>
      <c r="F67" s="112">
        <f t="shared" si="3"/>
        <v>228.07041606412895</v>
      </c>
      <c r="G67" s="112">
        <f t="shared" si="3"/>
        <v>203.63430005725877</v>
      </c>
      <c r="H67" s="112">
        <f t="shared" si="3"/>
        <v>181.8163393368377</v>
      </c>
      <c r="I67" s="112">
        <f t="shared" si="3"/>
        <v>162.33601726503389</v>
      </c>
      <c r="J67" s="112">
        <f t="shared" si="3"/>
        <v>144.9428725580658</v>
      </c>
      <c r="K67" s="112">
        <f t="shared" si="3"/>
        <v>129.4132790697015</v>
      </c>
      <c r="L67" s="112">
        <f t="shared" si="3"/>
        <v>115.54757059794792</v>
      </c>
      <c r="M67" s="112">
        <f t="shared" si="3"/>
        <v>103.16747374816782</v>
      </c>
      <c r="N67" s="112">
        <f t="shared" si="3"/>
        <v>92.113815846578291</v>
      </c>
      <c r="O67" s="112">
        <f t="shared" si="3"/>
        <v>82.244478434445</v>
      </c>
      <c r="P67" s="112">
        <f t="shared" si="3"/>
        <v>73.432570030754391</v>
      </c>
      <c r="Q67" s="112">
        <f t="shared" si="3"/>
        <v>65.564794670316473</v>
      </c>
      <c r="R67" s="112">
        <f t="shared" si="3"/>
        <v>58.539995241353949</v>
      </c>
      <c r="S67" s="112">
        <f t="shared" si="3"/>
        <v>297.95521426215998</v>
      </c>
      <c r="T67" s="112">
        <f t="shared" si="3"/>
        <v>266.03144130549998</v>
      </c>
      <c r="U67" s="112">
        <f t="shared" si="3"/>
        <v>237.52807259419649</v>
      </c>
      <c r="V67" s="112">
        <f t="shared" si="3"/>
        <v>212.07863624481826</v>
      </c>
      <c r="W67" s="112">
        <f t="shared" si="3"/>
        <v>189.35592521858769</v>
      </c>
    </row>
    <row r="68" spans="2:23" x14ac:dyDescent="0.35">
      <c r="B68" s="24"/>
      <c r="J68" s="24"/>
    </row>
    <row r="69" spans="2:23" x14ac:dyDescent="0.35">
      <c r="B69" s="110" t="s">
        <v>297</v>
      </c>
      <c r="C69" s="111"/>
      <c r="D69" s="112">
        <f>D67</f>
        <v>-1847.2418009202047</v>
      </c>
      <c r="E69" s="112">
        <f>SUM($D$67:E$67)</f>
        <v>-1591.8029349283797</v>
      </c>
      <c r="F69" s="112">
        <f>SUM($D$67:F$67)</f>
        <v>-1363.7325188642508</v>
      </c>
      <c r="G69" s="112">
        <f>SUM($D$67:G$67)</f>
        <v>-1160.098218806992</v>
      </c>
      <c r="H69" s="112">
        <f>SUM($D$67:H$67)</f>
        <v>-978.28187947015431</v>
      </c>
      <c r="I69" s="112">
        <f>SUM($D$67:I$67)</f>
        <v>-815.94586220512042</v>
      </c>
      <c r="J69" s="112">
        <f>SUM($D$67:J$67)</f>
        <v>-671.00298964705462</v>
      </c>
      <c r="K69" s="112">
        <f>SUM($D$67:K$67)</f>
        <v>-541.58971057735312</v>
      </c>
      <c r="L69" s="112">
        <f>SUM($D$67:L$67)</f>
        <v>-426.04213997940519</v>
      </c>
      <c r="M69" s="112">
        <f>SUM($D$67:M$67)</f>
        <v>-322.87466623123737</v>
      </c>
      <c r="N69" s="112">
        <f>SUM($D$67:N$67)</f>
        <v>-230.76085038465908</v>
      </c>
      <c r="O69" s="112">
        <f>SUM($D$67:O$67)</f>
        <v>-148.51637195021408</v>
      </c>
      <c r="P69" s="112">
        <f>SUM($D$67:P$67)</f>
        <v>-75.083801919459688</v>
      </c>
      <c r="Q69" s="112">
        <f>SUM($D$67:Q$67)</f>
        <v>-9.5190072491432147</v>
      </c>
      <c r="R69" s="112">
        <f>SUM($D$67:R$67)</f>
        <v>49.020987992210735</v>
      </c>
      <c r="S69" s="112">
        <f>SUM($D$67:S$67)</f>
        <v>346.97620225437072</v>
      </c>
      <c r="T69" s="112">
        <f>SUM($D$67:T$67)</f>
        <v>613.00764355987076</v>
      </c>
      <c r="U69" s="112">
        <f>SUM($D$67:U$67)</f>
        <v>850.53571615406725</v>
      </c>
      <c r="V69" s="112">
        <f>SUM($D$67:V$67)</f>
        <v>1062.6143523988856</v>
      </c>
      <c r="W69" s="112">
        <f>SUM($D$67:W$67)</f>
        <v>1251.9702776174731</v>
      </c>
    </row>
    <row r="70" spans="2:23" x14ac:dyDescent="0.35"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3" spans="2:23" x14ac:dyDescent="0.35">
      <c r="B73" s="113" t="s">
        <v>133</v>
      </c>
      <c r="C73" s="114"/>
      <c r="D73" s="146">
        <v>1</v>
      </c>
      <c r="E73" s="146">
        <v>2</v>
      </c>
      <c r="F73" s="146">
        <v>3</v>
      </c>
      <c r="G73" s="146">
        <v>4</v>
      </c>
      <c r="H73" s="146">
        <v>5</v>
      </c>
      <c r="I73" s="146">
        <v>6</v>
      </c>
      <c r="J73" s="146">
        <v>7</v>
      </c>
      <c r="K73" s="146">
        <v>8</v>
      </c>
      <c r="L73" s="146">
        <v>9</v>
      </c>
      <c r="M73" s="146">
        <v>10</v>
      </c>
      <c r="N73" s="146">
        <v>11</v>
      </c>
      <c r="O73" s="146">
        <v>12</v>
      </c>
      <c r="P73" s="146">
        <v>13</v>
      </c>
      <c r="Q73" s="146">
        <v>14</v>
      </c>
      <c r="R73" s="146">
        <v>15</v>
      </c>
      <c r="S73" s="146">
        <v>16</v>
      </c>
      <c r="T73" s="146">
        <v>17</v>
      </c>
      <c r="U73" s="146">
        <v>18</v>
      </c>
      <c r="V73" s="146">
        <v>19</v>
      </c>
      <c r="W73" s="146">
        <v>20</v>
      </c>
    </row>
    <row r="76" spans="2:23" x14ac:dyDescent="0.35">
      <c r="B76" s="38" t="s">
        <v>222</v>
      </c>
      <c r="C76" s="25" t="s">
        <v>4</v>
      </c>
      <c r="D76" s="39">
        <f>SUM(D63:W63)</f>
        <v>30815.2475348558</v>
      </c>
    </row>
    <row r="77" spans="2:23" x14ac:dyDescent="0.35">
      <c r="B77" s="38" t="s">
        <v>223</v>
      </c>
      <c r="C77" s="25" t="s">
        <v>4</v>
      </c>
      <c r="D77" s="39">
        <f>SUM(D65:W65)</f>
        <v>32067.217812473275</v>
      </c>
    </row>
    <row r="78" spans="2:23" x14ac:dyDescent="0.35">
      <c r="B78" s="108" t="s">
        <v>227</v>
      </c>
      <c r="C78" s="109" t="s">
        <v>4</v>
      </c>
      <c r="D78" s="116">
        <f>D77-D76</f>
        <v>1251.9702776174745</v>
      </c>
    </row>
    <row r="79" spans="2:23" x14ac:dyDescent="0.35">
      <c r="B79" s="38" t="s">
        <v>6</v>
      </c>
      <c r="C79" s="25" t="s">
        <v>14</v>
      </c>
      <c r="D79" s="115">
        <f>E79</f>
        <v>15</v>
      </c>
      <c r="E79" s="158" cm="1">
        <f t="array" ref="E79">IFERROR(INDEX($D$73:$W$73,1,MATCH(TRUE,D69:W69&gt;=0,0)), "Payback not reached")</f>
        <v>15</v>
      </c>
    </row>
    <row r="1048551" spans="16384:16384" x14ac:dyDescent="0.35">
      <c r="XFD1048551" cm="1">
        <f t="array" ref="XFD1048551">solver_pre</f>
        <v>9.9999999999999995E-7</v>
      </c>
    </row>
    <row r="1048552" spans="16384:16384" x14ac:dyDescent="0.35">
      <c r="XFD1048552" cm="1">
        <f t="array" ref="XFD1048552">solver_scl</f>
        <v>2</v>
      </c>
    </row>
    <row r="1048553" spans="16384:16384" x14ac:dyDescent="0.35">
      <c r="XFD1048553" cm="1">
        <f t="array" ref="XFD1048553">solver_rlx</f>
        <v>2</v>
      </c>
    </row>
    <row r="1048554" spans="16384:16384" x14ac:dyDescent="0.35">
      <c r="XFD1048554" cm="1">
        <f t="array" ref="XFD1048554">solver_tol</f>
        <v>0.01</v>
      </c>
    </row>
    <row r="1048555" spans="16384:16384" x14ac:dyDescent="0.35">
      <c r="XFD1048555" cm="1">
        <f t="array" ref="XFD1048555">solver_cvg</f>
        <v>1E-4</v>
      </c>
    </row>
    <row r="1048556" spans="16384:16384" x14ac:dyDescent="0.35">
      <c r="XFD1048556" cm="1">
        <f t="array" ref="XFD1048556">solver_msl</f>
        <v>2</v>
      </c>
    </row>
    <row r="1048557" spans="16384:16384" x14ac:dyDescent="0.35">
      <c r="XFD1048557" cm="1">
        <f t="array" ref="XFD1048557">solver_ssz</f>
        <v>100</v>
      </c>
    </row>
    <row r="1048558" spans="16384:16384" x14ac:dyDescent="0.35">
      <c r="XFD1048558" cm="1">
        <f t="array" ref="XFD1048558">solver_rsd</f>
        <v>0</v>
      </c>
    </row>
    <row r="1048559" spans="16384:16384" x14ac:dyDescent="0.35">
      <c r="XFD1048559" cm="1">
        <f t="array" ref="XFD1048559">solver_mrt</f>
        <v>7.4999999999999997E-2</v>
      </c>
    </row>
    <row r="1048560" spans="16384:16384" x14ac:dyDescent="0.35">
      <c r="XFD1048560" cm="1">
        <f t="array" ref="XFD1048560">solver_mni</f>
        <v>30</v>
      </c>
    </row>
    <row r="1048561" spans="16384:16384" x14ac:dyDescent="0.35">
      <c r="XFD1048561" cm="1">
        <f t="array" ref="XFD1048561">solver_rbv</f>
        <v>2</v>
      </c>
    </row>
    <row r="1048562" spans="16384:16384" x14ac:dyDescent="0.35">
      <c r="XFD1048562" cm="1">
        <f t="array" ref="XFD1048562">solver_neg</f>
        <v>1</v>
      </c>
    </row>
    <row r="1048563" spans="16384:16384" x14ac:dyDescent="0.35">
      <c r="XFD1048563" t="e" cm="1">
        <f t="array" ref="XFD1048563">solver_ntr</f>
        <v>#NAME?</v>
      </c>
    </row>
    <row r="1048564" spans="16384:16384" x14ac:dyDescent="0.35">
      <c r="XFD1048564" t="e" cm="1">
        <f t="array" ref="XFD1048564">solver_acc</f>
        <v>#NAME?</v>
      </c>
    </row>
    <row r="1048565" spans="16384:16384" x14ac:dyDescent="0.35">
      <c r="XFD1048565" t="e" cm="1">
        <f t="array" ref="XFD1048565">solver_res</f>
        <v>#NAME?</v>
      </c>
    </row>
    <row r="1048566" spans="16384:16384" x14ac:dyDescent="0.35">
      <c r="XFD1048566" t="e" cm="1">
        <f t="array" ref="XFD1048566">solver_ars</f>
        <v>#NAME?</v>
      </c>
    </row>
    <row r="1048567" spans="16384:16384" x14ac:dyDescent="0.35">
      <c r="XFD1048567" t="e" cm="1">
        <f t="array" ref="XFD1048567">solver_sta</f>
        <v>#NAME?</v>
      </c>
    </row>
    <row r="1048568" spans="16384:16384" x14ac:dyDescent="0.35">
      <c r="XFD1048568" t="e" cm="1">
        <f t="array" ref="XFD1048568">solver_met</f>
        <v>#NAME?</v>
      </c>
    </row>
    <row r="1048569" spans="16384:16384" x14ac:dyDescent="0.35">
      <c r="XFD1048569" t="e" cm="1">
        <f t="array" ref="XFD1048569">solver_soc</f>
        <v>#NAME?</v>
      </c>
    </row>
    <row r="1048570" spans="16384:16384" x14ac:dyDescent="0.35">
      <c r="XFD1048570" t="e" cm="1">
        <f t="array" ref="XFD1048570">solver_lpt</f>
        <v>#NAME?</v>
      </c>
    </row>
    <row r="1048571" spans="16384:16384" x14ac:dyDescent="0.35">
      <c r="XFD1048571" t="e" cm="1">
        <f t="array" ref="XFD1048571">solver_lpp</f>
        <v>#NAME?</v>
      </c>
    </row>
    <row r="1048572" spans="16384:16384" x14ac:dyDescent="0.35">
      <c r="XFD1048572" t="e" cm="1">
        <f t="array" ref="XFD1048572">solver_gap</f>
        <v>#NAME?</v>
      </c>
    </row>
    <row r="1048573" spans="16384:16384" x14ac:dyDescent="0.35">
      <c r="XFD1048573" t="e" cm="1">
        <f t="array" ref="XFD1048573">solver_ips</f>
        <v>#NAME?</v>
      </c>
    </row>
    <row r="1048574" spans="16384:16384" x14ac:dyDescent="0.35">
      <c r="XFD1048574" t="e" cm="1">
        <f t="array" ref="XFD1048574">solver_fea</f>
        <v>#NAME?</v>
      </c>
    </row>
    <row r="1048575" spans="16384:16384" x14ac:dyDescent="0.35">
      <c r="XFD1048575" t="e" cm="1">
        <f t="array" ref="XFD1048575">solver_ipi</f>
        <v>#NAME?</v>
      </c>
    </row>
    <row r="1048576" spans="16384:16384" x14ac:dyDescent="0.35">
      <c r="XFD1048576" t="e" cm="1">
        <f t="array" ref="XFD1048576">solver_ipd</f>
        <v>#NAME?</v>
      </c>
    </row>
  </sheetData>
  <mergeCells count="7">
    <mergeCell ref="N41:Q41"/>
    <mergeCell ref="R41:U41"/>
    <mergeCell ref="L18:L22"/>
    <mergeCell ref="B30:D30"/>
    <mergeCell ref="C41:F41"/>
    <mergeCell ref="G41:I41"/>
    <mergeCell ref="J41:M41"/>
  </mergeCells>
  <conditionalFormatting sqref="D78">
    <cfRule type="cellIs" dxfId="4" priority="2" operator="lessThan">
      <formula>0</formula>
    </cfRule>
  </conditionalFormatting>
  <conditionalFormatting sqref="D79">
    <cfRule type="containsText" dxfId="3" priority="3" operator="containsText" text="Payback not reached">
      <formula>NOT(ISERROR(SEARCH("Payback not reached",D79)))</formula>
    </cfRule>
    <cfRule type="cellIs" dxfId="2" priority="4" operator="equal">
      <formula>"""Payback not reached"""</formula>
    </cfRule>
  </conditionalFormatting>
  <conditionalFormatting sqref="D49:W49">
    <cfRule type="cellIs" dxfId="1" priority="5" operator="greaterThan">
      <formula>0</formula>
    </cfRule>
  </conditionalFormatting>
  <conditionalFormatting sqref="F18">
    <cfRule type="cellIs" dxfId="0" priority="1" operator="lessThan">
      <formula>$D$12</formula>
    </cfRule>
  </conditionalFormatting>
  <pageMargins left="0.7" right="0.7" top="0.75" bottom="0.75" header="0.3" footer="0.3"/>
  <drawing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22044921-2B76-436D-8734-A27441F37676}">
          <xm:f>Optimization!$E$18</xm:f>
        </x15:webExtension>
        <x15:webExtension appRef="{1F4D7563-BADB-4DF8-99A2-2371B5ABF327}">
          <xm:f>Optimization!$E$21</xm:f>
        </x15:webExtension>
        <x15:webExtension appRef="{D48D3D28-B6D7-48C8-A732-66F74DFA01D1}">
          <xm:f>Optimization!$E$20</xm:f>
        </x15:webExtension>
        <x15:webExtension appRef="{F2D37CAE-D8D5-4436-91DD-3C7674238ECD}">
          <xm:f>Optimization!$E$19</xm:f>
        </x15:webExtension>
        <x15:webExtension appRef="{5ECAB8EA-8B6D-624D-8544-8E0A0256F4F5}">
          <xm:f>Optimization!1:1048576</xm:f>
        </x15:webExtension>
        <x15:webExtension appRef="{0426031D-012A-7447-86A8-FAF94982332F}">
          <xm:f>Optimization!$E$17</xm:f>
        </x15:webExtension>
        <x15:webExtension appRef="{B0FCF384-4031-564C-A858-45B10597F368}">
          <xm:f>Optimization!$E$18</xm:f>
        </x15:webExtension>
        <x15:webExtension appRef="{A7FAAC0F-8115-784D-8AC6-D4BD1E58935D}">
          <xm:f>Optimization!$E$19</xm:f>
        </x15:webExtension>
        <x15:webExtension appRef="{D0C26F8B-93F5-BD4E-8ACF-E0A54139F585}">
          <xm:f>Optimization!$E$20</xm:f>
        </x15:webExtension>
        <x15:webExtension appRef="{CBEA5B4D-16F9-1542-8F68-102E87740179}">
          <xm:f>Optimization!$L$17</xm:f>
        </x15:webExtension>
        <x15:webExtension appRef="{27AEB954-9092-6241-9021-C5DEF145E51F}">
          <xm:f>Optimization!XFD1048550:XFD1048575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</vt:lpstr>
      <vt:lpstr>System Sizing</vt:lpstr>
      <vt:lpstr>Cost</vt:lpstr>
      <vt:lpstr>Cost wo RE</vt:lpstr>
      <vt:lpstr>Optimization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Peter Schubert</cp:lastModifiedBy>
  <dcterms:created xsi:type="dcterms:W3CDTF">2019-12-24T13:59:11Z</dcterms:created>
  <dcterms:modified xsi:type="dcterms:W3CDTF">2024-06-11T16:12:40Z</dcterms:modified>
</cp:coreProperties>
</file>