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!AUTOJ\SARF opt i-s course\"/>
    </mc:Choice>
  </mc:AlternateContent>
  <xr:revisionPtr revIDLastSave="0" documentId="8_{F7BBE8E3-BB30-4141-9409-A8680A4822C7}" xr6:coauthVersionLast="47" xr6:coauthVersionMax="47" xr10:uidLastSave="{00000000-0000-0000-0000-000000000000}"/>
  <bookViews>
    <workbookView xWindow="-120" yWindow="-120" windowWidth="38640" windowHeight="21240" tabRatio="872" xr2:uid="{00000000-000D-0000-FFFF-FFFF00000000}"/>
  </bookViews>
  <sheets>
    <sheet name="CVR" sheetId="1" r:id="rId1"/>
    <sheet name="eg" sheetId="76" r:id="rId2"/>
    <sheet name="EX" sheetId="2" r:id="rId3"/>
    <sheet name="NEW" sheetId="71" r:id="rId4"/>
    <sheet name="qtr" sheetId="4" r:id="rId5"/>
    <sheet name="hr" sheetId="6" r:id="rId6"/>
    <sheet name="ADT" sheetId="9" r:id="rId7"/>
    <sheet name="PK" sheetId="10" r:id="rId8"/>
    <sheet name="GEOM" sheetId="11" r:id="rId9"/>
    <sheet name="SET" sheetId="13" r:id="rId10"/>
    <sheet name="cap" sheetId="74" state="hidden" r:id="rId11"/>
    <sheet name="t" sheetId="75" state="hidden" r:id="rId12"/>
    <sheet name="SMY" sheetId="59" r:id="rId13"/>
    <sheet name="s4we" sheetId="39" r:id="rId14"/>
    <sheet name="+s4we" sheetId="25" r:id="rId15"/>
  </sheets>
  <definedNames>
    <definedName name="_xlnm.Print_Area" localSheetId="8">GEOM!$A$1:$AI$41</definedName>
    <definedName name="_xlnm.Print_Area" localSheetId="4">qtr!$A$1:$P$69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4" i="6" l="1"/>
  <c r="A63" i="6"/>
  <c r="A62" i="6"/>
  <c r="F14" i="13" l="1"/>
  <c r="B4" i="75"/>
  <c r="B5" i="75"/>
  <c r="B6" i="75"/>
  <c r="B8" i="75"/>
  <c r="B9" i="75"/>
  <c r="B10" i="75"/>
  <c r="B12" i="75"/>
  <c r="B13" i="75"/>
  <c r="B14" i="75"/>
  <c r="B16" i="75"/>
  <c r="B17" i="75"/>
  <c r="B18" i="75"/>
  <c r="BG84" i="75" l="1"/>
  <c r="B84" i="75"/>
  <c r="BG83" i="75"/>
  <c r="B83" i="75"/>
  <c r="BG82" i="75"/>
  <c r="B82" i="75"/>
  <c r="BG81" i="75"/>
  <c r="B81" i="75"/>
  <c r="BG80" i="75"/>
  <c r="B80" i="75"/>
  <c r="BG79" i="75"/>
  <c r="B79" i="75"/>
  <c r="B78" i="75"/>
  <c r="B77" i="75"/>
  <c r="B76" i="75"/>
  <c r="BG75" i="75"/>
  <c r="B75" i="75"/>
  <c r="BG74" i="75"/>
  <c r="B74" i="75"/>
  <c r="BG73" i="75"/>
  <c r="B73" i="75"/>
  <c r="B72" i="75"/>
  <c r="B71" i="75"/>
  <c r="B70" i="75"/>
  <c r="B69" i="75"/>
  <c r="B68" i="75"/>
  <c r="B67" i="75"/>
  <c r="B66" i="75"/>
  <c r="B65" i="75"/>
  <c r="B64" i="75"/>
  <c r="B63" i="75"/>
  <c r="B62" i="75"/>
  <c r="B61" i="75"/>
  <c r="B60" i="75"/>
  <c r="B59" i="75"/>
  <c r="B58" i="75"/>
  <c r="B57" i="75"/>
  <c r="B56" i="75"/>
  <c r="B55" i="75"/>
  <c r="B54" i="75"/>
  <c r="B53" i="75"/>
  <c r="B52" i="75"/>
  <c r="B51" i="75"/>
  <c r="B50" i="75"/>
  <c r="B49" i="75"/>
  <c r="B48" i="75"/>
  <c r="B47" i="75"/>
  <c r="B46" i="75"/>
  <c r="AE45" i="75"/>
  <c r="AE57" i="75" s="1"/>
  <c r="B45" i="75"/>
  <c r="AE44" i="75"/>
  <c r="AE50" i="75" s="1"/>
  <c r="B44" i="75"/>
  <c r="AE43" i="75"/>
  <c r="B43" i="75"/>
  <c r="B42" i="75"/>
  <c r="B41" i="75"/>
  <c r="B40" i="75"/>
  <c r="B39" i="75"/>
  <c r="B38" i="75"/>
  <c r="B37" i="75"/>
  <c r="B36" i="75"/>
  <c r="B35" i="75"/>
  <c r="B34" i="75"/>
  <c r="B33" i="75"/>
  <c r="B32" i="75"/>
  <c r="B31" i="75"/>
  <c r="B30" i="75"/>
  <c r="B29" i="75"/>
  <c r="B28" i="75"/>
  <c r="AE27" i="75"/>
  <c r="AE30" i="75" s="1"/>
  <c r="B27" i="75"/>
  <c r="AE26" i="75"/>
  <c r="B26" i="75"/>
  <c r="AE25" i="75"/>
  <c r="B25" i="75"/>
  <c r="AE24" i="75"/>
  <c r="B24" i="75"/>
  <c r="AE23" i="75"/>
  <c r="B23" i="75"/>
  <c r="AE22" i="75"/>
  <c r="B22" i="75"/>
  <c r="A1" i="75"/>
  <c r="D10" i="6"/>
  <c r="G10" i="6"/>
  <c r="H10" i="6"/>
  <c r="F10" i="6"/>
  <c r="M10" i="6"/>
  <c r="N10" i="6"/>
  <c r="C10" i="6"/>
  <c r="J10" i="6"/>
  <c r="L10" i="6"/>
  <c r="I10" i="6"/>
  <c r="E10" i="6"/>
  <c r="AE61" i="75" l="1"/>
  <c r="AE31" i="75"/>
  <c r="AE46" i="75"/>
  <c r="AE54" i="75"/>
  <c r="AE28" i="75"/>
  <c r="AE42" i="75"/>
  <c r="AE34" i="75"/>
  <c r="AE48" i="75"/>
  <c r="AE52" i="75"/>
  <c r="AE67" i="75"/>
  <c r="AE71" i="75"/>
  <c r="AE74" i="75"/>
  <c r="AE41" i="75"/>
  <c r="AE29" i="75"/>
  <c r="AE32" i="75"/>
  <c r="AE35" i="75"/>
  <c r="AE38" i="75"/>
  <c r="AE39" i="75"/>
  <c r="AE36" i="75"/>
  <c r="AE70" i="75"/>
  <c r="AE73" i="75"/>
  <c r="AE33" i="75"/>
  <c r="AE72" i="75"/>
  <c r="AE75" i="75"/>
  <c r="AE80" i="75"/>
  <c r="AE83" i="75"/>
  <c r="AE77" i="75"/>
  <c r="AE68" i="75"/>
  <c r="AE62" i="75"/>
  <c r="AE53" i="75"/>
  <c r="AE47" i="75"/>
  <c r="AE65" i="75"/>
  <c r="AE40" i="75"/>
  <c r="AE37" i="75"/>
  <c r="AE56" i="75"/>
  <c r="AE59" i="75"/>
  <c r="AE82" i="75"/>
  <c r="AE76" i="75"/>
  <c r="AE79" i="75"/>
  <c r="AE64" i="75"/>
  <c r="AE58" i="75"/>
  <c r="AE84" i="75"/>
  <c r="AE78" i="75"/>
  <c r="AE81" i="75"/>
  <c r="AE66" i="75"/>
  <c r="AE60" i="75"/>
  <c r="AE49" i="75"/>
  <c r="AE51" i="75"/>
  <c r="AE55" i="75"/>
  <c r="AE69" i="75"/>
  <c r="AE63" i="75"/>
  <c r="K10" i="6"/>
  <c r="E57" i="10"/>
  <c r="O56" i="10"/>
  <c r="N47" i="10"/>
  <c r="E48" i="10"/>
  <c r="E38" i="10"/>
  <c r="O37" i="10"/>
  <c r="N28" i="10"/>
  <c r="E29" i="10"/>
  <c r="O18" i="10"/>
  <c r="E19" i="10"/>
  <c r="N9" i="10"/>
  <c r="E10" i="10"/>
  <c r="S24" i="11"/>
  <c r="Q24" i="11" l="1"/>
  <c r="S22" i="11"/>
  <c r="Q22" i="11"/>
  <c r="R3" i="11"/>
  <c r="R23" i="11" l="1"/>
  <c r="W4" i="39"/>
  <c r="AC31" i="11" l="1"/>
  <c r="Z12" i="11"/>
  <c r="AG8" i="4"/>
  <c r="AH8" i="4"/>
  <c r="AI8" i="4"/>
  <c r="AJ8" i="4"/>
  <c r="AK8" i="4"/>
  <c r="AG9" i="4"/>
  <c r="AH9" i="4"/>
  <c r="AI9" i="4"/>
  <c r="AJ9" i="4"/>
  <c r="AK9" i="4"/>
  <c r="AG10" i="4"/>
  <c r="AH10" i="4"/>
  <c r="AI10" i="4"/>
  <c r="AJ10" i="4"/>
  <c r="AK10" i="4"/>
  <c r="AG11" i="4"/>
  <c r="AH11" i="4"/>
  <c r="AI11" i="4"/>
  <c r="AJ11" i="4"/>
  <c r="AK11" i="4"/>
  <c r="AG12" i="4"/>
  <c r="AH12" i="4"/>
  <c r="AI12" i="4"/>
  <c r="AJ12" i="4"/>
  <c r="AK12" i="4"/>
  <c r="AG13" i="4"/>
  <c r="AH13" i="4"/>
  <c r="AI13" i="4"/>
  <c r="AJ13" i="4"/>
  <c r="AK13" i="4"/>
  <c r="AG14" i="4"/>
  <c r="AH14" i="4"/>
  <c r="AI14" i="4"/>
  <c r="AJ14" i="4"/>
  <c r="AK14" i="4"/>
  <c r="AG15" i="4"/>
  <c r="AH15" i="4"/>
  <c r="AI15" i="4"/>
  <c r="AJ15" i="4"/>
  <c r="AK15" i="4"/>
  <c r="AG16" i="4"/>
  <c r="AH16" i="4"/>
  <c r="AI16" i="4"/>
  <c r="AJ16" i="4"/>
  <c r="AK16" i="4"/>
  <c r="AG17" i="4"/>
  <c r="AH17" i="4"/>
  <c r="AI17" i="4"/>
  <c r="AJ17" i="4"/>
  <c r="AK17" i="4"/>
  <c r="AG18" i="4"/>
  <c r="AH18" i="4"/>
  <c r="AI18" i="4"/>
  <c r="AJ18" i="4"/>
  <c r="AK18" i="4"/>
  <c r="AG19" i="4"/>
  <c r="AH19" i="4"/>
  <c r="AI19" i="4"/>
  <c r="AJ19" i="4"/>
  <c r="AK19" i="4"/>
  <c r="AG20" i="4"/>
  <c r="AH20" i="4"/>
  <c r="AI20" i="4"/>
  <c r="AJ20" i="4"/>
  <c r="AK20" i="4"/>
  <c r="AG21" i="4"/>
  <c r="AH21" i="4"/>
  <c r="AI21" i="4"/>
  <c r="AJ21" i="4"/>
  <c r="AK21" i="4"/>
  <c r="AG22" i="4"/>
  <c r="AH22" i="4"/>
  <c r="AI22" i="4"/>
  <c r="AJ22" i="4"/>
  <c r="AK22" i="4"/>
  <c r="AG23" i="4"/>
  <c r="AH23" i="4"/>
  <c r="AI23" i="4"/>
  <c r="AJ23" i="4"/>
  <c r="AK23" i="4"/>
  <c r="AG24" i="4"/>
  <c r="AH24" i="4"/>
  <c r="AI24" i="4"/>
  <c r="AJ24" i="4"/>
  <c r="AK24" i="4"/>
  <c r="AG25" i="4"/>
  <c r="AH25" i="4"/>
  <c r="AI25" i="4"/>
  <c r="AJ25" i="4"/>
  <c r="AK25" i="4"/>
  <c r="AG26" i="4"/>
  <c r="AH26" i="4"/>
  <c r="AI26" i="4"/>
  <c r="AJ26" i="4"/>
  <c r="AK26" i="4"/>
  <c r="AG27" i="4"/>
  <c r="AH27" i="4"/>
  <c r="AI27" i="4"/>
  <c r="AJ27" i="4"/>
  <c r="AK27" i="4"/>
  <c r="AG28" i="4"/>
  <c r="AH28" i="4"/>
  <c r="AI28" i="4"/>
  <c r="AJ28" i="4"/>
  <c r="AK28" i="4"/>
  <c r="AG29" i="4"/>
  <c r="AH29" i="4"/>
  <c r="AI29" i="4"/>
  <c r="AJ29" i="4"/>
  <c r="AK29" i="4"/>
  <c r="AG30" i="4"/>
  <c r="AH30" i="4"/>
  <c r="AI30" i="4"/>
  <c r="AJ30" i="4"/>
  <c r="AK30" i="4"/>
  <c r="AG31" i="4"/>
  <c r="AH31" i="4"/>
  <c r="AI31" i="4"/>
  <c r="AJ31" i="4"/>
  <c r="AK31" i="4"/>
  <c r="AG32" i="4"/>
  <c r="AH32" i="4"/>
  <c r="AI32" i="4"/>
  <c r="AJ32" i="4"/>
  <c r="AK32" i="4"/>
  <c r="AG33" i="4"/>
  <c r="AH33" i="4"/>
  <c r="AI33" i="4"/>
  <c r="AJ33" i="4"/>
  <c r="AK33" i="4"/>
  <c r="AG34" i="4"/>
  <c r="AH34" i="4"/>
  <c r="AI34" i="4"/>
  <c r="AJ34" i="4"/>
  <c r="AK34" i="4"/>
  <c r="AG35" i="4"/>
  <c r="AH35" i="4"/>
  <c r="AI35" i="4"/>
  <c r="AJ35" i="4"/>
  <c r="AK35" i="4"/>
  <c r="AG36" i="4"/>
  <c r="AH36" i="4"/>
  <c r="AI36" i="4"/>
  <c r="AJ36" i="4"/>
  <c r="AK36" i="4"/>
  <c r="AG37" i="4"/>
  <c r="AH37" i="4"/>
  <c r="AI37" i="4"/>
  <c r="AJ37" i="4"/>
  <c r="AK37" i="4"/>
  <c r="AG38" i="4"/>
  <c r="AH38" i="4"/>
  <c r="AI38" i="4"/>
  <c r="AJ38" i="4"/>
  <c r="AK38" i="4"/>
  <c r="AG39" i="4"/>
  <c r="AH39" i="4"/>
  <c r="AI39" i="4"/>
  <c r="AJ39" i="4"/>
  <c r="AK39" i="4"/>
  <c r="AG40" i="4"/>
  <c r="AH40" i="4"/>
  <c r="AI40" i="4"/>
  <c r="AJ40" i="4"/>
  <c r="AK40" i="4"/>
  <c r="AG41" i="4"/>
  <c r="AH41" i="4"/>
  <c r="AI41" i="4"/>
  <c r="AJ41" i="4"/>
  <c r="AK41" i="4"/>
  <c r="AG42" i="4"/>
  <c r="AH42" i="4"/>
  <c r="AI42" i="4"/>
  <c r="AJ42" i="4"/>
  <c r="AK42" i="4"/>
  <c r="AG43" i="4"/>
  <c r="AH43" i="4"/>
  <c r="AI43" i="4"/>
  <c r="AJ43" i="4"/>
  <c r="AK43" i="4"/>
  <c r="AG44" i="4"/>
  <c r="AH44" i="4"/>
  <c r="AI44" i="4"/>
  <c r="AJ44" i="4"/>
  <c r="AK44" i="4"/>
  <c r="AG45" i="4"/>
  <c r="AH45" i="4"/>
  <c r="AI45" i="4"/>
  <c r="AJ45" i="4"/>
  <c r="AK45" i="4"/>
  <c r="AG46" i="4"/>
  <c r="AH46" i="4"/>
  <c r="AI46" i="4"/>
  <c r="AJ46" i="4"/>
  <c r="AK46" i="4"/>
  <c r="AG47" i="4"/>
  <c r="AH47" i="4"/>
  <c r="AI47" i="4"/>
  <c r="AJ47" i="4"/>
  <c r="AK47" i="4"/>
  <c r="AG48" i="4"/>
  <c r="AH48" i="4"/>
  <c r="AI48" i="4"/>
  <c r="AJ48" i="4"/>
  <c r="AK48" i="4"/>
  <c r="AG49" i="4"/>
  <c r="AH49" i="4"/>
  <c r="AI49" i="4"/>
  <c r="AJ49" i="4"/>
  <c r="AK49" i="4"/>
  <c r="AG50" i="4"/>
  <c r="AH50" i="4"/>
  <c r="AI50" i="4"/>
  <c r="AJ50" i="4"/>
  <c r="AK50" i="4"/>
  <c r="AG51" i="4"/>
  <c r="AH51" i="4"/>
  <c r="AI51" i="4"/>
  <c r="AJ51" i="4"/>
  <c r="AK51" i="4"/>
  <c r="AG52" i="4"/>
  <c r="AH52" i="4"/>
  <c r="AI52" i="4"/>
  <c r="AJ52" i="4"/>
  <c r="AK52" i="4"/>
  <c r="AG53" i="4"/>
  <c r="AH53" i="4"/>
  <c r="AI53" i="4"/>
  <c r="AJ53" i="4"/>
  <c r="AK53" i="4"/>
  <c r="AG54" i="4"/>
  <c r="AH54" i="4"/>
  <c r="AI54" i="4"/>
  <c r="AJ54" i="4"/>
  <c r="AK54" i="4"/>
  <c r="AG55" i="4"/>
  <c r="AH55" i="4"/>
  <c r="AI55" i="4"/>
  <c r="AJ55" i="4"/>
  <c r="AK55" i="4"/>
  <c r="AG56" i="4"/>
  <c r="AH56" i="4"/>
  <c r="AI56" i="4"/>
  <c r="AJ56" i="4"/>
  <c r="AK56" i="4"/>
  <c r="AG57" i="4"/>
  <c r="AH57" i="4"/>
  <c r="AI57" i="4"/>
  <c r="AJ57" i="4"/>
  <c r="AK57" i="4"/>
  <c r="AG58" i="4"/>
  <c r="AH58" i="4"/>
  <c r="AI58" i="4"/>
  <c r="AJ58" i="4"/>
  <c r="AK58" i="4"/>
  <c r="AG59" i="4"/>
  <c r="AH59" i="4"/>
  <c r="AI59" i="4"/>
  <c r="AJ59" i="4"/>
  <c r="AK59" i="4"/>
  <c r="AG60" i="4"/>
  <c r="AH60" i="4"/>
  <c r="AI60" i="4"/>
  <c r="AJ60" i="4"/>
  <c r="AK60" i="4"/>
  <c r="AG61" i="4"/>
  <c r="AH61" i="4"/>
  <c r="AI61" i="4"/>
  <c r="AJ61" i="4"/>
  <c r="AK61" i="4"/>
  <c r="AG62" i="4"/>
  <c r="AH62" i="4"/>
  <c r="AI62" i="4"/>
  <c r="AJ62" i="4"/>
  <c r="AK62" i="4"/>
  <c r="AG63" i="4"/>
  <c r="AH63" i="4"/>
  <c r="AI63" i="4"/>
  <c r="AJ63" i="4"/>
  <c r="AK63" i="4"/>
  <c r="Q3" i="9"/>
  <c r="E16" i="11" l="1"/>
  <c r="I62" i="6" s="1"/>
  <c r="G31" i="13" l="1"/>
  <c r="G30" i="13"/>
  <c r="G29" i="13"/>
  <c r="A4" i="13" l="1"/>
  <c r="A4" i="11"/>
  <c r="B4" i="10"/>
  <c r="B4" i="9"/>
  <c r="A4" i="6"/>
  <c r="A4" i="4"/>
  <c r="A5" i="71"/>
  <c r="A5" i="2"/>
  <c r="C17" i="13" l="1"/>
  <c r="C16" i="13"/>
  <c r="A5" i="75" l="1"/>
  <c r="A6" i="75"/>
  <c r="A4" i="75"/>
  <c r="A12" i="75"/>
  <c r="A10" i="75"/>
  <c r="A13" i="75"/>
  <c r="A8" i="75"/>
  <c r="A14" i="75"/>
  <c r="A9" i="75"/>
  <c r="K12" i="13" l="1"/>
  <c r="H12" i="13" l="1"/>
  <c r="AR53" i="75"/>
  <c r="AR79" i="75"/>
  <c r="AR54" i="75"/>
  <c r="AR25" i="75"/>
  <c r="AR52" i="75"/>
  <c r="AR80" i="75"/>
  <c r="AR55" i="75"/>
  <c r="AR81" i="75"/>
  <c r="AR56" i="75"/>
  <c r="AR45" i="75"/>
  <c r="AR44" i="75"/>
  <c r="AR43" i="75"/>
  <c r="AR26" i="75"/>
  <c r="AR57" i="75"/>
  <c r="AR27" i="75"/>
  <c r="K15" i="13"/>
  <c r="AQ52" i="75" l="1"/>
  <c r="AQ26" i="75"/>
  <c r="AQ53" i="75"/>
  <c r="AQ45" i="75"/>
  <c r="AQ79" i="75"/>
  <c r="AQ54" i="75"/>
  <c r="AQ25" i="75"/>
  <c r="AQ56" i="75"/>
  <c r="AQ43" i="75"/>
  <c r="AQ80" i="75"/>
  <c r="AQ55" i="75"/>
  <c r="AQ44" i="75"/>
  <c r="AQ57" i="75"/>
  <c r="AQ81" i="75"/>
  <c r="AQ27" i="75"/>
  <c r="H15" i="13"/>
  <c r="BC50" i="75" s="1"/>
  <c r="Z14" i="25" s="1"/>
  <c r="BD45" i="75"/>
  <c r="BD44" i="75"/>
  <c r="BD43" i="75"/>
  <c r="BD48" i="75"/>
  <c r="BD28" i="75"/>
  <c r="BD50" i="75"/>
  <c r="AA14" i="25" s="1"/>
  <c r="BD46" i="75"/>
  <c r="BD77" i="75"/>
  <c r="BD51" i="75"/>
  <c r="AA15" i="25" s="1"/>
  <c r="BD47" i="75"/>
  <c r="BD29" i="75"/>
  <c r="BD49" i="75"/>
  <c r="AA13" i="25" s="1"/>
  <c r="BD78" i="75"/>
  <c r="BD30" i="75"/>
  <c r="BD76" i="75"/>
  <c r="U15" i="39"/>
  <c r="T15" i="39"/>
  <c r="S15" i="39"/>
  <c r="R15" i="39"/>
  <c r="P15" i="39"/>
  <c r="O15" i="39"/>
  <c r="N15" i="39"/>
  <c r="M15" i="39"/>
  <c r="K15" i="39"/>
  <c r="J15" i="39"/>
  <c r="I15" i="39"/>
  <c r="H15" i="39"/>
  <c r="F15" i="39"/>
  <c r="E15" i="39"/>
  <c r="D15" i="39"/>
  <c r="C15" i="39"/>
  <c r="BC51" i="75" l="1"/>
  <c r="Z15" i="25" s="1"/>
  <c r="BC78" i="75"/>
  <c r="BC29" i="75"/>
  <c r="BC28" i="75"/>
  <c r="BC46" i="75"/>
  <c r="BC77" i="75"/>
  <c r="BC47" i="75"/>
  <c r="BC45" i="75"/>
  <c r="BC43" i="75"/>
  <c r="BC48" i="75"/>
  <c r="BC30" i="75"/>
  <c r="BC76" i="75"/>
  <c r="BC49" i="75"/>
  <c r="Z13" i="25" s="1"/>
  <c r="BC44" i="75"/>
  <c r="F10" i="13"/>
  <c r="AM83" i="75" l="1"/>
  <c r="AM72" i="75"/>
  <c r="AM76" i="75"/>
  <c r="AM84" i="75"/>
  <c r="AM71" i="75"/>
  <c r="AM82" i="75"/>
  <c r="AM77" i="75"/>
  <c r="AM70" i="75"/>
  <c r="AM78" i="75"/>
  <c r="F13" i="13"/>
  <c r="F11" i="13"/>
  <c r="F12" i="13" l="1"/>
  <c r="AU76" i="75"/>
  <c r="AU70" i="75"/>
  <c r="AU84" i="75"/>
  <c r="AU71" i="75"/>
  <c r="AU77" i="75"/>
  <c r="AU82" i="75"/>
  <c r="AU72" i="75"/>
  <c r="AU78" i="75"/>
  <c r="AU83" i="75"/>
  <c r="AY81" i="75"/>
  <c r="AY74" i="75"/>
  <c r="AY84" i="75"/>
  <c r="AY82" i="75"/>
  <c r="AY75" i="75"/>
  <c r="AY73" i="75"/>
  <c r="AY83" i="75"/>
  <c r="AY79" i="75"/>
  <c r="AY80" i="75"/>
  <c r="O7" i="2"/>
  <c r="AU80" i="75" l="1"/>
  <c r="AQ68" i="75"/>
  <c r="AQ64" i="75"/>
  <c r="AQ60" i="75"/>
  <c r="AU55" i="75"/>
  <c r="AQ49" i="75"/>
  <c r="K13" i="25" s="1"/>
  <c r="AQ42" i="75"/>
  <c r="AQ40" i="75"/>
  <c r="AQ38" i="75"/>
  <c r="AQ30" i="75"/>
  <c r="AQ28" i="75"/>
  <c r="AQ23" i="75"/>
  <c r="AQ37" i="75"/>
  <c r="AU81" i="75"/>
  <c r="AQ74" i="75"/>
  <c r="AU56" i="75"/>
  <c r="AU45" i="75"/>
  <c r="AU44" i="75"/>
  <c r="AU43" i="75"/>
  <c r="AU26" i="75"/>
  <c r="AQ51" i="75"/>
  <c r="K15" i="25" s="1"/>
  <c r="AQ41" i="75"/>
  <c r="AQ75" i="75"/>
  <c r="AQ24" i="75"/>
  <c r="AQ69" i="75"/>
  <c r="AQ65" i="75"/>
  <c r="AQ61" i="75"/>
  <c r="AU57" i="75"/>
  <c r="AQ50" i="75"/>
  <c r="K14" i="25" s="1"/>
  <c r="AQ46" i="75"/>
  <c r="AQ35" i="75"/>
  <c r="AQ33" i="75"/>
  <c r="AQ31" i="75"/>
  <c r="AU25" i="75"/>
  <c r="AU27" i="75"/>
  <c r="AQ22" i="75"/>
  <c r="AQ29" i="75"/>
  <c r="AQ73" i="75"/>
  <c r="AU52" i="75"/>
  <c r="AU54" i="75"/>
  <c r="AQ66" i="75"/>
  <c r="AQ62" i="75"/>
  <c r="AQ58" i="75"/>
  <c r="AQ47" i="75"/>
  <c r="AQ39" i="75"/>
  <c r="AQ67" i="75"/>
  <c r="AQ63" i="75"/>
  <c r="AQ59" i="75"/>
  <c r="AU53" i="75"/>
  <c r="AQ48" i="75"/>
  <c r="AQ36" i="75"/>
  <c r="AQ34" i="75"/>
  <c r="AQ32" i="75"/>
  <c r="AU79" i="75"/>
  <c r="F62" i="2"/>
  <c r="O7" i="71"/>
  <c r="I58" i="2" l="1"/>
  <c r="M62" i="71" l="1"/>
  <c r="I62" i="71"/>
  <c r="F62" i="71"/>
  <c r="A62" i="71"/>
  <c r="I59" i="71"/>
  <c r="I60" i="71"/>
  <c r="I61" i="71"/>
  <c r="I58" i="71"/>
  <c r="A59" i="71"/>
  <c r="A60" i="71"/>
  <c r="A61" i="71"/>
  <c r="A58" i="71"/>
  <c r="H2" i="71"/>
  <c r="I1" i="71"/>
  <c r="G1" i="71"/>
  <c r="K21" i="6" l="1"/>
  <c r="H41" i="6" l="1"/>
  <c r="K41" i="6"/>
  <c r="E41" i="6"/>
  <c r="N41" i="6"/>
  <c r="L41" i="6"/>
  <c r="C41" i="6"/>
  <c r="F41" i="6"/>
  <c r="I41" i="6"/>
  <c r="D10" i="39" l="1"/>
  <c r="D64" i="4" l="1"/>
  <c r="E64" i="4"/>
  <c r="F64" i="4"/>
  <c r="G64" i="4"/>
  <c r="H64" i="4"/>
  <c r="I64" i="4"/>
  <c r="J64" i="4"/>
  <c r="K64" i="4"/>
  <c r="L64" i="4"/>
  <c r="M64" i="4"/>
  <c r="N64" i="4"/>
  <c r="C64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O11" i="4"/>
  <c r="AM11" i="4" s="1"/>
  <c r="O10" i="4"/>
  <c r="AM10" i="4" s="1"/>
  <c r="O9" i="4"/>
  <c r="AM9" i="4" s="1"/>
  <c r="O8" i="4"/>
  <c r="AM8" i="4" s="1"/>
  <c r="J58" i="10"/>
  <c r="D52" i="10"/>
  <c r="P52" i="10"/>
  <c r="J46" i="10"/>
  <c r="D33" i="10"/>
  <c r="J39" i="10"/>
  <c r="P33" i="10"/>
  <c r="J27" i="10"/>
  <c r="J20" i="10"/>
  <c r="D14" i="10"/>
  <c r="P14" i="10"/>
  <c r="J8" i="10"/>
  <c r="P15" i="9"/>
  <c r="J21" i="9"/>
  <c r="D15" i="9"/>
  <c r="J9" i="9"/>
  <c r="P11" i="4" l="1"/>
  <c r="F67" i="25"/>
  <c r="F66" i="25"/>
  <c r="F65" i="25"/>
  <c r="F68" i="25" s="1"/>
  <c r="AG63" i="25"/>
  <c r="F62" i="25"/>
  <c r="AG61" i="25"/>
  <c r="F61" i="25"/>
  <c r="AG59" i="25"/>
  <c r="AG57" i="25"/>
  <c r="F56" i="25"/>
  <c r="F55" i="25"/>
  <c r="F54" i="25"/>
  <c r="F53" i="25" s="1"/>
  <c r="C52" i="25"/>
  <c r="F49" i="25"/>
  <c r="F50" i="25" s="1"/>
  <c r="F48" i="25"/>
  <c r="F51" i="25" s="1"/>
  <c r="F45" i="25"/>
  <c r="F44" i="25"/>
  <c r="F39" i="25"/>
  <c r="F38" i="25"/>
  <c r="AG37" i="25"/>
  <c r="F37" i="25"/>
  <c r="F36" i="25" s="1"/>
  <c r="AG35" i="25"/>
  <c r="C35" i="25"/>
  <c r="AG33" i="25"/>
  <c r="F32" i="25"/>
  <c r="F33" i="25" s="1"/>
  <c r="AG31" i="25"/>
  <c r="F31" i="25"/>
  <c r="F34" i="25" s="1"/>
  <c r="F28" i="25"/>
  <c r="F27" i="25"/>
  <c r="F22" i="25"/>
  <c r="F21" i="25"/>
  <c r="F20" i="25"/>
  <c r="F19" i="25" s="1"/>
  <c r="C18" i="25"/>
  <c r="AK16" i="25"/>
  <c r="A15" i="25"/>
  <c r="AG6" i="25" s="1"/>
  <c r="A14" i="25"/>
  <c r="AG5" i="25" s="1"/>
  <c r="A13" i="25"/>
  <c r="AG4" i="25" s="1"/>
  <c r="M2" i="25"/>
  <c r="O1" i="25"/>
  <c r="K1" i="25"/>
  <c r="B43" i="39"/>
  <c r="B42" i="39"/>
  <c r="B41" i="39"/>
  <c r="B36" i="39"/>
  <c r="B35" i="39"/>
  <c r="B34" i="39"/>
  <c r="B29" i="39"/>
  <c r="B28" i="39"/>
  <c r="B27" i="39"/>
  <c r="B22" i="39"/>
  <c r="B21" i="39"/>
  <c r="B20" i="39"/>
  <c r="R11" i="39"/>
  <c r="M11" i="39"/>
  <c r="H11" i="39"/>
  <c r="C11" i="39"/>
  <c r="B11" i="39"/>
  <c r="R10" i="39"/>
  <c r="M10" i="39"/>
  <c r="H10" i="39"/>
  <c r="C10" i="39"/>
  <c r="B10" i="39"/>
  <c r="R9" i="39"/>
  <c r="M9" i="39"/>
  <c r="H9" i="39"/>
  <c r="C9" i="39"/>
  <c r="B9" i="39"/>
  <c r="I4" i="39"/>
  <c r="L2" i="39"/>
  <c r="M1" i="39"/>
  <c r="K1" i="39"/>
  <c r="F61" i="13"/>
  <c r="G14" i="13"/>
  <c r="D14" i="13"/>
  <c r="E15" i="13"/>
  <c r="G13" i="13"/>
  <c r="D13" i="13"/>
  <c r="G11" i="13"/>
  <c r="D11" i="13"/>
  <c r="E12" i="13"/>
  <c r="G10" i="13"/>
  <c r="D10" i="13"/>
  <c r="B25" i="13"/>
  <c r="B24" i="13"/>
  <c r="B23" i="13"/>
  <c r="B31" i="13"/>
  <c r="B30" i="13"/>
  <c r="B29" i="13"/>
  <c r="C29" i="13" s="1"/>
  <c r="G2" i="13"/>
  <c r="H1" i="13"/>
  <c r="F1" i="13"/>
  <c r="J34" i="11"/>
  <c r="AF31" i="11"/>
  <c r="Y30" i="11"/>
  <c r="P30" i="11"/>
  <c r="N30" i="11"/>
  <c r="K30" i="11"/>
  <c r="Y28" i="11"/>
  <c r="Y25" i="11"/>
  <c r="K21" i="11"/>
  <c r="K18" i="11"/>
  <c r="Y16" i="11"/>
  <c r="V16" i="11"/>
  <c r="T16" i="11"/>
  <c r="K16" i="11"/>
  <c r="G15" i="11"/>
  <c r="J21" i="11" s="1"/>
  <c r="R2" i="11"/>
  <c r="S1" i="11"/>
  <c r="Q1" i="11"/>
  <c r="R52" i="10"/>
  <c r="B45" i="10"/>
  <c r="R33" i="10"/>
  <c r="B26" i="10"/>
  <c r="B7" i="10"/>
  <c r="Q3" i="10"/>
  <c r="J2" i="10"/>
  <c r="K1" i="10"/>
  <c r="I1" i="10"/>
  <c r="J2" i="9"/>
  <c r="K1" i="9"/>
  <c r="I1" i="9"/>
  <c r="A50" i="6"/>
  <c r="A49" i="6"/>
  <c r="A48" i="6"/>
  <c r="A42" i="6"/>
  <c r="A41" i="6"/>
  <c r="A40" i="6"/>
  <c r="A35" i="6"/>
  <c r="A34" i="6"/>
  <c r="A33" i="6"/>
  <c r="A18" i="6"/>
  <c r="A17" i="6"/>
  <c r="A16" i="6"/>
  <c r="A28" i="6"/>
  <c r="A27" i="6"/>
  <c r="A26" i="6"/>
  <c r="A7" i="6"/>
  <c r="G2" i="6"/>
  <c r="H1" i="6"/>
  <c r="F1" i="6"/>
  <c r="BB63" i="4"/>
  <c r="BA63" i="4"/>
  <c r="AZ63" i="4"/>
  <c r="AY63" i="4"/>
  <c r="AX63" i="4"/>
  <c r="AW63" i="4"/>
  <c r="AV63" i="4"/>
  <c r="AU63" i="4"/>
  <c r="AT63" i="4"/>
  <c r="AS63" i="4"/>
  <c r="AR63" i="4"/>
  <c r="AQ63" i="4"/>
  <c r="O63" i="4"/>
  <c r="AM63" i="4" s="1"/>
  <c r="BB62" i="4"/>
  <c r="BA62" i="4"/>
  <c r="AZ62" i="4"/>
  <c r="AY62" i="4"/>
  <c r="AX62" i="4"/>
  <c r="AW62" i="4"/>
  <c r="AV62" i="4"/>
  <c r="AU62" i="4"/>
  <c r="AT62" i="4"/>
  <c r="AS62" i="4"/>
  <c r="AR62" i="4"/>
  <c r="AQ62" i="4"/>
  <c r="O62" i="4"/>
  <c r="AM62" i="4" s="1"/>
  <c r="BB61" i="4"/>
  <c r="BA61" i="4"/>
  <c r="AZ61" i="4"/>
  <c r="AY61" i="4"/>
  <c r="AX61" i="4"/>
  <c r="AW61" i="4"/>
  <c r="AV61" i="4"/>
  <c r="AU61" i="4"/>
  <c r="AT61" i="4"/>
  <c r="AS61" i="4"/>
  <c r="AR61" i="4"/>
  <c r="AQ61" i="4"/>
  <c r="O61" i="4"/>
  <c r="AM61" i="4" s="1"/>
  <c r="BB60" i="4"/>
  <c r="BA60" i="4"/>
  <c r="AZ60" i="4"/>
  <c r="AY60" i="4"/>
  <c r="AX60" i="4"/>
  <c r="AW60" i="4"/>
  <c r="AV60" i="4"/>
  <c r="AU60" i="4"/>
  <c r="AT60" i="4"/>
  <c r="AS60" i="4"/>
  <c r="AR60" i="4"/>
  <c r="AQ60" i="4"/>
  <c r="O60" i="4"/>
  <c r="AM60" i="4" s="1"/>
  <c r="BB59" i="4"/>
  <c r="BA59" i="4"/>
  <c r="AZ59" i="4"/>
  <c r="AY59" i="4"/>
  <c r="AX59" i="4"/>
  <c r="AW59" i="4"/>
  <c r="AV59" i="4"/>
  <c r="AU59" i="4"/>
  <c r="AT59" i="4"/>
  <c r="AS59" i="4"/>
  <c r="AR59" i="4"/>
  <c r="AQ59" i="4"/>
  <c r="O59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O58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O57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O56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O55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O54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O53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O52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O51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O50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O49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O48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O47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O46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O45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O44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O43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O42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O41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O40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O39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O38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O37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O36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O35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O34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O33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O32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O31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O30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O29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O28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O27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O26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O25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O24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O23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O22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O21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O20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O19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O18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O17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O16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O15" i="4"/>
  <c r="O14" i="4"/>
  <c r="O13" i="4"/>
  <c r="O12" i="4"/>
  <c r="N7" i="4"/>
  <c r="M7" i="4"/>
  <c r="L7" i="4"/>
  <c r="K7" i="4"/>
  <c r="J7" i="4"/>
  <c r="I7" i="4"/>
  <c r="H7" i="4"/>
  <c r="G7" i="4"/>
  <c r="F7" i="4"/>
  <c r="E7" i="4"/>
  <c r="D7" i="4"/>
  <c r="C7" i="4"/>
  <c r="P3" i="4"/>
  <c r="O3" i="4"/>
  <c r="H2" i="4"/>
  <c r="I1" i="4"/>
  <c r="G1" i="4"/>
  <c r="B47" i="2"/>
  <c r="AI19" i="11"/>
  <c r="A7" i="2"/>
  <c r="B6" i="2"/>
  <c r="H2" i="2"/>
  <c r="I1" i="2"/>
  <c r="G1" i="2"/>
  <c r="H52" i="1"/>
  <c r="AM67" i="75" l="1"/>
  <c r="AM36" i="75"/>
  <c r="AM68" i="75"/>
  <c r="AM64" i="75"/>
  <c r="AM49" i="75"/>
  <c r="F13" i="25" s="1"/>
  <c r="AM51" i="75"/>
  <c r="F15" i="25" s="1"/>
  <c r="G54" i="25" s="1"/>
  <c r="G53" i="25" s="1"/>
  <c r="AM34" i="75"/>
  <c r="AM69" i="75"/>
  <c r="AM65" i="75"/>
  <c r="AM50" i="75"/>
  <c r="F14" i="25" s="1"/>
  <c r="AM35" i="75"/>
  <c r="AM66" i="75"/>
  <c r="AW65" i="75"/>
  <c r="AW59" i="75"/>
  <c r="AW66" i="75"/>
  <c r="AW58" i="75"/>
  <c r="AW39" i="75"/>
  <c r="AW37" i="75"/>
  <c r="AW64" i="75"/>
  <c r="AW52" i="75"/>
  <c r="AW53" i="75"/>
  <c r="AW60" i="75"/>
  <c r="AW38" i="75"/>
  <c r="AW54" i="75"/>
  <c r="AY65" i="75"/>
  <c r="AY53" i="75"/>
  <c r="AY54" i="75"/>
  <c r="AY66" i="75"/>
  <c r="AY58" i="75"/>
  <c r="AY39" i="75"/>
  <c r="AY37" i="75"/>
  <c r="AY52" i="75"/>
  <c r="AY59" i="75"/>
  <c r="AY64" i="75"/>
  <c r="AY60" i="75"/>
  <c r="AY38" i="75"/>
  <c r="BE50" i="75"/>
  <c r="BE46" i="75"/>
  <c r="BE43" i="75"/>
  <c r="BE77" i="75"/>
  <c r="BE48" i="75"/>
  <c r="BE51" i="75"/>
  <c r="BE47" i="75"/>
  <c r="BE29" i="75"/>
  <c r="BE45" i="75"/>
  <c r="BE78" i="75"/>
  <c r="BE44" i="75"/>
  <c r="BE76" i="75"/>
  <c r="BE49" i="75"/>
  <c r="BE30" i="75"/>
  <c r="BE28" i="75"/>
  <c r="AK63" i="75"/>
  <c r="AK59" i="75"/>
  <c r="AK48" i="75"/>
  <c r="AK32" i="75"/>
  <c r="AK46" i="75"/>
  <c r="AK33" i="75"/>
  <c r="AK60" i="75"/>
  <c r="AK31" i="75"/>
  <c r="AK61" i="75"/>
  <c r="AK62" i="75"/>
  <c r="AK58" i="75"/>
  <c r="AK47" i="75"/>
  <c r="AW56" i="75"/>
  <c r="AW69" i="75"/>
  <c r="AW61" i="75"/>
  <c r="AW57" i="75"/>
  <c r="AW67" i="75"/>
  <c r="AW63" i="75"/>
  <c r="AW68" i="75"/>
  <c r="AW42" i="75"/>
  <c r="AW62" i="75"/>
  <c r="AW41" i="75"/>
  <c r="AW40" i="75"/>
  <c r="AW55" i="75"/>
  <c r="AM48" i="75"/>
  <c r="AM60" i="75"/>
  <c r="AM47" i="75"/>
  <c r="AM63" i="75"/>
  <c r="AM61" i="75"/>
  <c r="AM46" i="75"/>
  <c r="AM33" i="75"/>
  <c r="AM31" i="75"/>
  <c r="AM62" i="75"/>
  <c r="AM59" i="75"/>
  <c r="AM32" i="75"/>
  <c r="AM58" i="75"/>
  <c r="AY69" i="75"/>
  <c r="AY61" i="75"/>
  <c r="AY57" i="75"/>
  <c r="AY56" i="75"/>
  <c r="AY62" i="75"/>
  <c r="AY41" i="75"/>
  <c r="AY67" i="75"/>
  <c r="AY63" i="75"/>
  <c r="AY68" i="75"/>
  <c r="AY55" i="75"/>
  <c r="AY42" i="75"/>
  <c r="AY40" i="75"/>
  <c r="AS79" i="75"/>
  <c r="AS54" i="75"/>
  <c r="AS25" i="75"/>
  <c r="AS80" i="75"/>
  <c r="AS55" i="75"/>
  <c r="AS27" i="75"/>
  <c r="AS81" i="75"/>
  <c r="AS56" i="75"/>
  <c r="AS45" i="75"/>
  <c r="AS44" i="75"/>
  <c r="AS43" i="75"/>
  <c r="AS26" i="75"/>
  <c r="AS57" i="75"/>
  <c r="AS53" i="75"/>
  <c r="AS52" i="75"/>
  <c r="AK67" i="75"/>
  <c r="AK36" i="75"/>
  <c r="AK34" i="75"/>
  <c r="AK68" i="75"/>
  <c r="AK64" i="75"/>
  <c r="AK49" i="75"/>
  <c r="AK35" i="75"/>
  <c r="AK69" i="75"/>
  <c r="AK65" i="75"/>
  <c r="AK50" i="75"/>
  <c r="AK66" i="75"/>
  <c r="AK51" i="75"/>
  <c r="W15" i="11"/>
  <c r="C31" i="13"/>
  <c r="B18" i="25"/>
  <c r="A21" i="25" s="1"/>
  <c r="C30" i="13"/>
  <c r="Q2" i="9"/>
  <c r="Q2" i="10"/>
  <c r="J38" i="11"/>
  <c r="J69" i="4"/>
  <c r="F69" i="4"/>
  <c r="L69" i="4"/>
  <c r="L68" i="4" s="1"/>
  <c r="A38" i="6"/>
  <c r="Q4" i="9" s="1"/>
  <c r="R40" i="11"/>
  <c r="B47" i="71"/>
  <c r="B13" i="9"/>
  <c r="A7" i="71"/>
  <c r="B6" i="71"/>
  <c r="J15" i="10"/>
  <c r="J6" i="10"/>
  <c r="J25" i="10" s="1"/>
  <c r="J44" i="10" s="1"/>
  <c r="AD5" i="4"/>
  <c r="U7" i="4"/>
  <c r="R13" i="9"/>
  <c r="J53" i="10"/>
  <c r="P54" i="4"/>
  <c r="P58" i="4"/>
  <c r="P62" i="4"/>
  <c r="P12" i="4"/>
  <c r="B64" i="4"/>
  <c r="O65" i="4"/>
  <c r="P13" i="4"/>
  <c r="P14" i="4"/>
  <c r="O19" i="9"/>
  <c r="O66" i="4"/>
  <c r="P55" i="4"/>
  <c r="P59" i="4"/>
  <c r="P63" i="4"/>
  <c r="O64" i="4"/>
  <c r="E11" i="9"/>
  <c r="J7" i="9"/>
  <c r="J23" i="9"/>
  <c r="B12" i="10"/>
  <c r="B31" i="10" s="1"/>
  <c r="B50" i="10" s="1"/>
  <c r="R14" i="10"/>
  <c r="A52" i="25"/>
  <c r="G37" i="25"/>
  <c r="G36" i="25" s="1"/>
  <c r="G20" i="25"/>
  <c r="G19" i="25" s="1"/>
  <c r="AB1" i="4"/>
  <c r="S3" i="4"/>
  <c r="R12" i="10"/>
  <c r="R31" i="10" s="1"/>
  <c r="R50" i="10" s="1"/>
  <c r="J22" i="10"/>
  <c r="J41" i="10" s="1"/>
  <c r="J60" i="10" s="1"/>
  <c r="R6" i="11"/>
  <c r="A19" i="11"/>
  <c r="A35" i="25"/>
  <c r="P61" i="4"/>
  <c r="R15" i="9"/>
  <c r="Z29" i="11"/>
  <c r="A18" i="25"/>
  <c r="E20" i="9"/>
  <c r="O10" i="9"/>
  <c r="P56" i="4"/>
  <c r="P60" i="4"/>
  <c r="P17" i="4"/>
  <c r="Z26" i="11"/>
  <c r="AG31" i="11"/>
  <c r="Z24" i="11"/>
  <c r="Z27" i="11"/>
  <c r="Z30" i="11"/>
  <c r="AD31" i="11"/>
  <c r="AH31" i="11"/>
  <c r="AA31" i="11"/>
  <c r="AE31" i="11"/>
  <c r="Z25" i="11"/>
  <c r="Z28" i="11"/>
  <c r="AB31" i="11"/>
  <c r="C15" i="11"/>
  <c r="E15" i="11"/>
  <c r="J17" i="11"/>
  <c r="J19" i="11"/>
  <c r="D15" i="11"/>
  <c r="H15" i="11"/>
  <c r="J18" i="11"/>
  <c r="J20" i="11"/>
  <c r="J22" i="11"/>
  <c r="I15" i="11"/>
  <c r="B15" i="11"/>
  <c r="F15" i="11"/>
  <c r="J16" i="11"/>
  <c r="L31" i="11"/>
  <c r="P31" i="11"/>
  <c r="M31" i="11"/>
  <c r="Q31" i="11"/>
  <c r="J35" i="11"/>
  <c r="J39" i="11"/>
  <c r="N31" i="11"/>
  <c r="J32" i="11"/>
  <c r="J36" i="11"/>
  <c r="K31" i="11"/>
  <c r="O31" i="11"/>
  <c r="J33" i="11"/>
  <c r="J37" i="11"/>
  <c r="Z8" i="11"/>
  <c r="T15" i="11"/>
  <c r="X15" i="11"/>
  <c r="Z9" i="11"/>
  <c r="Z13" i="11"/>
  <c r="U15" i="11"/>
  <c r="Y15" i="11"/>
  <c r="Z10" i="11"/>
  <c r="Z14" i="11"/>
  <c r="V15" i="11"/>
  <c r="Z7" i="11"/>
  <c r="Z11" i="11"/>
  <c r="S15" i="11"/>
  <c r="F15" i="13"/>
  <c r="J34" i="10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16" i="4"/>
  <c r="P57" i="4"/>
  <c r="P15" i="4"/>
  <c r="A27" i="25" l="1"/>
  <c r="A32" i="25"/>
  <c r="A23" i="25"/>
  <c r="A31" i="25"/>
  <c r="A19" i="25"/>
  <c r="BC68" i="75"/>
  <c r="BC60" i="75"/>
  <c r="BG44" i="75"/>
  <c r="BC41" i="75"/>
  <c r="BC33" i="75"/>
  <c r="BC25" i="75"/>
  <c r="BC71" i="75"/>
  <c r="BC69" i="75"/>
  <c r="BC61" i="75"/>
  <c r="BC36" i="75"/>
  <c r="BC26" i="75"/>
  <c r="BG76" i="75"/>
  <c r="BC62" i="75"/>
  <c r="BG43" i="75"/>
  <c r="BC39" i="75"/>
  <c r="BC31" i="75"/>
  <c r="BC27" i="75"/>
  <c r="BC55" i="75"/>
  <c r="BG50" i="75"/>
  <c r="AE14" i="25" s="1"/>
  <c r="BG48" i="75"/>
  <c r="BG46" i="75"/>
  <c r="BG29" i="75"/>
  <c r="BC38" i="75"/>
  <c r="BG30" i="75"/>
  <c r="BC22" i="75"/>
  <c r="BG77" i="75"/>
  <c r="BC63" i="75"/>
  <c r="BC42" i="75"/>
  <c r="BC34" i="75"/>
  <c r="BG28" i="75"/>
  <c r="BC23" i="75"/>
  <c r="BC72" i="75"/>
  <c r="BC70" i="75"/>
  <c r="BC65" i="75"/>
  <c r="BC57" i="75"/>
  <c r="BC56" i="75"/>
  <c r="BC54" i="75"/>
  <c r="BC53" i="75"/>
  <c r="BC52" i="75"/>
  <c r="BG51" i="75"/>
  <c r="AE15" i="25" s="1"/>
  <c r="BG49" i="75"/>
  <c r="AE13" i="25" s="1"/>
  <c r="BC40" i="75"/>
  <c r="BC32" i="75"/>
  <c r="BG78" i="75"/>
  <c r="BC64" i="75"/>
  <c r="BC37" i="75"/>
  <c r="BG47" i="75"/>
  <c r="BC24" i="75"/>
  <c r="BC66" i="75"/>
  <c r="BC58" i="75"/>
  <c r="BG45" i="75"/>
  <c r="BC35" i="75"/>
  <c r="BC67" i="75"/>
  <c r="BC59" i="75"/>
  <c r="A20" i="25"/>
  <c r="A29" i="25"/>
  <c r="A34" i="25"/>
  <c r="A22" i="25"/>
  <c r="A28" i="25"/>
  <c r="A24" i="25"/>
  <c r="A33" i="25"/>
  <c r="A30" i="25"/>
  <c r="B52" i="25"/>
  <c r="B35" i="25"/>
  <c r="Q4" i="10"/>
  <c r="L28" i="10"/>
  <c r="E31" i="10"/>
  <c r="F10" i="39"/>
  <c r="J28" i="10"/>
  <c r="U10" i="39"/>
  <c r="O35" i="10"/>
  <c r="O33" i="10"/>
  <c r="H38" i="10"/>
  <c r="I10" i="39"/>
  <c r="S10" i="39"/>
  <c r="P10" i="39"/>
  <c r="E33" i="10"/>
  <c r="K10" i="39"/>
  <c r="N10" i="39"/>
  <c r="J38" i="10"/>
  <c r="P65" i="4"/>
  <c r="O4" i="4" s="1"/>
  <c r="C9" i="10" s="1"/>
  <c r="H62" i="25"/>
  <c r="H61" i="25"/>
  <c r="H44" i="25"/>
  <c r="H45" i="25"/>
  <c r="H27" i="25"/>
  <c r="H28" i="25"/>
  <c r="P66" i="4"/>
  <c r="AP39" i="4" s="1"/>
  <c r="AP20" i="4" l="1"/>
  <c r="A47" i="25"/>
  <c r="A37" i="25"/>
  <c r="A38" i="25"/>
  <c r="A36" i="25"/>
  <c r="A50" i="25"/>
  <c r="A40" i="25"/>
  <c r="A39" i="25"/>
  <c r="A51" i="25"/>
  <c r="A44" i="25"/>
  <c r="A48" i="25"/>
  <c r="A49" i="25"/>
  <c r="A41" i="25"/>
  <c r="A46" i="25"/>
  <c r="A45" i="25"/>
  <c r="A67" i="25"/>
  <c r="A66" i="25"/>
  <c r="A68" i="25"/>
  <c r="A65" i="25"/>
  <c r="A54" i="25"/>
  <c r="A61" i="25"/>
  <c r="A53" i="25"/>
  <c r="A57" i="25"/>
  <c r="A55" i="25"/>
  <c r="A62" i="25"/>
  <c r="A63" i="25"/>
  <c r="A64" i="25"/>
  <c r="A56" i="25"/>
  <c r="A58" i="25"/>
  <c r="J68" i="4"/>
  <c r="F68" i="4"/>
  <c r="AP36" i="4"/>
  <c r="AP31" i="4"/>
  <c r="AP11" i="4"/>
  <c r="AP9" i="4"/>
  <c r="AP10" i="4"/>
  <c r="AP8" i="4"/>
  <c r="AP44" i="4"/>
  <c r="AP28" i="4"/>
  <c r="AP52" i="4"/>
  <c r="AP24" i="4"/>
  <c r="AP40" i="4"/>
  <c r="G21" i="25"/>
  <c r="G22" i="25"/>
  <c r="G56" i="25"/>
  <c r="G55" i="25"/>
  <c r="G38" i="25"/>
  <c r="G39" i="25"/>
  <c r="AP33" i="4"/>
  <c r="AP49" i="4"/>
  <c r="AP30" i="4"/>
  <c r="AP46" i="4"/>
  <c r="AP47" i="4"/>
  <c r="AP14" i="4"/>
  <c r="AP13" i="4"/>
  <c r="AP12" i="4"/>
  <c r="AP17" i="4"/>
  <c r="AP21" i="4"/>
  <c r="AP37" i="4"/>
  <c r="AP53" i="4"/>
  <c r="AP18" i="4"/>
  <c r="AP34" i="4"/>
  <c r="AP50" i="4"/>
  <c r="AP19" i="4"/>
  <c r="AP35" i="4"/>
  <c r="AP51" i="4"/>
  <c r="AP32" i="4"/>
  <c r="AP15" i="4"/>
  <c r="AP25" i="4"/>
  <c r="AP41" i="4"/>
  <c r="AP57" i="4"/>
  <c r="AP22" i="4"/>
  <c r="AP38" i="4"/>
  <c r="AP23" i="4"/>
  <c r="AP16" i="4"/>
  <c r="AP59" i="4"/>
  <c r="AP56" i="4"/>
  <c r="AP54" i="4"/>
  <c r="AP63" i="4"/>
  <c r="AP60" i="4"/>
  <c r="AP61" i="4"/>
  <c r="AP58" i="4"/>
  <c r="AP62" i="4"/>
  <c r="P4" i="4"/>
  <c r="C47" i="10" s="1"/>
  <c r="AP55" i="4"/>
  <c r="AP48" i="4"/>
  <c r="AP29" i="4"/>
  <c r="AP45" i="4"/>
  <c r="AP26" i="4"/>
  <c r="AP42" i="4"/>
  <c r="AP27" i="4"/>
  <c r="AP43" i="4"/>
  <c r="AP65" i="4" l="1"/>
  <c r="B9" i="6" s="1"/>
  <c r="N68" i="4"/>
  <c r="AP66" i="4"/>
  <c r="G28" i="25"/>
  <c r="G27" i="25"/>
  <c r="G48" i="25"/>
  <c r="G51" i="25" s="1"/>
  <c r="G49" i="25"/>
  <c r="G50" i="25" s="1"/>
  <c r="G32" i="25"/>
  <c r="G33" i="25" s="1"/>
  <c r="G31" i="25"/>
  <c r="G34" i="25" s="1"/>
  <c r="G45" i="25"/>
  <c r="G44" i="25"/>
  <c r="G62" i="25"/>
  <c r="G61" i="25"/>
  <c r="G65" i="25"/>
  <c r="G68" i="25" s="1"/>
  <c r="G66" i="25"/>
  <c r="G67" i="25" s="1"/>
  <c r="H9" i="6" l="1"/>
  <c r="H40" i="6" s="1"/>
  <c r="G9" i="6"/>
  <c r="N9" i="6"/>
  <c r="N40" i="6" s="1"/>
  <c r="F9" i="6"/>
  <c r="F40" i="6" s="1"/>
  <c r="M9" i="6"/>
  <c r="E9" i="6"/>
  <c r="E40" i="6" s="1"/>
  <c r="L9" i="6"/>
  <c r="L40" i="6" s="1"/>
  <c r="D9" i="6"/>
  <c r="K9" i="6"/>
  <c r="K40" i="6" s="1"/>
  <c r="C9" i="6"/>
  <c r="C40" i="6" s="1"/>
  <c r="I9" i="6"/>
  <c r="J9" i="6"/>
  <c r="B11" i="6"/>
  <c r="B8" i="10"/>
  <c r="D9" i="39" l="1"/>
  <c r="I11" i="6"/>
  <c r="I42" i="6" s="1"/>
  <c r="H11" i="6"/>
  <c r="H42" i="6" s="1"/>
  <c r="G11" i="6"/>
  <c r="M11" i="6"/>
  <c r="N11" i="6"/>
  <c r="N42" i="6" s="1"/>
  <c r="F11" i="6"/>
  <c r="E11" i="6"/>
  <c r="E42" i="6" s="1"/>
  <c r="J11" i="6"/>
  <c r="L11" i="6"/>
  <c r="D11" i="6"/>
  <c r="K11" i="6"/>
  <c r="K42" i="6" s="1"/>
  <c r="C11" i="6"/>
  <c r="I40" i="6"/>
  <c r="B46" i="10"/>
  <c r="C46" i="10" s="1"/>
  <c r="S9" i="39"/>
  <c r="O16" i="10"/>
  <c r="U9" i="39"/>
  <c r="O14" i="10"/>
  <c r="P9" i="39"/>
  <c r="E14" i="10"/>
  <c r="F9" i="39"/>
  <c r="J9" i="10"/>
  <c r="I9" i="39"/>
  <c r="H19" i="10"/>
  <c r="L9" i="10"/>
  <c r="K9" i="39"/>
  <c r="J19" i="10"/>
  <c r="N9" i="39" l="1"/>
  <c r="E12" i="10"/>
  <c r="L42" i="6"/>
  <c r="K50" i="6"/>
  <c r="F42" i="6"/>
  <c r="C42" i="6"/>
  <c r="Q36" i="11"/>
  <c r="H62" i="6" s="1"/>
  <c r="E48" i="6"/>
  <c r="AE24" i="11"/>
  <c r="N62" i="6" s="1"/>
  <c r="K36" i="11"/>
  <c r="F62" i="6" s="1"/>
  <c r="U11" i="39"/>
  <c r="I50" i="6"/>
  <c r="I43" i="6"/>
  <c r="G17" i="11" s="1"/>
  <c r="E50" i="10"/>
  <c r="N11" i="39"/>
  <c r="C48" i="6"/>
  <c r="N43" i="6"/>
  <c r="O52" i="10"/>
  <c r="N50" i="6"/>
  <c r="C50" i="6" l="1"/>
  <c r="C49" i="6" s="1"/>
  <c r="C51" i="6" s="1"/>
  <c r="L10" i="9" s="1"/>
  <c r="N48" i="6"/>
  <c r="G64" i="6"/>
  <c r="G42" i="6" s="1"/>
  <c r="G63" i="6"/>
  <c r="G41" i="6" s="1"/>
  <c r="G62" i="6"/>
  <c r="G40" i="6" s="1"/>
  <c r="I48" i="6"/>
  <c r="I49" i="6" s="1"/>
  <c r="I51" i="6" s="1"/>
  <c r="E13" i="9" s="1"/>
  <c r="X10" i="11"/>
  <c r="C62" i="6" s="1"/>
  <c r="D11" i="39"/>
  <c r="S10" i="11"/>
  <c r="E62" i="6" s="1"/>
  <c r="E22" i="11"/>
  <c r="K62" i="6" s="1"/>
  <c r="AE29" i="11"/>
  <c r="L62" i="6" s="1"/>
  <c r="L43" i="6"/>
  <c r="AC29" i="11" s="1"/>
  <c r="O54" i="10"/>
  <c r="J47" i="10"/>
  <c r="S11" i="39"/>
  <c r="L50" i="6"/>
  <c r="P11" i="39"/>
  <c r="E52" i="10"/>
  <c r="F48" i="6"/>
  <c r="K43" i="6"/>
  <c r="G22" i="11" s="1"/>
  <c r="E50" i="6"/>
  <c r="E49" i="6" s="1"/>
  <c r="E51" i="6" s="1"/>
  <c r="J10" i="9" s="1"/>
  <c r="E43" i="6"/>
  <c r="S12" i="11" s="1"/>
  <c r="F11" i="39"/>
  <c r="H57" i="10"/>
  <c r="F43" i="6"/>
  <c r="L34" i="11" s="1"/>
  <c r="K48" i="6"/>
  <c r="K49" i="6" s="1"/>
  <c r="L48" i="6"/>
  <c r="H48" i="6"/>
  <c r="C43" i="6"/>
  <c r="X12" i="11" s="1"/>
  <c r="H50" i="6"/>
  <c r="K11" i="39"/>
  <c r="L47" i="10"/>
  <c r="H43" i="6"/>
  <c r="Q34" i="11" s="1"/>
  <c r="J57" i="10"/>
  <c r="I11" i="39"/>
  <c r="F50" i="6"/>
  <c r="N49" i="6"/>
  <c r="N51" i="6" s="1"/>
  <c r="AC24" i="11"/>
  <c r="M64" i="6" l="1"/>
  <c r="M42" i="6" s="1"/>
  <c r="M62" i="6"/>
  <c r="J64" i="6"/>
  <c r="J42" i="6" s="1"/>
  <c r="J63" i="6"/>
  <c r="J41" i="6" s="1"/>
  <c r="J62" i="6"/>
  <c r="J40" i="6" s="1"/>
  <c r="J9" i="39"/>
  <c r="I19" i="10"/>
  <c r="G43" i="6"/>
  <c r="N34" i="11" s="1"/>
  <c r="J10" i="39"/>
  <c r="I38" i="10"/>
  <c r="I57" i="10"/>
  <c r="H46" i="10" s="1"/>
  <c r="G48" i="10" s="1"/>
  <c r="J11" i="39"/>
  <c r="M63" i="6"/>
  <c r="M41" i="6" s="1"/>
  <c r="M40" i="6"/>
  <c r="D63" i="6"/>
  <c r="D41" i="6" s="1"/>
  <c r="L49" i="6"/>
  <c r="L51" i="6" s="1"/>
  <c r="O17" i="9" s="1"/>
  <c r="K51" i="6"/>
  <c r="E15" i="9" s="1"/>
  <c r="F49" i="6"/>
  <c r="F51" i="6" s="1"/>
  <c r="H20" i="9" s="1"/>
  <c r="H49" i="6"/>
  <c r="H51" i="6" s="1"/>
  <c r="J20" i="9" s="1"/>
  <c r="O15" i="9"/>
  <c r="H58" i="10" l="1"/>
  <c r="G56" i="10" s="1"/>
  <c r="G45" i="10"/>
  <c r="G47" i="10"/>
  <c r="H49" i="10"/>
  <c r="I49" i="10"/>
  <c r="G46" i="10"/>
  <c r="E10" i="39"/>
  <c r="K28" i="10"/>
  <c r="O15" i="10"/>
  <c r="T9" i="39"/>
  <c r="M43" i="6"/>
  <c r="AC27" i="11" s="1"/>
  <c r="M48" i="6"/>
  <c r="H20" i="10"/>
  <c r="H8" i="10"/>
  <c r="O9" i="39"/>
  <c r="E13" i="10"/>
  <c r="J48" i="6"/>
  <c r="J43" i="6"/>
  <c r="G19" i="11" s="1"/>
  <c r="H39" i="10"/>
  <c r="H27" i="10"/>
  <c r="D64" i="6"/>
  <c r="D42" i="6" s="1"/>
  <c r="O10" i="39"/>
  <c r="E32" i="10"/>
  <c r="O53" i="10"/>
  <c r="M50" i="6"/>
  <c r="T11" i="39"/>
  <c r="E51" i="10"/>
  <c r="J50" i="6"/>
  <c r="O11" i="39"/>
  <c r="T10" i="39"/>
  <c r="O34" i="10"/>
  <c r="D62" i="6"/>
  <c r="D40" i="6" s="1"/>
  <c r="I55" i="10"/>
  <c r="H55" i="10"/>
  <c r="G57" i="10"/>
  <c r="G58" i="10"/>
  <c r="G59" i="10" l="1"/>
  <c r="J55" i="10"/>
  <c r="J49" i="6"/>
  <c r="J51" i="6" s="1"/>
  <c r="E14" i="9" s="1"/>
  <c r="I30" i="10"/>
  <c r="G26" i="10"/>
  <c r="G28" i="10"/>
  <c r="G27" i="10"/>
  <c r="H30" i="10"/>
  <c r="G29" i="10"/>
  <c r="K27" i="10"/>
  <c r="H26" i="10" s="1"/>
  <c r="K39" i="10"/>
  <c r="H40" i="10" s="1"/>
  <c r="D53" i="10"/>
  <c r="P53" i="10"/>
  <c r="D31" i="10"/>
  <c r="P31" i="10"/>
  <c r="J36" i="10"/>
  <c r="G40" i="10"/>
  <c r="G38" i="10"/>
  <c r="G39" i="10"/>
  <c r="G37" i="10"/>
  <c r="I36" i="10"/>
  <c r="H36" i="10"/>
  <c r="G8" i="10"/>
  <c r="G10" i="10"/>
  <c r="G9" i="10"/>
  <c r="I11" i="10"/>
  <c r="H11" i="10"/>
  <c r="G7" i="10"/>
  <c r="K9" i="10"/>
  <c r="E9" i="39"/>
  <c r="D48" i="6"/>
  <c r="D43" i="6"/>
  <c r="V12" i="11" s="1"/>
  <c r="R5" i="11" s="1"/>
  <c r="G50" i="6"/>
  <c r="G18" i="10"/>
  <c r="G19" i="10"/>
  <c r="I17" i="10"/>
  <c r="G21" i="10"/>
  <c r="H17" i="10"/>
  <c r="G20" i="10"/>
  <c r="J17" i="10"/>
  <c r="D50" i="10"/>
  <c r="P50" i="10"/>
  <c r="M49" i="6"/>
  <c r="M51" i="6" s="1"/>
  <c r="D34" i="10"/>
  <c r="P34" i="10"/>
  <c r="K47" i="10"/>
  <c r="E11" i="39"/>
  <c r="D50" i="6"/>
  <c r="G48" i="6"/>
  <c r="P12" i="10"/>
  <c r="D12" i="10"/>
  <c r="D15" i="10"/>
  <c r="P15" i="10"/>
  <c r="G49" i="6" l="1"/>
  <c r="G51" i="6" s="1"/>
  <c r="N12" i="11" s="1"/>
  <c r="AC19" i="11"/>
  <c r="Z18" i="11" s="1"/>
  <c r="C30" i="10"/>
  <c r="E30" i="10"/>
  <c r="D30" i="10"/>
  <c r="G33" i="10"/>
  <c r="F30" i="10"/>
  <c r="C31" i="10"/>
  <c r="G31" i="10"/>
  <c r="G32" i="10"/>
  <c r="P13" i="9"/>
  <c r="D13" i="9"/>
  <c r="M50" i="10"/>
  <c r="P49" i="10"/>
  <c r="O49" i="10"/>
  <c r="N49" i="10"/>
  <c r="Q49" i="10"/>
  <c r="M51" i="10"/>
  <c r="Q50" i="10"/>
  <c r="N55" i="10"/>
  <c r="M54" i="10"/>
  <c r="Q55" i="10"/>
  <c r="M53" i="10"/>
  <c r="P55" i="10"/>
  <c r="M52" i="10"/>
  <c r="O55" i="10"/>
  <c r="D55" i="10"/>
  <c r="F55" i="10"/>
  <c r="G53" i="10"/>
  <c r="G54" i="10"/>
  <c r="C55" i="10"/>
  <c r="E55" i="10"/>
  <c r="G16" i="10"/>
  <c r="F17" i="10"/>
  <c r="D17" i="10"/>
  <c r="C17" i="10"/>
  <c r="G15" i="10"/>
  <c r="E17" i="10"/>
  <c r="K46" i="10"/>
  <c r="K58" i="10"/>
  <c r="C11" i="10"/>
  <c r="F11" i="10"/>
  <c r="G13" i="10"/>
  <c r="C12" i="10"/>
  <c r="E11" i="10"/>
  <c r="G12" i="10"/>
  <c r="D11" i="10"/>
  <c r="G14" i="10"/>
  <c r="G51" i="10"/>
  <c r="G52" i="10"/>
  <c r="G50" i="10"/>
  <c r="D49" i="10"/>
  <c r="E49" i="10"/>
  <c r="C50" i="10"/>
  <c r="F49" i="10"/>
  <c r="C49" i="10"/>
  <c r="M13" i="10"/>
  <c r="M12" i="10"/>
  <c r="Q12" i="10"/>
  <c r="N11" i="10"/>
  <c r="P11" i="10"/>
  <c r="Q11" i="10"/>
  <c r="O11" i="10"/>
  <c r="N36" i="10"/>
  <c r="O36" i="10"/>
  <c r="M33" i="10"/>
  <c r="M34" i="10"/>
  <c r="P36" i="10"/>
  <c r="M35" i="10"/>
  <c r="Q36" i="10"/>
  <c r="M40" i="10"/>
  <c r="M37" i="10"/>
  <c r="M38" i="10"/>
  <c r="M39" i="10"/>
  <c r="K36" i="10"/>
  <c r="L36" i="10"/>
  <c r="K8" i="10"/>
  <c r="K20" i="10"/>
  <c r="D36" i="10"/>
  <c r="G35" i="10"/>
  <c r="E36" i="10"/>
  <c r="C36" i="10"/>
  <c r="F36" i="10"/>
  <c r="G34" i="10"/>
  <c r="L30" i="10"/>
  <c r="M26" i="10"/>
  <c r="M29" i="10"/>
  <c r="M28" i="10"/>
  <c r="J30" i="10"/>
  <c r="K30" i="10"/>
  <c r="M27" i="10"/>
  <c r="J32" i="10"/>
  <c r="P40" i="10" s="1"/>
  <c r="Q17" i="10"/>
  <c r="O17" i="10"/>
  <c r="N17" i="10"/>
  <c r="P17" i="10"/>
  <c r="M14" i="10"/>
  <c r="M16" i="10"/>
  <c r="M15" i="10"/>
  <c r="D49" i="6"/>
  <c r="D51" i="6" s="1"/>
  <c r="V34" i="11" s="1"/>
  <c r="G27" i="11"/>
  <c r="O16" i="9"/>
  <c r="Q30" i="10"/>
  <c r="Q31" i="10"/>
  <c r="O30" i="10"/>
  <c r="M31" i="10"/>
  <c r="N30" i="10"/>
  <c r="P30" i="10"/>
  <c r="M32" i="10"/>
  <c r="AE15" i="11" l="1"/>
  <c r="Z22" i="11"/>
  <c r="I20" i="9"/>
  <c r="H21" i="9" s="1"/>
  <c r="Z16" i="11"/>
  <c r="AB15" i="11"/>
  <c r="AD15" i="11"/>
  <c r="AA15" i="11"/>
  <c r="Z17" i="11"/>
  <c r="AC15" i="11"/>
  <c r="AF15" i="11"/>
  <c r="AG15" i="11"/>
  <c r="Z19" i="11"/>
  <c r="Z21" i="11"/>
  <c r="U16" i="11"/>
  <c r="I10" i="13" s="1"/>
  <c r="Z20" i="11"/>
  <c r="O51" i="6"/>
  <c r="K10" i="9"/>
  <c r="K9" i="9" s="1"/>
  <c r="AH15" i="11"/>
  <c r="AA17" i="11"/>
  <c r="C10" i="13" s="1"/>
  <c r="Z23" i="11"/>
  <c r="L11" i="10"/>
  <c r="M10" i="10"/>
  <c r="M7" i="10"/>
  <c r="K11" i="10"/>
  <c r="M9" i="10"/>
  <c r="J11" i="10"/>
  <c r="M8" i="10"/>
  <c r="J13" i="10"/>
  <c r="H7" i="10"/>
  <c r="P16" i="9"/>
  <c r="Q13" i="9" s="1"/>
  <c r="D16" i="9"/>
  <c r="C13" i="9" s="1"/>
  <c r="E31" i="11"/>
  <c r="D31" i="11"/>
  <c r="J27" i="11"/>
  <c r="J28" i="11"/>
  <c r="J30" i="11"/>
  <c r="J29" i="11"/>
  <c r="H31" i="11"/>
  <c r="J26" i="11"/>
  <c r="J23" i="11"/>
  <c r="O30" i="11"/>
  <c r="J24" i="11"/>
  <c r="B31" i="11"/>
  <c r="J25" i="11"/>
  <c r="I31" i="11"/>
  <c r="C31" i="11"/>
  <c r="F31" i="11"/>
  <c r="I30" i="11"/>
  <c r="C11" i="13" s="1"/>
  <c r="G31" i="11"/>
  <c r="G13" i="9"/>
  <c r="G15" i="9"/>
  <c r="D12" i="9"/>
  <c r="C12" i="9"/>
  <c r="F12" i="9"/>
  <c r="E12" i="9"/>
  <c r="G14" i="9"/>
  <c r="M14" i="9"/>
  <c r="Q12" i="9"/>
  <c r="M13" i="9"/>
  <c r="P12" i="9"/>
  <c r="N12" i="9"/>
  <c r="O12" i="9"/>
  <c r="L15" i="11"/>
  <c r="J7" i="11"/>
  <c r="J8" i="11"/>
  <c r="J14" i="11"/>
  <c r="P15" i="11"/>
  <c r="J12" i="11"/>
  <c r="J10" i="11"/>
  <c r="M15" i="11"/>
  <c r="J13" i="11"/>
  <c r="K15" i="11"/>
  <c r="J11" i="11"/>
  <c r="N15" i="11"/>
  <c r="Q15" i="11"/>
  <c r="J9" i="11"/>
  <c r="L14" i="11"/>
  <c r="C13" i="13" s="1"/>
  <c r="R15" i="11"/>
  <c r="O15" i="11"/>
  <c r="K20" i="11"/>
  <c r="K55" i="10"/>
  <c r="M59" i="10"/>
  <c r="M56" i="10"/>
  <c r="H59" i="10"/>
  <c r="M58" i="10"/>
  <c r="L55" i="10"/>
  <c r="M57" i="10"/>
  <c r="P39" i="10"/>
  <c r="M20" i="10"/>
  <c r="L17" i="10"/>
  <c r="M18" i="10"/>
  <c r="M19" i="10"/>
  <c r="K17" i="10"/>
  <c r="M21" i="10"/>
  <c r="H21" i="10"/>
  <c r="M47" i="10"/>
  <c r="K49" i="10"/>
  <c r="M45" i="10"/>
  <c r="J51" i="10"/>
  <c r="M46" i="10"/>
  <c r="H45" i="10"/>
  <c r="J49" i="10"/>
  <c r="L49" i="10"/>
  <c r="M48" i="10"/>
  <c r="T31" i="11"/>
  <c r="Y32" i="11"/>
  <c r="C14" i="13" s="1"/>
  <c r="X31" i="11"/>
  <c r="Z38" i="11"/>
  <c r="V31" i="11"/>
  <c r="W31" i="11"/>
  <c r="Y31" i="11"/>
  <c r="S31" i="11"/>
  <c r="Z33" i="11"/>
  <c r="Z32" i="11"/>
  <c r="Z36" i="11"/>
  <c r="Z37" i="11"/>
  <c r="Z35" i="11"/>
  <c r="U31" i="11"/>
  <c r="Y26" i="11"/>
  <c r="R31" i="11"/>
  <c r="Z39" i="11"/>
  <c r="Z34" i="11"/>
  <c r="AK71" i="75" l="1"/>
  <c r="F16" i="13"/>
  <c r="AM59" i="4"/>
  <c r="AM58" i="4"/>
  <c r="AM12" i="4"/>
  <c r="AM14" i="4"/>
  <c r="AM15" i="4"/>
  <c r="AM13" i="4"/>
  <c r="AM56" i="4"/>
  <c r="AM57" i="4"/>
  <c r="AM18" i="4"/>
  <c r="AM27" i="4"/>
  <c r="AM53" i="4"/>
  <c r="AM49" i="4"/>
  <c r="AM24" i="4"/>
  <c r="AM51" i="4"/>
  <c r="AM50" i="4"/>
  <c r="AM38" i="4"/>
  <c r="AM25" i="4"/>
  <c r="AM26" i="4"/>
  <c r="AM42" i="4"/>
  <c r="AM36" i="4"/>
  <c r="AM39" i="4"/>
  <c r="AM23" i="4"/>
  <c r="AM20" i="4"/>
  <c r="AM47" i="4"/>
  <c r="AM48" i="4"/>
  <c r="AM52" i="4"/>
  <c r="AM37" i="4"/>
  <c r="AM21" i="4"/>
  <c r="AM40" i="4"/>
  <c r="AM45" i="4"/>
  <c r="AM46" i="4"/>
  <c r="AM22" i="4"/>
  <c r="AM41" i="4"/>
  <c r="AM43" i="4"/>
  <c r="AM31" i="4"/>
  <c r="AM44" i="4"/>
  <c r="AM54" i="4"/>
  <c r="AM34" i="4"/>
  <c r="AM30" i="4"/>
  <c r="AM32" i="4"/>
  <c r="AM55" i="4"/>
  <c r="AM28" i="4"/>
  <c r="AM35" i="4"/>
  <c r="AM29" i="4"/>
  <c r="AM33" i="4"/>
  <c r="AK70" i="75"/>
  <c r="AM16" i="4"/>
  <c r="O42" i="6"/>
  <c r="AN51" i="4" s="1"/>
  <c r="O40" i="6"/>
  <c r="AN16" i="4" s="1"/>
  <c r="H9" i="9"/>
  <c r="I12" i="9" s="1"/>
  <c r="J15" i="9"/>
  <c r="P22" i="9" s="1"/>
  <c r="AK78" i="75"/>
  <c r="AK84" i="75"/>
  <c r="O41" i="6"/>
  <c r="AN45" i="4" s="1"/>
  <c r="AM19" i="4"/>
  <c r="AM17" i="4"/>
  <c r="AK76" i="75"/>
  <c r="K21" i="9"/>
  <c r="H22" i="9" s="1"/>
  <c r="AK83" i="75"/>
  <c r="AK72" i="75"/>
  <c r="AK82" i="75"/>
  <c r="AK77" i="75"/>
  <c r="J18" i="9"/>
  <c r="G21" i="9"/>
  <c r="I18" i="9"/>
  <c r="H18" i="9"/>
  <c r="G19" i="9"/>
  <c r="G22" i="9"/>
  <c r="G20" i="9"/>
  <c r="K12" i="9"/>
  <c r="M11" i="9"/>
  <c r="M8" i="9"/>
  <c r="J12" i="9"/>
  <c r="M10" i="9"/>
  <c r="M9" i="9"/>
  <c r="L12" i="9"/>
  <c r="AW81" i="75"/>
  <c r="AW80" i="75"/>
  <c r="AW84" i="75"/>
  <c r="AW79" i="75"/>
  <c r="AW82" i="75"/>
  <c r="AW75" i="75"/>
  <c r="AW73" i="75"/>
  <c r="AW83" i="75"/>
  <c r="AW74" i="75"/>
  <c r="F17" i="13"/>
  <c r="C15" i="13" a="1"/>
  <c r="C15" i="13" s="1"/>
  <c r="BE73" i="75"/>
  <c r="BE83" i="75"/>
  <c r="BE74" i="75"/>
  <c r="BE84" i="75"/>
  <c r="BE82" i="75"/>
  <c r="BE80" i="75"/>
  <c r="BE81" i="75"/>
  <c r="BE75" i="75"/>
  <c r="BE79" i="75"/>
  <c r="P20" i="10"/>
  <c r="P21" i="10"/>
  <c r="I14" i="13"/>
  <c r="AN70" i="75"/>
  <c r="AN71" i="75"/>
  <c r="AN83" i="75"/>
  <c r="AN78" i="75"/>
  <c r="AN72" i="75"/>
  <c r="AN84" i="75"/>
  <c r="J10" i="13"/>
  <c r="AN82" i="75"/>
  <c r="AN76" i="75"/>
  <c r="AN77" i="75"/>
  <c r="AS76" i="75"/>
  <c r="AS71" i="75"/>
  <c r="C12" i="13" a="1"/>
  <c r="C12" i="13" s="1"/>
  <c r="AS84" i="75"/>
  <c r="AS70" i="75"/>
  <c r="AS83" i="75"/>
  <c r="AS82" i="75"/>
  <c r="AS78" i="75"/>
  <c r="AS72" i="75"/>
  <c r="AS77" i="75"/>
  <c r="G17" i="9"/>
  <c r="E18" i="9"/>
  <c r="F18" i="9"/>
  <c r="D18" i="9"/>
  <c r="C18" i="9"/>
  <c r="G16" i="9"/>
  <c r="M16" i="9"/>
  <c r="Q18" i="9"/>
  <c r="P18" i="9"/>
  <c r="M17" i="9"/>
  <c r="O18" i="9"/>
  <c r="N18" i="9"/>
  <c r="M15" i="9"/>
  <c r="I11" i="13"/>
  <c r="P58" i="10"/>
  <c r="P59" i="10"/>
  <c r="I13" i="13"/>
  <c r="AN55" i="4" l="1"/>
  <c r="AN30" i="4"/>
  <c r="AN32" i="4"/>
  <c r="P21" i="9"/>
  <c r="E4" i="75"/>
  <c r="G10" i="9"/>
  <c r="AN56" i="4"/>
  <c r="AN18" i="4"/>
  <c r="AN20" i="4"/>
  <c r="AN12" i="4"/>
  <c r="AN54" i="4"/>
  <c r="AN11" i="4"/>
  <c r="AN14" i="4"/>
  <c r="AN15" i="4"/>
  <c r="J14" i="10"/>
  <c r="AN21" i="4"/>
  <c r="AN17" i="4"/>
  <c r="AN13" i="4"/>
  <c r="AN60" i="4"/>
  <c r="AN19" i="4"/>
  <c r="G11" i="9"/>
  <c r="H8" i="9"/>
  <c r="G9" i="9"/>
  <c r="H12" i="9"/>
  <c r="G8" i="9"/>
  <c r="AN52" i="4"/>
  <c r="AN50" i="4"/>
  <c r="AN28" i="4"/>
  <c r="AN59" i="4"/>
  <c r="AN53" i="4"/>
  <c r="J52" i="10"/>
  <c r="AN58" i="4"/>
  <c r="AN57" i="4"/>
  <c r="E5" i="75"/>
  <c r="AN44" i="4"/>
  <c r="AN46" i="4"/>
  <c r="J33" i="10"/>
  <c r="AN34" i="4"/>
  <c r="AN29" i="4"/>
  <c r="AN35" i="4"/>
  <c r="E8" i="75"/>
  <c r="AN47" i="4"/>
  <c r="AN31" i="4"/>
  <c r="AN37" i="4"/>
  <c r="AN33" i="4"/>
  <c r="E6" i="75"/>
  <c r="AN39" i="4"/>
  <c r="AN36" i="4"/>
  <c r="E12" i="75"/>
  <c r="AN27" i="4"/>
  <c r="AN25" i="4"/>
  <c r="AN40" i="4"/>
  <c r="AN24" i="4"/>
  <c r="AN41" i="4"/>
  <c r="AN38" i="4"/>
  <c r="AN43" i="4"/>
  <c r="E17" i="75"/>
  <c r="K17" i="75" s="1"/>
  <c r="E14" i="75"/>
  <c r="AN42" i="4"/>
  <c r="AN26" i="4"/>
  <c r="M20" i="9"/>
  <c r="M19" i="9"/>
  <c r="M21" i="9"/>
  <c r="K18" i="9"/>
  <c r="L18" i="9"/>
  <c r="M22" i="9"/>
  <c r="AA4" i="75"/>
  <c r="AA8" i="75"/>
  <c r="AA5" i="75"/>
  <c r="AA6" i="75"/>
  <c r="AA9" i="75"/>
  <c r="AA10" i="75"/>
  <c r="AZ74" i="75"/>
  <c r="AZ73" i="75"/>
  <c r="AZ83" i="75"/>
  <c r="AZ81" i="75"/>
  <c r="AZ82" i="75"/>
  <c r="AZ84" i="75"/>
  <c r="AZ80" i="75"/>
  <c r="J13" i="13"/>
  <c r="AZ79" i="75"/>
  <c r="AZ75" i="75"/>
  <c r="I15" i="13"/>
  <c r="AL8" i="75"/>
  <c r="AL5" i="75"/>
  <c r="AL9" i="75"/>
  <c r="AL6" i="75"/>
  <c r="AL4" i="75"/>
  <c r="AL10" i="75"/>
  <c r="BA50" i="75"/>
  <c r="BA64" i="75"/>
  <c r="BA48" i="75"/>
  <c r="BA68" i="75"/>
  <c r="BA46" i="75"/>
  <c r="BA25" i="75"/>
  <c r="BA35" i="75"/>
  <c r="BA44" i="75"/>
  <c r="BA45" i="75"/>
  <c r="BA40" i="75"/>
  <c r="BA31" i="75"/>
  <c r="BA28" i="75"/>
  <c r="BA61" i="75"/>
  <c r="BA42" i="75"/>
  <c r="BA62" i="75"/>
  <c r="BA41" i="75"/>
  <c r="BA52" i="75"/>
  <c r="BA36" i="75"/>
  <c r="BA78" i="75"/>
  <c r="BA76" i="75"/>
  <c r="BA38" i="75"/>
  <c r="BA54" i="75"/>
  <c r="BA37" i="75"/>
  <c r="BA51" i="75"/>
  <c r="BA32" i="75"/>
  <c r="BA69" i="75"/>
  <c r="BA30" i="75"/>
  <c r="BA67" i="75"/>
  <c r="BA23" i="75"/>
  <c r="BA65" i="75"/>
  <c r="BA27" i="75"/>
  <c r="BA63" i="75"/>
  <c r="BA49" i="75"/>
  <c r="BA43" i="75"/>
  <c r="BA33" i="75"/>
  <c r="BA59" i="75"/>
  <c r="BA22" i="75"/>
  <c r="BA57" i="75"/>
  <c r="BA77" i="75"/>
  <c r="BA55" i="75"/>
  <c r="BA29" i="75"/>
  <c r="BA39" i="75"/>
  <c r="BA56" i="75"/>
  <c r="BA60" i="75"/>
  <c r="BA47" i="75"/>
  <c r="BA34" i="75"/>
  <c r="BA66" i="75"/>
  <c r="BA53" i="75"/>
  <c r="BA72" i="75"/>
  <c r="BA24" i="75"/>
  <c r="BA26" i="75"/>
  <c r="BA71" i="75"/>
  <c r="BA70" i="75"/>
  <c r="BA58" i="75"/>
  <c r="AI13" i="25"/>
  <c r="AN32" i="75"/>
  <c r="AN48" i="75"/>
  <c r="AN60" i="75"/>
  <c r="AN33" i="75"/>
  <c r="AN31" i="75"/>
  <c r="AN63" i="75"/>
  <c r="AN47" i="75"/>
  <c r="AN58" i="75"/>
  <c r="AN62" i="75"/>
  <c r="AN61" i="75"/>
  <c r="AN46" i="75"/>
  <c r="AN59" i="75"/>
  <c r="AK13" i="25"/>
  <c r="AV70" i="75"/>
  <c r="AV83" i="75"/>
  <c r="J11" i="13"/>
  <c r="AV76" i="75"/>
  <c r="AV82" i="75"/>
  <c r="AV78" i="75"/>
  <c r="AV72" i="75"/>
  <c r="AV71" i="75"/>
  <c r="AV77" i="75"/>
  <c r="AV84" i="75"/>
  <c r="AO29" i="75"/>
  <c r="AO36" i="75"/>
  <c r="AO66" i="75"/>
  <c r="AO22" i="75"/>
  <c r="AO81" i="75"/>
  <c r="AO67" i="75"/>
  <c r="AO75" i="75"/>
  <c r="AO26" i="75"/>
  <c r="AO58" i="75"/>
  <c r="AO64" i="75"/>
  <c r="AO49" i="75"/>
  <c r="AO54" i="75"/>
  <c r="AO33" i="75"/>
  <c r="AO65" i="75"/>
  <c r="AO32" i="75"/>
  <c r="AO74" i="75"/>
  <c r="AO57" i="75"/>
  <c r="AO69" i="75"/>
  <c r="AO55" i="75"/>
  <c r="AO51" i="75"/>
  <c r="AO56" i="75"/>
  <c r="AO68" i="75"/>
  <c r="AO63" i="75"/>
  <c r="AO50" i="75"/>
  <c r="AO61" i="75"/>
  <c r="AO48" i="75"/>
  <c r="AO44" i="75"/>
  <c r="AO60" i="75"/>
  <c r="AO52" i="75"/>
  <c r="AO41" i="75"/>
  <c r="AO31" i="75"/>
  <c r="AO40" i="75"/>
  <c r="AO24" i="75"/>
  <c r="AO39" i="75"/>
  <c r="AO79" i="75"/>
  <c r="AO30" i="75"/>
  <c r="AO37" i="75"/>
  <c r="AO46" i="75"/>
  <c r="AO28" i="75"/>
  <c r="AO23" i="75"/>
  <c r="AO53" i="75"/>
  <c r="AO62" i="75"/>
  <c r="AO80" i="75"/>
  <c r="AO73" i="75"/>
  <c r="AO59" i="75"/>
  <c r="AO34" i="75"/>
  <c r="AO42" i="75"/>
  <c r="AO43" i="75"/>
  <c r="AO27" i="75"/>
  <c r="AO38" i="75"/>
  <c r="AO35" i="75"/>
  <c r="AO45" i="75"/>
  <c r="AO47" i="75"/>
  <c r="AO25" i="75"/>
  <c r="P10" i="75"/>
  <c r="P8" i="75"/>
  <c r="P4" i="75"/>
  <c r="P5" i="75"/>
  <c r="P9" i="75"/>
  <c r="P6" i="75"/>
  <c r="BH79" i="75"/>
  <c r="J14" i="13"/>
  <c r="BH73" i="75"/>
  <c r="BH74" i="75"/>
  <c r="BH83" i="75"/>
  <c r="BH82" i="75"/>
  <c r="BH75" i="75"/>
  <c r="BH81" i="75"/>
  <c r="BH84" i="75"/>
  <c r="BH80" i="75"/>
  <c r="I12" i="13"/>
  <c r="AD17" i="75"/>
  <c r="H17" i="75"/>
  <c r="H18" i="75"/>
  <c r="I18" i="75"/>
  <c r="E9" i="75" l="1"/>
  <c r="E10" i="75"/>
  <c r="AD18" i="75"/>
  <c r="T18" i="75"/>
  <c r="S18" i="75"/>
  <c r="E13" i="75"/>
  <c r="E16" i="75"/>
  <c r="K16" i="75" s="1"/>
  <c r="AZ68" i="75"/>
  <c r="AZ56" i="75"/>
  <c r="AZ63" i="75"/>
  <c r="AZ61" i="75"/>
  <c r="AZ55" i="75"/>
  <c r="AZ42" i="75"/>
  <c r="AZ69" i="75"/>
  <c r="AZ62" i="75"/>
  <c r="AZ57" i="75"/>
  <c r="AZ41" i="75"/>
  <c r="AZ67" i="75"/>
  <c r="AZ40" i="75"/>
  <c r="AI15" i="25"/>
  <c r="AI14" i="25"/>
  <c r="J23" i="25"/>
  <c r="J24" i="25"/>
  <c r="AL13" i="75"/>
  <c r="AL17" i="75"/>
  <c r="AR17" i="75" s="1"/>
  <c r="AA13" i="75"/>
  <c r="AK15" i="25"/>
  <c r="J30" i="25"/>
  <c r="AK14" i="25"/>
  <c r="J29" i="25"/>
  <c r="AA12" i="75"/>
  <c r="AL12" i="75"/>
  <c r="AF83" i="75"/>
  <c r="AG83" i="75" s="1"/>
  <c r="P13" i="75"/>
  <c r="AZ54" i="75"/>
  <c r="AZ53" i="75"/>
  <c r="AZ65" i="75"/>
  <c r="AZ37" i="75"/>
  <c r="AZ39" i="75"/>
  <c r="AZ52" i="75"/>
  <c r="AZ60" i="75"/>
  <c r="AZ59" i="75"/>
  <c r="AZ66" i="75"/>
  <c r="AZ38" i="75"/>
  <c r="AZ58" i="75"/>
  <c r="AZ64" i="75"/>
  <c r="BD71" i="75"/>
  <c r="BD26" i="75"/>
  <c r="BD54" i="75"/>
  <c r="BH28" i="75"/>
  <c r="BD61" i="75"/>
  <c r="BH45" i="75"/>
  <c r="BD38" i="75"/>
  <c r="BD65" i="75"/>
  <c r="BH46" i="75"/>
  <c r="BD70" i="75"/>
  <c r="BH76" i="75"/>
  <c r="BD53" i="75"/>
  <c r="BD27" i="75"/>
  <c r="BD34" i="75"/>
  <c r="BD57" i="75"/>
  <c r="BH78" i="75"/>
  <c r="BD63" i="75"/>
  <c r="BD66" i="75"/>
  <c r="BD39" i="75"/>
  <c r="BH77" i="75"/>
  <c r="BH30" i="75"/>
  <c r="BH47" i="75"/>
  <c r="BH49" i="75"/>
  <c r="AF13" i="25" s="1"/>
  <c r="BD68" i="75"/>
  <c r="BD55" i="75"/>
  <c r="BD58" i="75"/>
  <c r="BD35" i="75"/>
  <c r="BD72" i="75"/>
  <c r="BD24" i="75"/>
  <c r="BD41" i="75"/>
  <c r="BD31" i="75"/>
  <c r="BD37" i="75"/>
  <c r="BD52" i="75"/>
  <c r="BD40" i="75"/>
  <c r="BH44" i="75"/>
  <c r="BD64" i="75"/>
  <c r="BD59" i="75"/>
  <c r="BD22" i="75"/>
  <c r="BD23" i="75"/>
  <c r="BD33" i="75"/>
  <c r="BH43" i="75"/>
  <c r="BD36" i="75"/>
  <c r="BD25" i="75"/>
  <c r="BD56" i="75"/>
  <c r="BH51" i="75"/>
  <c r="AF15" i="25" s="1"/>
  <c r="BH29" i="75"/>
  <c r="BD62" i="75"/>
  <c r="BD32" i="75"/>
  <c r="BD69" i="75"/>
  <c r="BH48" i="75"/>
  <c r="BD42" i="75"/>
  <c r="BD60" i="75"/>
  <c r="BH50" i="75"/>
  <c r="AF14" i="25" s="1"/>
  <c r="BD67" i="75"/>
  <c r="AE18" i="75"/>
  <c r="AR47" i="75"/>
  <c r="AR34" i="75"/>
  <c r="AR61" i="75"/>
  <c r="AV45" i="75"/>
  <c r="AR30" i="75"/>
  <c r="AV43" i="75"/>
  <c r="AR29" i="75"/>
  <c r="AR40" i="75"/>
  <c r="AV53" i="75"/>
  <c r="AV80" i="75"/>
  <c r="AV25" i="75"/>
  <c r="AR66" i="75"/>
  <c r="AR46" i="75"/>
  <c r="AR28" i="75"/>
  <c r="AR23" i="75"/>
  <c r="AR39" i="75"/>
  <c r="AV26" i="75"/>
  <c r="AR62" i="75"/>
  <c r="AR75" i="75"/>
  <c r="AV27" i="75"/>
  <c r="AR22" i="75"/>
  <c r="AR68" i="75"/>
  <c r="AR67" i="75"/>
  <c r="AV54" i="75"/>
  <c r="AR65" i="75"/>
  <c r="AR35" i="75"/>
  <c r="AR63" i="75"/>
  <c r="AR50" i="75"/>
  <c r="L14" i="25" s="1"/>
  <c r="AR73" i="75"/>
  <c r="AV56" i="75"/>
  <c r="AR42" i="75"/>
  <c r="AR32" i="75"/>
  <c r="AR41" i="75"/>
  <c r="AR60" i="75"/>
  <c r="AV57" i="75"/>
  <c r="AV55" i="75"/>
  <c r="AV44" i="75"/>
  <c r="AR69" i="75"/>
  <c r="AR48" i="75"/>
  <c r="AR38" i="75"/>
  <c r="AV52" i="75"/>
  <c r="AR37" i="75"/>
  <c r="AR24" i="75"/>
  <c r="AR33" i="75"/>
  <c r="AR31" i="75"/>
  <c r="AV81" i="75"/>
  <c r="AR59" i="75"/>
  <c r="AR74" i="75"/>
  <c r="AR58" i="75"/>
  <c r="AV79" i="75"/>
  <c r="AR64" i="75"/>
  <c r="AR51" i="75"/>
  <c r="L15" i="25" s="1"/>
  <c r="AR36" i="75"/>
  <c r="AR49" i="75"/>
  <c r="L13" i="25" s="1"/>
  <c r="AF84" i="75"/>
  <c r="AG84" i="75" s="1"/>
  <c r="AA14" i="75"/>
  <c r="AL14" i="75"/>
  <c r="P14" i="75"/>
  <c r="P12" i="75"/>
  <c r="AN51" i="75"/>
  <c r="AN64" i="75"/>
  <c r="AN35" i="75"/>
  <c r="AN66" i="75"/>
  <c r="AN65" i="75"/>
  <c r="AN67" i="75"/>
  <c r="AN49" i="75"/>
  <c r="AN69" i="75"/>
  <c r="AN68" i="75"/>
  <c r="AN50" i="75"/>
  <c r="AN36" i="75"/>
  <c r="AN34" i="75"/>
  <c r="AF82" i="75"/>
  <c r="AG82" i="75" s="1"/>
  <c r="AE17" i="75"/>
  <c r="AO17" i="75"/>
  <c r="I17" i="75"/>
  <c r="S17" i="75"/>
  <c r="AA17" i="75" l="1"/>
  <c r="AG17" i="75" s="1"/>
  <c r="AA16" i="75"/>
  <c r="AG16" i="75" s="1"/>
  <c r="P18" i="75"/>
  <c r="V18" i="75" s="1"/>
  <c r="AL16" i="75"/>
  <c r="AR16" i="75" s="1"/>
  <c r="AL18" i="75"/>
  <c r="AR18" i="75" s="1"/>
  <c r="P16" i="75"/>
  <c r="V16" i="75" s="1"/>
  <c r="AA18" i="75"/>
  <c r="AG18" i="75" s="1"/>
  <c r="E18" i="75"/>
  <c r="K18" i="75" s="1"/>
  <c r="D84" i="75" s="1"/>
  <c r="P17" i="75"/>
  <c r="V17" i="75" s="1"/>
  <c r="AF4" i="75"/>
  <c r="U4" i="75"/>
  <c r="AO16" i="75"/>
  <c r="H4" i="75"/>
  <c r="AF31" i="75"/>
  <c r="AG31" i="75" s="1"/>
  <c r="AF59" i="75"/>
  <c r="AG59" i="75" s="1"/>
  <c r="AF71" i="75"/>
  <c r="AG71" i="75" s="1"/>
  <c r="AF63" i="75"/>
  <c r="AG63" i="75" s="1"/>
  <c r="G14" i="25"/>
  <c r="H37" i="25" s="1"/>
  <c r="H36" i="25" s="1"/>
  <c r="AF50" i="75"/>
  <c r="AG50" i="75" s="1"/>
  <c r="AF42" i="75"/>
  <c r="AG42" i="75" s="1"/>
  <c r="AF39" i="75"/>
  <c r="AG39" i="75" s="1"/>
  <c r="AF40" i="75"/>
  <c r="AG40" i="75" s="1"/>
  <c r="AF32" i="75"/>
  <c r="AG32" i="75" s="1"/>
  <c r="H21" i="25"/>
  <c r="H22" i="25"/>
  <c r="AF81" i="75"/>
  <c r="AG81" i="75" s="1"/>
  <c r="AF56" i="75"/>
  <c r="AG56" i="75" s="1"/>
  <c r="AF23" i="75"/>
  <c r="AG23" i="75" s="1"/>
  <c r="AF29" i="75"/>
  <c r="AG29" i="75" s="1"/>
  <c r="AF76" i="75"/>
  <c r="AG76" i="75" s="1"/>
  <c r="AF36" i="75"/>
  <c r="AG36" i="75" s="1"/>
  <c r="AF54" i="75"/>
  <c r="AG54" i="75" s="1"/>
  <c r="AF64" i="75"/>
  <c r="AG64" i="75" s="1"/>
  <c r="AF68" i="75"/>
  <c r="AG68" i="75" s="1"/>
  <c r="G15" i="25"/>
  <c r="H54" i="25" s="1"/>
  <c r="H53" i="25" s="1"/>
  <c r="AF51" i="75"/>
  <c r="AG51" i="75" s="1"/>
  <c r="AF69" i="75"/>
  <c r="AG69" i="75" s="1"/>
  <c r="H56" i="25"/>
  <c r="H55" i="25"/>
  <c r="AF44" i="75"/>
  <c r="AG44" i="75" s="1"/>
  <c r="AF73" i="75"/>
  <c r="AG73" i="75" s="1"/>
  <c r="AF22" i="75"/>
  <c r="AG22" i="75" s="1"/>
  <c r="AF28" i="75"/>
  <c r="AG28" i="75" s="1"/>
  <c r="AF43" i="75"/>
  <c r="AG43" i="75" s="1"/>
  <c r="AF70" i="75"/>
  <c r="AG70" i="75" s="1"/>
  <c r="AF47" i="75"/>
  <c r="AG47" i="75" s="1"/>
  <c r="AF48" i="75"/>
  <c r="AG48" i="75" s="1"/>
  <c r="AF33" i="75"/>
  <c r="AG33" i="75" s="1"/>
  <c r="AF38" i="75"/>
  <c r="AG38" i="75" s="1"/>
  <c r="G13" i="25"/>
  <c r="H20" i="25" s="1"/>
  <c r="H19" i="25" s="1"/>
  <c r="AF49" i="75"/>
  <c r="AG49" i="75" s="1"/>
  <c r="AF55" i="75"/>
  <c r="AG55" i="75" s="1"/>
  <c r="H39" i="25"/>
  <c r="H38" i="25"/>
  <c r="AF27" i="75"/>
  <c r="AG27" i="75" s="1"/>
  <c r="AF30" i="75"/>
  <c r="AG30" i="75" s="1"/>
  <c r="AF60" i="75"/>
  <c r="AG60" i="75" s="1"/>
  <c r="AF46" i="75"/>
  <c r="AG46" i="75" s="1"/>
  <c r="AF77" i="75"/>
  <c r="AG77" i="75" s="1"/>
  <c r="AF53" i="75"/>
  <c r="AG53" i="75" s="1"/>
  <c r="AF67" i="75"/>
  <c r="AG67" i="75" s="1"/>
  <c r="AF24" i="75"/>
  <c r="AG24" i="75" s="1"/>
  <c r="AF57" i="75"/>
  <c r="AG57" i="75" s="1"/>
  <c r="AF45" i="75"/>
  <c r="AG45" i="75" s="1"/>
  <c r="H32" i="25"/>
  <c r="H33" i="25" s="1"/>
  <c r="H31" i="25"/>
  <c r="H34" i="25" s="1"/>
  <c r="AF58" i="75"/>
  <c r="AG58" i="75" s="1"/>
  <c r="J47" i="25"/>
  <c r="J46" i="25"/>
  <c r="J40" i="25"/>
  <c r="J41" i="25"/>
  <c r="AF61" i="75"/>
  <c r="AG61" i="75" s="1"/>
  <c r="AF35" i="75"/>
  <c r="AG35" i="75" s="1"/>
  <c r="AF74" i="75"/>
  <c r="AG74" i="75" s="1"/>
  <c r="AF26" i="75"/>
  <c r="AG26" i="75" s="1"/>
  <c r="AF72" i="75"/>
  <c r="AG72" i="75" s="1"/>
  <c r="AF65" i="75"/>
  <c r="AG65" i="75" s="1"/>
  <c r="AF79" i="75"/>
  <c r="AG79" i="75" s="1"/>
  <c r="AF37" i="75"/>
  <c r="AG37" i="75" s="1"/>
  <c r="AF75" i="75"/>
  <c r="AG75" i="75" s="1"/>
  <c r="AF25" i="75"/>
  <c r="AG25" i="75" s="1"/>
  <c r="H49" i="25"/>
  <c r="H50" i="25" s="1"/>
  <c r="H48" i="25"/>
  <c r="H51" i="25" s="1"/>
  <c r="H66" i="25"/>
  <c r="H67" i="25" s="1"/>
  <c r="H65" i="25"/>
  <c r="H68" i="25" s="1"/>
  <c r="AF62" i="75"/>
  <c r="AG62" i="75" s="1"/>
  <c r="J58" i="25"/>
  <c r="J57" i="25"/>
  <c r="AF78" i="75"/>
  <c r="AG78" i="75" s="1"/>
  <c r="AF34" i="75"/>
  <c r="AG34" i="75" s="1"/>
  <c r="AF66" i="75"/>
  <c r="AG66" i="75" s="1"/>
  <c r="AF52" i="75"/>
  <c r="AG52" i="75" s="1"/>
  <c r="AF41" i="75"/>
  <c r="AG41" i="75" s="1"/>
  <c r="AF80" i="75"/>
  <c r="AG80" i="75" s="1"/>
  <c r="J63" i="25"/>
  <c r="J64" i="25"/>
  <c r="AP18" i="75"/>
  <c r="AD16" i="75"/>
  <c r="AP17" i="75"/>
  <c r="Z74" i="75" s="1"/>
  <c r="AO18" i="75"/>
  <c r="S16" i="75"/>
  <c r="T17" i="75"/>
  <c r="D83" i="75"/>
  <c r="D77" i="75"/>
  <c r="D71" i="75"/>
  <c r="T16" i="75"/>
  <c r="D72" i="75" l="1"/>
  <c r="D78" i="75"/>
  <c r="Q75" i="75"/>
  <c r="Q81" i="75"/>
  <c r="Q84" i="75"/>
  <c r="M84" i="75"/>
  <c r="M72" i="75"/>
  <c r="M78" i="75"/>
  <c r="Q83" i="75"/>
  <c r="Q74" i="75"/>
  <c r="J4" i="75"/>
  <c r="M83" i="75"/>
  <c r="AF6" i="75"/>
  <c r="AF5" i="75"/>
  <c r="J6" i="75"/>
  <c r="J5" i="75"/>
  <c r="M70" i="75"/>
  <c r="M76" i="75"/>
  <c r="Z83" i="75"/>
  <c r="Z84" i="75"/>
  <c r="Q80" i="75"/>
  <c r="AP16" i="75"/>
  <c r="Z79" i="75" s="1"/>
  <c r="AE16" i="75"/>
  <c r="Q79" i="75" s="1"/>
  <c r="Z75" i="75"/>
  <c r="Z81" i="75"/>
  <c r="I4" i="75"/>
  <c r="AE4" i="75"/>
  <c r="AD4" i="75"/>
  <c r="Z80" i="75"/>
  <c r="S4" i="75"/>
  <c r="H16" i="75"/>
  <c r="I16" i="75"/>
  <c r="M82" i="75"/>
  <c r="M71" i="75"/>
  <c r="M77" i="75"/>
  <c r="T4" i="75"/>
  <c r="F8" i="75" l="1"/>
  <c r="K8" i="75" s="1"/>
  <c r="G8" i="75"/>
  <c r="L8" i="75" s="1"/>
  <c r="J8" i="75"/>
  <c r="D70" i="75"/>
  <c r="AE8" i="75"/>
  <c r="H6" i="75"/>
  <c r="AE5" i="75"/>
  <c r="AD5" i="75"/>
  <c r="AD6" i="75"/>
  <c r="AE6" i="75"/>
  <c r="AO4" i="75"/>
  <c r="T5" i="75"/>
  <c r="U6" i="75"/>
  <c r="AQ6" i="75"/>
  <c r="AQ5" i="75"/>
  <c r="H5" i="75"/>
  <c r="I5" i="75"/>
  <c r="I6" i="75"/>
  <c r="D82" i="75"/>
  <c r="D76" i="75"/>
  <c r="Z73" i="75"/>
  <c r="Q82" i="75"/>
  <c r="H8" i="75"/>
  <c r="I22" i="75"/>
  <c r="AD83" i="75"/>
  <c r="AA83" i="75" s="1"/>
  <c r="AB83" i="75" s="1"/>
  <c r="AC83" i="75" s="1"/>
  <c r="I8" i="75"/>
  <c r="G10" i="75" l="1"/>
  <c r="J10" i="75"/>
  <c r="F10" i="75"/>
  <c r="K10" i="75" s="1"/>
  <c r="J12" i="75"/>
  <c r="G12" i="75"/>
  <c r="L12" i="75" s="1"/>
  <c r="F12" i="75"/>
  <c r="K12" i="75" s="1"/>
  <c r="U8" i="75"/>
  <c r="Q8" i="75"/>
  <c r="V8" i="75" s="1"/>
  <c r="C34" i="75" s="1"/>
  <c r="R8" i="75"/>
  <c r="W8" i="75" s="1"/>
  <c r="M25" i="75" s="1"/>
  <c r="AF9" i="75"/>
  <c r="AB9" i="75"/>
  <c r="AG9" i="75" s="1"/>
  <c r="AC9" i="75"/>
  <c r="AH9" i="75" s="1"/>
  <c r="AD8" i="75"/>
  <c r="J9" i="75"/>
  <c r="F9" i="75"/>
  <c r="K9" i="75" s="1"/>
  <c r="G9" i="75"/>
  <c r="L9" i="75" s="1"/>
  <c r="AB10" i="75"/>
  <c r="AG10" i="75" s="1"/>
  <c r="AC10" i="75"/>
  <c r="AH10" i="75" s="1"/>
  <c r="AF10" i="75"/>
  <c r="AD10" i="75"/>
  <c r="I10" i="75"/>
  <c r="AE9" i="75"/>
  <c r="I9" i="75"/>
  <c r="L10" i="75"/>
  <c r="AE10" i="75"/>
  <c r="AQ4" i="75"/>
  <c r="AP4" i="75"/>
  <c r="H9" i="75"/>
  <c r="AP6" i="75"/>
  <c r="AO6" i="75"/>
  <c r="AP5" i="75"/>
  <c r="H10" i="75"/>
  <c r="S6" i="75"/>
  <c r="T6" i="75"/>
  <c r="AD9" i="75"/>
  <c r="S5" i="75"/>
  <c r="U5" i="75"/>
  <c r="AO5" i="75"/>
  <c r="H13" i="75"/>
  <c r="Z82" i="75"/>
  <c r="AD82" i="75" s="1"/>
  <c r="F82" i="75" s="1"/>
  <c r="G82" i="75" s="1"/>
  <c r="Q73" i="75"/>
  <c r="H12" i="75"/>
  <c r="S83" i="75"/>
  <c r="T83" i="75" s="1"/>
  <c r="U83" i="75" s="1"/>
  <c r="F83" i="75"/>
  <c r="G83" i="75" s="1"/>
  <c r="N83" i="75"/>
  <c r="O83" i="75" s="1"/>
  <c r="P83" i="75" s="1"/>
  <c r="T8" i="75"/>
  <c r="AD84" i="75"/>
  <c r="N84" i="75" s="1"/>
  <c r="O84" i="75" s="1"/>
  <c r="P84" i="75" s="1"/>
  <c r="I12" i="75"/>
  <c r="AC12" i="75" l="1"/>
  <c r="AH12" i="75" s="1"/>
  <c r="AF12" i="75"/>
  <c r="AB12" i="75"/>
  <c r="AG12" i="75" s="1"/>
  <c r="AC13" i="75"/>
  <c r="AH13" i="75" s="1"/>
  <c r="AF13" i="75"/>
  <c r="AB13" i="75"/>
  <c r="AG13" i="75" s="1"/>
  <c r="J14" i="75"/>
  <c r="F14" i="75"/>
  <c r="K14" i="75" s="1"/>
  <c r="G14" i="75"/>
  <c r="U12" i="75"/>
  <c r="Q12" i="75"/>
  <c r="V12" i="75" s="1"/>
  <c r="C46" i="75" s="1"/>
  <c r="R12" i="75"/>
  <c r="W12" i="75" s="1"/>
  <c r="AF8" i="75"/>
  <c r="AC8" i="75"/>
  <c r="AH8" i="75" s="1"/>
  <c r="AB8" i="75"/>
  <c r="AG8" i="75" s="1"/>
  <c r="Q9" i="75"/>
  <c r="V9" i="75" s="1"/>
  <c r="C35" i="75" s="1"/>
  <c r="R9" i="75"/>
  <c r="W9" i="75" s="1"/>
  <c r="M26" i="75" s="1"/>
  <c r="U9" i="75"/>
  <c r="AN10" i="75"/>
  <c r="AS10" i="75" s="1"/>
  <c r="Z30" i="75" s="1"/>
  <c r="AQ10" i="75"/>
  <c r="AM10" i="75"/>
  <c r="AR10" i="75" s="1"/>
  <c r="C42" i="75" s="1"/>
  <c r="R10" i="75"/>
  <c r="W10" i="75" s="1"/>
  <c r="M27" i="75" s="1"/>
  <c r="U10" i="75"/>
  <c r="Q10" i="75"/>
  <c r="V10" i="75" s="1"/>
  <c r="C36" i="75" s="1"/>
  <c r="AB14" i="75"/>
  <c r="AG14" i="75" s="1"/>
  <c r="AC14" i="75"/>
  <c r="AH14" i="75" s="1"/>
  <c r="AF14" i="75"/>
  <c r="AQ9" i="75"/>
  <c r="AN9" i="75"/>
  <c r="AS9" i="75" s="1"/>
  <c r="Z29" i="75" s="1"/>
  <c r="AM9" i="75"/>
  <c r="AR9" i="75" s="1"/>
  <c r="C41" i="75" s="1"/>
  <c r="S10" i="75"/>
  <c r="T10" i="75"/>
  <c r="AP10" i="75"/>
  <c r="AO10" i="75"/>
  <c r="V24" i="75"/>
  <c r="V22" i="75"/>
  <c r="AD22" i="75" s="1"/>
  <c r="J22" i="75" s="1"/>
  <c r="K22" i="75" s="1"/>
  <c r="L22" i="75" s="1"/>
  <c r="T9" i="75"/>
  <c r="S9" i="75"/>
  <c r="AE13" i="75"/>
  <c r="AD13" i="75"/>
  <c r="V23" i="75"/>
  <c r="AD12" i="75"/>
  <c r="AE12" i="75"/>
  <c r="AD14" i="75"/>
  <c r="AP9" i="75"/>
  <c r="AE14" i="75"/>
  <c r="I23" i="75"/>
  <c r="I24" i="75"/>
  <c r="S14" i="75"/>
  <c r="H14" i="75"/>
  <c r="AO8" i="75"/>
  <c r="AP8" i="75"/>
  <c r="I14" i="75"/>
  <c r="AO9" i="75"/>
  <c r="I13" i="75"/>
  <c r="L14" i="75"/>
  <c r="S8" i="75"/>
  <c r="M43" i="75"/>
  <c r="AO12" i="75"/>
  <c r="AP12" i="75"/>
  <c r="H83" i="75"/>
  <c r="AI83" i="75" s="1"/>
  <c r="AH83" i="75"/>
  <c r="H82" i="75"/>
  <c r="AA82" i="75"/>
  <c r="AB82" i="75" s="1"/>
  <c r="AC82" i="75" s="1"/>
  <c r="S82" i="75"/>
  <c r="T82" i="75" s="1"/>
  <c r="U82" i="75" s="1"/>
  <c r="N82" i="75"/>
  <c r="O82" i="75" s="1"/>
  <c r="P82" i="75" s="1"/>
  <c r="S84" i="75"/>
  <c r="T84" i="75" s="1"/>
  <c r="U84" i="75" s="1"/>
  <c r="AA84" i="75"/>
  <c r="AB84" i="75" s="1"/>
  <c r="AC84" i="75" s="1"/>
  <c r="F84" i="75"/>
  <c r="G84" i="75" s="1"/>
  <c r="T12" i="75"/>
  <c r="AN8" i="75" l="1"/>
  <c r="AS8" i="75" s="1"/>
  <c r="AM8" i="75"/>
  <c r="AR8" i="75" s="1"/>
  <c r="C40" i="75" s="1"/>
  <c r="R40" i="75" s="1"/>
  <c r="V40" i="75" s="1"/>
  <c r="AQ8" i="75"/>
  <c r="AM14" i="75"/>
  <c r="AR14" i="75" s="1"/>
  <c r="C54" i="75" s="1"/>
  <c r="AN14" i="75"/>
  <c r="AS14" i="75" s="1"/>
  <c r="Z45" i="75" s="1"/>
  <c r="AQ14" i="75"/>
  <c r="AN12" i="75"/>
  <c r="AS12" i="75" s="1"/>
  <c r="Z43" i="75" s="1"/>
  <c r="AQ12" i="75"/>
  <c r="C49" i="75" s="1"/>
  <c r="AM12" i="75"/>
  <c r="AR12" i="75" s="1"/>
  <c r="C52" i="75" s="1"/>
  <c r="AQ13" i="75"/>
  <c r="AM13" i="75"/>
  <c r="AR13" i="75" s="1"/>
  <c r="C56" i="75" s="1"/>
  <c r="AN13" i="75"/>
  <c r="AS13" i="75" s="1"/>
  <c r="Z50" i="75" s="1"/>
  <c r="U13" i="75"/>
  <c r="R13" i="75"/>
  <c r="W13" i="75" s="1"/>
  <c r="Q13" i="75"/>
  <c r="V13" i="75" s="1"/>
  <c r="G13" i="75"/>
  <c r="L13" i="75" s="1"/>
  <c r="F13" i="75"/>
  <c r="K13" i="75" s="1"/>
  <c r="J13" i="75"/>
  <c r="W22" i="75"/>
  <c r="X22" i="75" s="1"/>
  <c r="Y22" i="75" s="1"/>
  <c r="AI22" i="75" s="1"/>
  <c r="I27" i="75"/>
  <c r="E36" i="75"/>
  <c r="D36" i="75" s="1"/>
  <c r="M52" i="75"/>
  <c r="AD23" i="75"/>
  <c r="W23" i="75" s="1"/>
  <c r="X23" i="75" s="1"/>
  <c r="Y23" i="75" s="1"/>
  <c r="V36" i="75"/>
  <c r="C39" i="75"/>
  <c r="C38" i="75"/>
  <c r="R38" i="75" s="1"/>
  <c r="Q38" i="75" s="1"/>
  <c r="C33" i="75"/>
  <c r="E35" i="75"/>
  <c r="D35" i="75" s="1"/>
  <c r="C57" i="75"/>
  <c r="C32" i="75"/>
  <c r="R41" i="75"/>
  <c r="Q41" i="75" s="1"/>
  <c r="C55" i="75"/>
  <c r="R42" i="75"/>
  <c r="C31" i="75"/>
  <c r="I37" i="75"/>
  <c r="I40" i="75"/>
  <c r="I25" i="75"/>
  <c r="I28" i="75"/>
  <c r="E34" i="75"/>
  <c r="E46" i="75"/>
  <c r="D46" i="75" s="1"/>
  <c r="I75" i="75"/>
  <c r="AD75" i="75" s="1"/>
  <c r="J75" i="75" s="1"/>
  <c r="K75" i="75" s="1"/>
  <c r="L75" i="75" s="1"/>
  <c r="V30" i="75"/>
  <c r="AD24" i="75"/>
  <c r="W24" i="75" s="1"/>
  <c r="X24" i="75" s="1"/>
  <c r="Y24" i="75" s="1"/>
  <c r="V33" i="75"/>
  <c r="V27" i="75"/>
  <c r="V72" i="75"/>
  <c r="AD72" i="75" s="1"/>
  <c r="W72" i="75" s="1"/>
  <c r="X72" i="75" s="1"/>
  <c r="Y72" i="75" s="1"/>
  <c r="I41" i="75"/>
  <c r="I38" i="75"/>
  <c r="I74" i="75"/>
  <c r="AD74" i="75" s="1"/>
  <c r="AA74" i="75" s="1"/>
  <c r="AB74" i="75" s="1"/>
  <c r="AC74" i="75" s="1"/>
  <c r="I26" i="75"/>
  <c r="AP13" i="75"/>
  <c r="AP14" i="75"/>
  <c r="I29" i="75"/>
  <c r="I39" i="75"/>
  <c r="I42" i="75"/>
  <c r="V32" i="75"/>
  <c r="V71" i="75"/>
  <c r="AD71" i="75" s="1"/>
  <c r="F71" i="75" s="1"/>
  <c r="G71" i="75" s="1"/>
  <c r="H71" i="75" s="1"/>
  <c r="T14" i="75"/>
  <c r="I57" i="75" s="1"/>
  <c r="T13" i="75"/>
  <c r="V26" i="75"/>
  <c r="S13" i="75"/>
  <c r="V29" i="75"/>
  <c r="V35" i="75"/>
  <c r="I30" i="75"/>
  <c r="AO14" i="75"/>
  <c r="V70" i="75"/>
  <c r="Z28" i="75"/>
  <c r="V28" i="75"/>
  <c r="AO13" i="75"/>
  <c r="V49" i="75"/>
  <c r="V46" i="75"/>
  <c r="V43" i="75"/>
  <c r="V76" i="75"/>
  <c r="S12" i="75"/>
  <c r="M79" i="75"/>
  <c r="M55" i="75"/>
  <c r="AI82" i="75"/>
  <c r="I73" i="75"/>
  <c r="AD73" i="75" s="1"/>
  <c r="S73" i="75" s="1"/>
  <c r="T73" i="75" s="1"/>
  <c r="U73" i="75" s="1"/>
  <c r="H84" i="75"/>
  <c r="AI84" i="75" s="1"/>
  <c r="AH84" i="75"/>
  <c r="AH82" i="75"/>
  <c r="AD27" i="75" l="1"/>
  <c r="N27" i="75" s="1"/>
  <c r="O27" i="75" s="1"/>
  <c r="P27" i="75" s="1"/>
  <c r="C53" i="75"/>
  <c r="C47" i="75"/>
  <c r="U14" i="75"/>
  <c r="R14" i="75"/>
  <c r="W14" i="75" s="1"/>
  <c r="M45" i="75" s="1"/>
  <c r="Q14" i="75"/>
  <c r="V14" i="75" s="1"/>
  <c r="C48" i="75" s="1"/>
  <c r="E48" i="75" s="1"/>
  <c r="D48" i="75" s="1"/>
  <c r="AH22" i="75"/>
  <c r="BB22" i="75" s="1"/>
  <c r="I46" i="75"/>
  <c r="I61" i="75" s="1"/>
  <c r="I35" i="75"/>
  <c r="AD35" i="75" s="1"/>
  <c r="Q40" i="75"/>
  <c r="AD40" i="75" s="1"/>
  <c r="W40" i="75" s="1"/>
  <c r="X40" i="75" s="1"/>
  <c r="Y40" i="75" s="1"/>
  <c r="J23" i="75"/>
  <c r="K23" i="75" s="1"/>
  <c r="L23" i="75" s="1"/>
  <c r="AI23" i="75" s="1"/>
  <c r="I36" i="75"/>
  <c r="AD36" i="75" s="1"/>
  <c r="S74" i="75"/>
  <c r="T74" i="75" s="1"/>
  <c r="U74" i="75" s="1"/>
  <c r="E49" i="75"/>
  <c r="I49" i="75" s="1"/>
  <c r="D58" i="75"/>
  <c r="D61" i="75"/>
  <c r="E31" i="75"/>
  <c r="D31" i="75" s="1"/>
  <c r="E32" i="75"/>
  <c r="I32" i="75" s="1"/>
  <c r="R55" i="75"/>
  <c r="Q55" i="75" s="1"/>
  <c r="R39" i="75"/>
  <c r="Q39" i="75" s="1"/>
  <c r="C50" i="75"/>
  <c r="E47" i="75"/>
  <c r="E58" i="75"/>
  <c r="E61" i="75"/>
  <c r="V41" i="75"/>
  <c r="AD41" i="75" s="1"/>
  <c r="E33" i="75"/>
  <c r="D33" i="75" s="1"/>
  <c r="S75" i="75"/>
  <c r="T75" i="75" s="1"/>
  <c r="U75" i="75" s="1"/>
  <c r="D34" i="75"/>
  <c r="I34" i="75"/>
  <c r="V42" i="75"/>
  <c r="Q42" i="75"/>
  <c r="V25" i="75"/>
  <c r="AD25" i="75" s="1"/>
  <c r="W25" i="75" s="1"/>
  <c r="X25" i="75" s="1"/>
  <c r="Y25" i="75" s="1"/>
  <c r="R54" i="75"/>
  <c r="Q54" i="75" s="1"/>
  <c r="R53" i="75"/>
  <c r="Q53" i="75" s="1"/>
  <c r="AA75" i="75"/>
  <c r="AB75" i="75" s="1"/>
  <c r="AC75" i="75" s="1"/>
  <c r="J24" i="75"/>
  <c r="K24" i="75" s="1"/>
  <c r="L24" i="75" s="1"/>
  <c r="AI24" i="75" s="1"/>
  <c r="R52" i="75"/>
  <c r="Q52" i="75" s="1"/>
  <c r="C37" i="75"/>
  <c r="R57" i="75"/>
  <c r="Q57" i="75" s="1"/>
  <c r="R56" i="75"/>
  <c r="C51" i="75"/>
  <c r="V38" i="75"/>
  <c r="F72" i="75"/>
  <c r="G72" i="75" s="1"/>
  <c r="H72" i="75" s="1"/>
  <c r="N72" i="75"/>
  <c r="O72" i="75" s="1"/>
  <c r="P72" i="75" s="1"/>
  <c r="J74" i="75"/>
  <c r="K74" i="75" s="1"/>
  <c r="L74" i="75" s="1"/>
  <c r="AI74" i="75" s="1"/>
  <c r="I45" i="75"/>
  <c r="I81" i="75"/>
  <c r="AD30" i="75"/>
  <c r="W30" i="75" s="1"/>
  <c r="X30" i="75" s="1"/>
  <c r="Y30" i="75" s="1"/>
  <c r="AD26" i="75"/>
  <c r="J26" i="75" s="1"/>
  <c r="K26" i="75" s="1"/>
  <c r="L26" i="75" s="1"/>
  <c r="V48" i="75"/>
  <c r="I54" i="75"/>
  <c r="AD29" i="75"/>
  <c r="J29" i="75" s="1"/>
  <c r="K29" i="75" s="1"/>
  <c r="L29" i="75" s="1"/>
  <c r="Z78" i="75"/>
  <c r="Z51" i="75"/>
  <c r="Z48" i="75"/>
  <c r="V51" i="75"/>
  <c r="V78" i="75"/>
  <c r="N71" i="75"/>
  <c r="O71" i="75" s="1"/>
  <c r="P71" i="75" s="1"/>
  <c r="V45" i="75"/>
  <c r="W71" i="75"/>
  <c r="X71" i="75" s="1"/>
  <c r="Y71" i="75" s="1"/>
  <c r="AD28" i="75"/>
  <c r="W28" i="75" s="1"/>
  <c r="X28" i="75" s="1"/>
  <c r="Y28" i="75" s="1"/>
  <c r="M80" i="75"/>
  <c r="Z47" i="75"/>
  <c r="I80" i="75"/>
  <c r="I53" i="75"/>
  <c r="I56" i="75"/>
  <c r="Z44" i="75"/>
  <c r="I44" i="75"/>
  <c r="Z77" i="75"/>
  <c r="M44" i="75"/>
  <c r="M53" i="75"/>
  <c r="M56" i="75"/>
  <c r="V44" i="75"/>
  <c r="V47" i="75"/>
  <c r="V50" i="75"/>
  <c r="V77" i="75"/>
  <c r="AD70" i="75"/>
  <c r="W70" i="75" s="1"/>
  <c r="X70" i="75" s="1"/>
  <c r="Y70" i="75" s="1"/>
  <c r="V31" i="75"/>
  <c r="V34" i="75"/>
  <c r="I79" i="75"/>
  <c r="Z49" i="75"/>
  <c r="Z76" i="75"/>
  <c r="AD76" i="75" s="1"/>
  <c r="W76" i="75" s="1"/>
  <c r="X76" i="75" s="1"/>
  <c r="Y76" i="75" s="1"/>
  <c r="Z46" i="75"/>
  <c r="I52" i="75"/>
  <c r="I55" i="75"/>
  <c r="AL82" i="75"/>
  <c r="J73" i="75"/>
  <c r="K73" i="75" s="1"/>
  <c r="L73" i="75" s="1"/>
  <c r="W27" i="75"/>
  <c r="X27" i="75" s="1"/>
  <c r="Y27" i="75" s="1"/>
  <c r="AA73" i="75"/>
  <c r="AB73" i="75" s="1"/>
  <c r="AC73" i="75" s="1"/>
  <c r="I43" i="75"/>
  <c r="J27" i="75"/>
  <c r="K27" i="75" s="1"/>
  <c r="AT82" i="75"/>
  <c r="BF83" i="75"/>
  <c r="AX83" i="75"/>
  <c r="AT83" i="75"/>
  <c r="AL83" i="75"/>
  <c r="BF82" i="75"/>
  <c r="AX82" i="75"/>
  <c r="I58" i="75" l="1"/>
  <c r="AP22" i="75"/>
  <c r="BI22" i="75" s="1"/>
  <c r="V55" i="75"/>
  <c r="V61" i="75" s="1"/>
  <c r="AH24" i="75"/>
  <c r="BB24" i="75" s="1"/>
  <c r="AH23" i="75"/>
  <c r="BB23" i="75" s="1"/>
  <c r="AI72" i="75"/>
  <c r="V52" i="75"/>
  <c r="V58" i="75" s="1"/>
  <c r="D49" i="75"/>
  <c r="D67" i="75" s="1"/>
  <c r="I31" i="75"/>
  <c r="AD31" i="75" s="1"/>
  <c r="F31" i="75" s="1"/>
  <c r="G31" i="75" s="1"/>
  <c r="S40" i="75"/>
  <c r="T40" i="75" s="1"/>
  <c r="U40" i="75" s="1"/>
  <c r="AD42" i="75"/>
  <c r="J42" i="75" s="1"/>
  <c r="K42" i="75" s="1"/>
  <c r="L42" i="75" s="1"/>
  <c r="D32" i="75"/>
  <c r="AD32" i="75" s="1"/>
  <c r="J32" i="75" s="1"/>
  <c r="K32" i="75" s="1"/>
  <c r="L32" i="75" s="1"/>
  <c r="V54" i="75"/>
  <c r="V66" i="75" s="1"/>
  <c r="F36" i="75"/>
  <c r="G36" i="75" s="1"/>
  <c r="H36" i="75" s="1"/>
  <c r="W36" i="75"/>
  <c r="X36" i="75" s="1"/>
  <c r="Y36" i="75" s="1"/>
  <c r="J36" i="75"/>
  <c r="K36" i="75" s="1"/>
  <c r="L36" i="75" s="1"/>
  <c r="AH72" i="75"/>
  <c r="I33" i="75"/>
  <c r="AD33" i="75" s="1"/>
  <c r="W33" i="75" s="1"/>
  <c r="X33" i="75" s="1"/>
  <c r="Y33" i="75" s="1"/>
  <c r="V39" i="75"/>
  <c r="AD39" i="75" s="1"/>
  <c r="Q67" i="75"/>
  <c r="Q61" i="75"/>
  <c r="S41" i="75"/>
  <c r="T41" i="75" s="1"/>
  <c r="U41" i="75" s="1"/>
  <c r="J41" i="75"/>
  <c r="K41" i="75" s="1"/>
  <c r="L41" i="75" s="1"/>
  <c r="E59" i="75"/>
  <c r="E62" i="75"/>
  <c r="R37" i="75"/>
  <c r="Q37" i="75" s="1"/>
  <c r="R59" i="75"/>
  <c r="R65" i="75"/>
  <c r="AD34" i="75"/>
  <c r="J34" i="75" s="1"/>
  <c r="K34" i="75" s="1"/>
  <c r="V53" i="75"/>
  <c r="AD53" i="75" s="1"/>
  <c r="S53" i="75" s="1"/>
  <c r="E60" i="75"/>
  <c r="E63" i="75"/>
  <c r="I48" i="75"/>
  <c r="AD48" i="75" s="1"/>
  <c r="R62" i="75"/>
  <c r="R68" i="75"/>
  <c r="R69" i="75"/>
  <c r="R63" i="75"/>
  <c r="V57" i="75"/>
  <c r="Q64" i="75"/>
  <c r="Q58" i="75"/>
  <c r="I67" i="75"/>
  <c r="I64" i="75"/>
  <c r="Q69" i="75"/>
  <c r="Q63" i="75"/>
  <c r="AD38" i="75"/>
  <c r="W38" i="75" s="1"/>
  <c r="X38" i="75" s="1"/>
  <c r="Y38" i="75" s="1"/>
  <c r="V56" i="75"/>
  <c r="Q65" i="75"/>
  <c r="Q59" i="75"/>
  <c r="D60" i="75"/>
  <c r="D63" i="75"/>
  <c r="E51" i="75"/>
  <c r="D51" i="75" s="1"/>
  <c r="R64" i="75"/>
  <c r="R58" i="75"/>
  <c r="Q66" i="75"/>
  <c r="Q60" i="75"/>
  <c r="W41" i="75"/>
  <c r="X41" i="75" s="1"/>
  <c r="Y41" i="75" s="1"/>
  <c r="I47" i="75"/>
  <c r="E50" i="75"/>
  <c r="D50" i="75" s="1"/>
  <c r="R60" i="75"/>
  <c r="R66" i="75"/>
  <c r="E67" i="75"/>
  <c r="E64" i="75"/>
  <c r="Q56" i="75"/>
  <c r="D47" i="75"/>
  <c r="R61" i="75"/>
  <c r="R67" i="75"/>
  <c r="W35" i="75"/>
  <c r="X35" i="75" s="1"/>
  <c r="Y35" i="75" s="1"/>
  <c r="F35" i="75"/>
  <c r="J28" i="75"/>
  <c r="K28" i="75" s="1"/>
  <c r="L28" i="75" s="1"/>
  <c r="AH74" i="75"/>
  <c r="AP74" i="75" s="1"/>
  <c r="AD78" i="75"/>
  <c r="AA78" i="75" s="1"/>
  <c r="AB78" i="75" s="1"/>
  <c r="AC78" i="75" s="1"/>
  <c r="J35" i="75"/>
  <c r="K35" i="75" s="1"/>
  <c r="L35" i="75" s="1"/>
  <c r="AA30" i="75"/>
  <c r="AB30" i="75" s="1"/>
  <c r="AC30" i="75" s="1"/>
  <c r="N26" i="75"/>
  <c r="O26" i="75" s="1"/>
  <c r="P26" i="75" s="1"/>
  <c r="W26" i="75"/>
  <c r="X26" i="75" s="1"/>
  <c r="Y26" i="75" s="1"/>
  <c r="J30" i="75"/>
  <c r="K30" i="75" s="1"/>
  <c r="L30" i="75" s="1"/>
  <c r="AD80" i="75"/>
  <c r="J80" i="75" s="1"/>
  <c r="K80" i="75" s="1"/>
  <c r="L80" i="75" s="1"/>
  <c r="AD45" i="75"/>
  <c r="W45" i="75" s="1"/>
  <c r="X45" i="75" s="1"/>
  <c r="Y45" i="75" s="1"/>
  <c r="AA29" i="75"/>
  <c r="AB29" i="75" s="1"/>
  <c r="AC29" i="75" s="1"/>
  <c r="W29" i="75"/>
  <c r="X29" i="75" s="1"/>
  <c r="Y29" i="75" s="1"/>
  <c r="J40" i="75"/>
  <c r="K40" i="75" s="1"/>
  <c r="L40" i="75" s="1"/>
  <c r="AH71" i="75"/>
  <c r="AA28" i="75"/>
  <c r="AB28" i="75" s="1"/>
  <c r="AC28" i="75" s="1"/>
  <c r="AI71" i="75"/>
  <c r="AD44" i="75"/>
  <c r="W44" i="75" s="1"/>
  <c r="X44" i="75" s="1"/>
  <c r="Y44" i="75" s="1"/>
  <c r="M57" i="75"/>
  <c r="M81" i="75"/>
  <c r="AD81" i="75" s="1"/>
  <c r="N81" i="75" s="1"/>
  <c r="O81" i="75" s="1"/>
  <c r="P81" i="75" s="1"/>
  <c r="M54" i="75"/>
  <c r="N70" i="75"/>
  <c r="O70" i="75" s="1"/>
  <c r="P70" i="75" s="1"/>
  <c r="F70" i="75"/>
  <c r="G70" i="75" s="1"/>
  <c r="AI75" i="75"/>
  <c r="AI73" i="75"/>
  <c r="BI82" i="75"/>
  <c r="N76" i="75"/>
  <c r="O76" i="75" s="1"/>
  <c r="P76" i="75" s="1"/>
  <c r="F76" i="75"/>
  <c r="G76" i="75" s="1"/>
  <c r="H76" i="75" s="1"/>
  <c r="AA76" i="75"/>
  <c r="AB76" i="75" s="1"/>
  <c r="AC76" i="75" s="1"/>
  <c r="AD77" i="75"/>
  <c r="AA77" i="75" s="1"/>
  <c r="AB77" i="75" s="1"/>
  <c r="AC77" i="75" s="1"/>
  <c r="N25" i="75"/>
  <c r="O25" i="75" s="1"/>
  <c r="P25" i="75" s="1"/>
  <c r="J25" i="75"/>
  <c r="K25" i="75" s="1"/>
  <c r="L25" i="75" s="1"/>
  <c r="AH27" i="75"/>
  <c r="L27" i="75"/>
  <c r="AI27" i="75" s="1"/>
  <c r="AH73" i="75"/>
  <c r="AT84" i="75"/>
  <c r="BF84" i="75"/>
  <c r="AX84" i="75"/>
  <c r="AL84" i="75"/>
  <c r="BI83" i="75"/>
  <c r="AH75" i="75"/>
  <c r="V67" i="75" l="1"/>
  <c r="AD67" i="75" s="1"/>
  <c r="F67" i="75" s="1"/>
  <c r="AP24" i="75"/>
  <c r="D64" i="75"/>
  <c r="V60" i="75"/>
  <c r="AL72" i="75"/>
  <c r="AD54" i="75"/>
  <c r="W54" i="75" s="1"/>
  <c r="X54" i="75" s="1"/>
  <c r="Y54" i="75" s="1"/>
  <c r="BF74" i="75"/>
  <c r="AP23" i="75"/>
  <c r="AT72" i="75"/>
  <c r="F78" i="75"/>
  <c r="G78" i="75" s="1"/>
  <c r="H78" i="75" s="1"/>
  <c r="N78" i="75"/>
  <c r="O78" i="75" s="1"/>
  <c r="P78" i="75" s="1"/>
  <c r="BB72" i="75"/>
  <c r="AA45" i="75"/>
  <c r="AB45" i="75" s="1"/>
  <c r="AC45" i="75" s="1"/>
  <c r="AD58" i="75"/>
  <c r="F58" i="75" s="1"/>
  <c r="AD57" i="75"/>
  <c r="J57" i="75" s="1"/>
  <c r="K57" i="75" s="1"/>
  <c r="L57" i="75" s="1"/>
  <c r="V64" i="75"/>
  <c r="W78" i="75"/>
  <c r="X78" i="75" s="1"/>
  <c r="Y78" i="75" s="1"/>
  <c r="AD47" i="75"/>
  <c r="W47" i="75" s="1"/>
  <c r="X47" i="75" s="1"/>
  <c r="Y47" i="75" s="1"/>
  <c r="W42" i="75"/>
  <c r="X42" i="75" s="1"/>
  <c r="Y42" i="75" s="1"/>
  <c r="S42" i="75"/>
  <c r="T42" i="75" s="1"/>
  <c r="U42" i="75" s="1"/>
  <c r="S80" i="75"/>
  <c r="T80" i="75" s="1"/>
  <c r="U80" i="75" s="1"/>
  <c r="AX74" i="75"/>
  <c r="AI30" i="75"/>
  <c r="S39" i="75"/>
  <c r="T39" i="75" s="1"/>
  <c r="U39" i="75" s="1"/>
  <c r="J39" i="75"/>
  <c r="K39" i="75" s="1"/>
  <c r="L39" i="75" s="1"/>
  <c r="AH36" i="75"/>
  <c r="W34" i="75"/>
  <c r="X34" i="75" s="1"/>
  <c r="Y34" i="75" s="1"/>
  <c r="AI36" i="75"/>
  <c r="J33" i="75"/>
  <c r="K33" i="75" s="1"/>
  <c r="L33" i="75" s="1"/>
  <c r="W32" i="75"/>
  <c r="X32" i="75" s="1"/>
  <c r="Y32" i="75" s="1"/>
  <c r="I51" i="75"/>
  <c r="AD51" i="75" s="1"/>
  <c r="J44" i="75"/>
  <c r="K44" i="75" s="1"/>
  <c r="L44" i="75" s="1"/>
  <c r="I50" i="75"/>
  <c r="I65" i="75" s="1"/>
  <c r="F33" i="75"/>
  <c r="G33" i="75" s="1"/>
  <c r="H33" i="75" s="1"/>
  <c r="W39" i="75"/>
  <c r="X39" i="75" s="1"/>
  <c r="Y39" i="75" s="1"/>
  <c r="W48" i="75"/>
  <c r="X48" i="75" s="1"/>
  <c r="Y48" i="75" s="1"/>
  <c r="F48" i="75"/>
  <c r="G48" i="75" s="1"/>
  <c r="H48" i="75" s="1"/>
  <c r="AA48" i="75"/>
  <c r="AB48" i="75" s="1"/>
  <c r="AC48" i="75" s="1"/>
  <c r="D65" i="75"/>
  <c r="D68" i="75"/>
  <c r="I59" i="75"/>
  <c r="I62" i="75"/>
  <c r="V63" i="75"/>
  <c r="V69" i="75"/>
  <c r="V37" i="75"/>
  <c r="E69" i="75"/>
  <c r="E66" i="75"/>
  <c r="V68" i="75"/>
  <c r="V62" i="75"/>
  <c r="Q68" i="75"/>
  <c r="Q62" i="75"/>
  <c r="S38" i="75"/>
  <c r="T38" i="75" s="1"/>
  <c r="U38" i="75" s="1"/>
  <c r="J38" i="75"/>
  <c r="K38" i="75" s="1"/>
  <c r="L38" i="75" s="1"/>
  <c r="V65" i="75"/>
  <c r="V59" i="75"/>
  <c r="AH30" i="75"/>
  <c r="AD56" i="75"/>
  <c r="J56" i="75" s="1"/>
  <c r="K56" i="75" s="1"/>
  <c r="L56" i="75" s="1"/>
  <c r="F32" i="75"/>
  <c r="G32" i="75" s="1"/>
  <c r="H32" i="75" s="1"/>
  <c r="F34" i="75"/>
  <c r="G34" i="75" s="1"/>
  <c r="H34" i="75" s="1"/>
  <c r="I60" i="75"/>
  <c r="I63" i="75"/>
  <c r="D59" i="75"/>
  <c r="D62" i="75"/>
  <c r="D66" i="75"/>
  <c r="D69" i="75"/>
  <c r="E65" i="75"/>
  <c r="E68" i="75"/>
  <c r="L34" i="75"/>
  <c r="J48" i="75"/>
  <c r="K48" i="75" s="1"/>
  <c r="L48" i="75" s="1"/>
  <c r="AI41" i="75"/>
  <c r="N80" i="75"/>
  <c r="O80" i="75" s="1"/>
  <c r="P80" i="75" s="1"/>
  <c r="AA80" i="75"/>
  <c r="AB80" i="75" s="1"/>
  <c r="AC80" i="75" s="1"/>
  <c r="AH26" i="75"/>
  <c r="AI26" i="75"/>
  <c r="AI28" i="75"/>
  <c r="AI29" i="75"/>
  <c r="AA44" i="75"/>
  <c r="AB44" i="75" s="1"/>
  <c r="AC44" i="75" s="1"/>
  <c r="N44" i="75"/>
  <c r="O44" i="75" s="1"/>
  <c r="P44" i="75" s="1"/>
  <c r="AH29" i="75"/>
  <c r="N45" i="75"/>
  <c r="O45" i="75" s="1"/>
  <c r="P45" i="75" s="1"/>
  <c r="J45" i="75"/>
  <c r="K45" i="75" s="1"/>
  <c r="L45" i="75" s="1"/>
  <c r="AH28" i="75"/>
  <c r="AI40" i="75"/>
  <c r="BB71" i="75"/>
  <c r="AL71" i="75"/>
  <c r="AT71" i="75"/>
  <c r="S81" i="75"/>
  <c r="T81" i="75" s="1"/>
  <c r="U81" i="75" s="1"/>
  <c r="J81" i="75"/>
  <c r="K81" i="75" s="1"/>
  <c r="L81" i="75" s="1"/>
  <c r="AA81" i="75"/>
  <c r="AB81" i="75" s="1"/>
  <c r="AC81" i="75" s="1"/>
  <c r="AH40" i="75"/>
  <c r="H70" i="75"/>
  <c r="AH70" i="75"/>
  <c r="G35" i="75"/>
  <c r="AD46" i="75"/>
  <c r="F46" i="75" s="1"/>
  <c r="AI25" i="75"/>
  <c r="AI76" i="75"/>
  <c r="AH76" i="75"/>
  <c r="N77" i="75"/>
  <c r="O77" i="75" s="1"/>
  <c r="P77" i="75" s="1"/>
  <c r="W77" i="75"/>
  <c r="X77" i="75" s="1"/>
  <c r="Y77" i="75" s="1"/>
  <c r="F77" i="75"/>
  <c r="G77" i="75" s="1"/>
  <c r="W53" i="75"/>
  <c r="X53" i="75" s="1"/>
  <c r="Y53" i="75" s="1"/>
  <c r="N53" i="75"/>
  <c r="O53" i="75" s="1"/>
  <c r="P53" i="75" s="1"/>
  <c r="J53" i="75"/>
  <c r="K53" i="75" s="1"/>
  <c r="AH25" i="75"/>
  <c r="AD49" i="75"/>
  <c r="F49" i="75" s="1"/>
  <c r="AD43" i="75"/>
  <c r="J43" i="75" s="1"/>
  <c r="K43" i="75" s="1"/>
  <c r="L43" i="75" s="1"/>
  <c r="AD52" i="75"/>
  <c r="W52" i="75" s="1"/>
  <c r="AD55" i="75"/>
  <c r="S55" i="75" s="1"/>
  <c r="BI24" i="75"/>
  <c r="AD61" i="75"/>
  <c r="F61" i="75" s="1"/>
  <c r="AT27" i="75"/>
  <c r="BB27" i="75"/>
  <c r="AP27" i="75"/>
  <c r="AX75" i="75"/>
  <c r="BI84" i="75"/>
  <c r="AP75" i="75"/>
  <c r="BF75" i="75"/>
  <c r="BF73" i="75"/>
  <c r="AX73" i="75"/>
  <c r="AP73" i="75"/>
  <c r="S54" i="75" l="1"/>
  <c r="T54" i="75" s="1"/>
  <c r="U54" i="75" s="1"/>
  <c r="J54" i="75"/>
  <c r="K54" i="75" s="1"/>
  <c r="L54" i="75" s="1"/>
  <c r="AD64" i="75"/>
  <c r="W64" i="75" s="1"/>
  <c r="N57" i="75"/>
  <c r="O57" i="75" s="1"/>
  <c r="P57" i="75" s="1"/>
  <c r="S58" i="75"/>
  <c r="W58" i="75"/>
  <c r="X58" i="75" s="1"/>
  <c r="Y58" i="75" s="1"/>
  <c r="AD60" i="75"/>
  <c r="J60" i="75" s="1"/>
  <c r="K60" i="75" s="1"/>
  <c r="L60" i="75" s="1"/>
  <c r="N54" i="75"/>
  <c r="O54" i="75" s="1"/>
  <c r="P54" i="75" s="1"/>
  <c r="BI72" i="75"/>
  <c r="J58" i="75"/>
  <c r="K58" i="75" s="1"/>
  <c r="L58" i="75" s="1"/>
  <c r="AA47" i="75"/>
  <c r="AB47" i="75" s="1"/>
  <c r="AC47" i="75" s="1"/>
  <c r="BI23" i="75"/>
  <c r="F47" i="75"/>
  <c r="G47" i="75" s="1"/>
  <c r="H47" i="75" s="1"/>
  <c r="J47" i="75"/>
  <c r="K47" i="75" s="1"/>
  <c r="L47" i="75" s="1"/>
  <c r="BB30" i="75"/>
  <c r="AD50" i="75"/>
  <c r="F50" i="75" s="1"/>
  <c r="G50" i="75" s="1"/>
  <c r="I68" i="75"/>
  <c r="AD68" i="75" s="1"/>
  <c r="W68" i="75" s="1"/>
  <c r="X68" i="75" s="1"/>
  <c r="Y68" i="75" s="1"/>
  <c r="AP30" i="75"/>
  <c r="W57" i="75"/>
  <c r="X57" i="75" s="1"/>
  <c r="Y57" i="75" s="1"/>
  <c r="S57" i="75"/>
  <c r="T57" i="75" s="1"/>
  <c r="U57" i="75" s="1"/>
  <c r="AI42" i="75"/>
  <c r="BF30" i="75"/>
  <c r="AH42" i="75"/>
  <c r="N56" i="75"/>
  <c r="O56" i="75" s="1"/>
  <c r="P56" i="75" s="1"/>
  <c r="AI32" i="75"/>
  <c r="AH78" i="75"/>
  <c r="AI39" i="75"/>
  <c r="AI78" i="75"/>
  <c r="AI33" i="75"/>
  <c r="AP36" i="75"/>
  <c r="BB36" i="75"/>
  <c r="AL36" i="75"/>
  <c r="BI74" i="75"/>
  <c r="I66" i="75"/>
  <c r="AD66" i="75" s="1"/>
  <c r="J66" i="75" s="1"/>
  <c r="K66" i="75" s="1"/>
  <c r="L66" i="75" s="1"/>
  <c r="BB26" i="75"/>
  <c r="I69" i="75"/>
  <c r="AD69" i="75" s="1"/>
  <c r="S69" i="75" s="1"/>
  <c r="T69" i="75" s="1"/>
  <c r="AA51" i="75"/>
  <c r="AB51" i="75" s="1"/>
  <c r="AC51" i="75" s="1"/>
  <c r="J51" i="75"/>
  <c r="K51" i="75" s="1"/>
  <c r="L51" i="75" s="1"/>
  <c r="W51" i="75"/>
  <c r="X51" i="75" s="1"/>
  <c r="Y51" i="75" s="1"/>
  <c r="AH33" i="75"/>
  <c r="S56" i="75"/>
  <c r="T56" i="75" s="1"/>
  <c r="U56" i="75" s="1"/>
  <c r="W56" i="75"/>
  <c r="X56" i="75" s="1"/>
  <c r="Y56" i="75" s="1"/>
  <c r="AI38" i="75"/>
  <c r="S67" i="75"/>
  <c r="F51" i="75"/>
  <c r="G51" i="75" s="1"/>
  <c r="AH39" i="75"/>
  <c r="AH32" i="75"/>
  <c r="AD62" i="75"/>
  <c r="F62" i="75" s="1"/>
  <c r="G62" i="75" s="1"/>
  <c r="H62" i="75" s="1"/>
  <c r="AD65" i="75"/>
  <c r="AP26" i="75"/>
  <c r="AD37" i="75"/>
  <c r="W37" i="75" s="1"/>
  <c r="X37" i="75" s="1"/>
  <c r="Y37" i="75" s="1"/>
  <c r="AI48" i="75"/>
  <c r="AD59" i="75"/>
  <c r="F59" i="75" s="1"/>
  <c r="G59" i="75" s="1"/>
  <c r="H59" i="75" s="1"/>
  <c r="AH38" i="75"/>
  <c r="AI80" i="75"/>
  <c r="AD63" i="75"/>
  <c r="S61" i="75"/>
  <c r="N52" i="75"/>
  <c r="O52" i="75" s="1"/>
  <c r="P52" i="75" s="1"/>
  <c r="S52" i="75"/>
  <c r="S64" i="75"/>
  <c r="F64" i="75"/>
  <c r="AH41" i="75"/>
  <c r="AP41" i="75" s="1"/>
  <c r="AH34" i="75"/>
  <c r="AI34" i="75"/>
  <c r="AT26" i="75"/>
  <c r="AH80" i="75"/>
  <c r="AP29" i="75"/>
  <c r="AI44" i="75"/>
  <c r="BF29" i="75"/>
  <c r="BB29" i="75"/>
  <c r="AH44" i="75"/>
  <c r="BF28" i="75"/>
  <c r="AI45" i="75"/>
  <c r="BB28" i="75"/>
  <c r="AP28" i="75"/>
  <c r="AH45" i="75"/>
  <c r="AP40" i="75"/>
  <c r="AH48" i="75"/>
  <c r="AI81" i="75"/>
  <c r="AH81" i="75"/>
  <c r="BI71" i="75"/>
  <c r="BB40" i="75"/>
  <c r="AX40" i="75"/>
  <c r="AI70" i="75"/>
  <c r="AL70" i="75" s="1"/>
  <c r="H35" i="75"/>
  <c r="AH35" i="75"/>
  <c r="J55" i="75"/>
  <c r="K55" i="75" s="1"/>
  <c r="L55" i="75" s="1"/>
  <c r="T53" i="75"/>
  <c r="U53" i="75" s="1"/>
  <c r="J46" i="75"/>
  <c r="K46" i="75" s="1"/>
  <c r="L46" i="75" s="1"/>
  <c r="T58" i="75"/>
  <c r="U58" i="75" s="1"/>
  <c r="J64" i="75"/>
  <c r="K64" i="75" s="1"/>
  <c r="L64" i="75" s="1"/>
  <c r="G58" i="75"/>
  <c r="H58" i="75" s="1"/>
  <c r="W46" i="75"/>
  <c r="X46" i="75" s="1"/>
  <c r="Y46" i="75" s="1"/>
  <c r="AA46" i="75"/>
  <c r="AB46" i="75" s="1"/>
  <c r="AC46" i="75" s="1"/>
  <c r="AT25" i="75"/>
  <c r="BB25" i="75"/>
  <c r="AP25" i="75"/>
  <c r="AL76" i="75"/>
  <c r="BB76" i="75"/>
  <c r="AT76" i="75"/>
  <c r="BF76" i="75"/>
  <c r="H77" i="75"/>
  <c r="AI77" i="75" s="1"/>
  <c r="AH77" i="75"/>
  <c r="L53" i="75"/>
  <c r="N43" i="75"/>
  <c r="O43" i="75" s="1"/>
  <c r="P43" i="75" s="1"/>
  <c r="W43" i="75"/>
  <c r="X43" i="75" s="1"/>
  <c r="Y43" i="75" s="1"/>
  <c r="AA43" i="75"/>
  <c r="AB43" i="75" s="1"/>
  <c r="AC43" i="75" s="1"/>
  <c r="X64" i="75"/>
  <c r="Y64" i="75" s="1"/>
  <c r="AD79" i="75"/>
  <c r="N79" i="75" s="1"/>
  <c r="O79" i="75" s="1"/>
  <c r="P79" i="75" s="1"/>
  <c r="W55" i="75"/>
  <c r="X55" i="75" s="1"/>
  <c r="Y55" i="75" s="1"/>
  <c r="N55" i="75"/>
  <c r="O55" i="75" s="1"/>
  <c r="P55" i="75" s="1"/>
  <c r="J67" i="75"/>
  <c r="K67" i="75" s="1"/>
  <c r="L67" i="75" s="1"/>
  <c r="W67" i="75"/>
  <c r="X67" i="75" s="1"/>
  <c r="Y67" i="75" s="1"/>
  <c r="J61" i="75"/>
  <c r="K61" i="75" s="1"/>
  <c r="L61" i="75" s="1"/>
  <c r="W61" i="75"/>
  <c r="X61" i="75" s="1"/>
  <c r="Y61" i="75" s="1"/>
  <c r="W49" i="75"/>
  <c r="X49" i="75" s="1"/>
  <c r="Y49" i="75" s="1"/>
  <c r="J49" i="75"/>
  <c r="K49" i="75" s="1"/>
  <c r="L49" i="75" s="1"/>
  <c r="AA49" i="75"/>
  <c r="AB49" i="75" s="1"/>
  <c r="AC49" i="75" s="1"/>
  <c r="J52" i="75"/>
  <c r="K52" i="75" s="1"/>
  <c r="L52" i="75" s="1"/>
  <c r="X52" i="75"/>
  <c r="Y52" i="75" s="1"/>
  <c r="BI73" i="75"/>
  <c r="BI75" i="75"/>
  <c r="BI27" i="75"/>
  <c r="AI54" i="75" l="1"/>
  <c r="W60" i="75"/>
  <c r="X60" i="75" s="1"/>
  <c r="Y60" i="75" s="1"/>
  <c r="S60" i="75"/>
  <c r="T60" i="75" s="1"/>
  <c r="U60" i="75" s="1"/>
  <c r="AH54" i="75"/>
  <c r="F60" i="75"/>
  <c r="G60" i="75" s="1"/>
  <c r="H60" i="75" s="1"/>
  <c r="W50" i="75"/>
  <c r="X50" i="75" s="1"/>
  <c r="Y50" i="75" s="1"/>
  <c r="J50" i="75"/>
  <c r="K50" i="75" s="1"/>
  <c r="L50" i="75" s="1"/>
  <c r="AA50" i="75"/>
  <c r="AB50" i="75" s="1"/>
  <c r="AC50" i="75" s="1"/>
  <c r="AI47" i="75"/>
  <c r="AL78" i="75"/>
  <c r="BF45" i="75"/>
  <c r="AP42" i="75"/>
  <c r="AI56" i="75"/>
  <c r="AX39" i="75"/>
  <c r="AX42" i="75"/>
  <c r="BB39" i="75"/>
  <c r="BB42" i="75"/>
  <c r="AI57" i="75"/>
  <c r="AP39" i="75"/>
  <c r="BI30" i="75"/>
  <c r="AP38" i="75"/>
  <c r="AL32" i="75"/>
  <c r="BI36" i="75"/>
  <c r="AT80" i="75"/>
  <c r="BB32" i="75"/>
  <c r="AX38" i="75"/>
  <c r="AH51" i="75"/>
  <c r="BF80" i="75"/>
  <c r="AL33" i="75"/>
  <c r="AP80" i="75"/>
  <c r="BB44" i="75"/>
  <c r="AP33" i="75"/>
  <c r="BB33" i="75"/>
  <c r="AP32" i="75"/>
  <c r="AL48" i="75"/>
  <c r="BB38" i="75"/>
  <c r="W69" i="75"/>
  <c r="X69" i="75" s="1"/>
  <c r="Y69" i="75" s="1"/>
  <c r="J69" i="75"/>
  <c r="K69" i="75" s="1"/>
  <c r="L69" i="75" s="1"/>
  <c r="F69" i="75"/>
  <c r="G69" i="75" s="1"/>
  <c r="H69" i="75" s="1"/>
  <c r="S68" i="75"/>
  <c r="T68" i="75" s="1"/>
  <c r="U68" i="75" s="1"/>
  <c r="J65" i="75"/>
  <c r="K65" i="75" s="1"/>
  <c r="L65" i="75" s="1"/>
  <c r="S65" i="75"/>
  <c r="T65" i="75" s="1"/>
  <c r="U65" i="75" s="1"/>
  <c r="J63" i="75"/>
  <c r="K63" i="75" s="1"/>
  <c r="L63" i="75" s="1"/>
  <c r="W63" i="75"/>
  <c r="X63" i="75" s="1"/>
  <c r="Y63" i="75" s="1"/>
  <c r="F63" i="75"/>
  <c r="G63" i="75" s="1"/>
  <c r="S63" i="75"/>
  <c r="T63" i="75" s="1"/>
  <c r="U63" i="75" s="1"/>
  <c r="F65" i="75"/>
  <c r="G65" i="75" s="1"/>
  <c r="H65" i="75" s="1"/>
  <c r="W66" i="75"/>
  <c r="X66" i="75" s="1"/>
  <c r="Y66" i="75" s="1"/>
  <c r="S66" i="75"/>
  <c r="T66" i="75" s="1"/>
  <c r="U66" i="75" s="1"/>
  <c r="W59" i="75"/>
  <c r="X59" i="75" s="1"/>
  <c r="Y59" i="75" s="1"/>
  <c r="J59" i="75"/>
  <c r="K59" i="75" s="1"/>
  <c r="L59" i="75" s="1"/>
  <c r="S59" i="75"/>
  <c r="T59" i="75" s="1"/>
  <c r="U59" i="75" s="1"/>
  <c r="F68" i="75"/>
  <c r="G68" i="75" s="1"/>
  <c r="H68" i="75" s="1"/>
  <c r="W62" i="75"/>
  <c r="X62" i="75" s="1"/>
  <c r="Y62" i="75" s="1"/>
  <c r="J62" i="75"/>
  <c r="K62" i="75" s="1"/>
  <c r="L62" i="75" s="1"/>
  <c r="F66" i="75"/>
  <c r="G66" i="75" s="1"/>
  <c r="S37" i="75"/>
  <c r="T37" i="75" s="1"/>
  <c r="U37" i="75" s="1"/>
  <c r="J37" i="75"/>
  <c r="K37" i="75" s="1"/>
  <c r="L37" i="75" s="1"/>
  <c r="J68" i="75"/>
  <c r="K68" i="75" s="1"/>
  <c r="L68" i="75" s="1"/>
  <c r="AX80" i="75"/>
  <c r="BI26" i="75"/>
  <c r="S62" i="75"/>
  <c r="T62" i="75" s="1"/>
  <c r="U62" i="75" s="1"/>
  <c r="W65" i="75"/>
  <c r="X65" i="75" s="1"/>
  <c r="Y65" i="75" s="1"/>
  <c r="BB41" i="75"/>
  <c r="H51" i="75"/>
  <c r="AI51" i="75" s="1"/>
  <c r="AX41" i="75"/>
  <c r="AL34" i="75"/>
  <c r="AP34" i="75"/>
  <c r="BB34" i="75"/>
  <c r="BF44" i="75"/>
  <c r="BB45" i="75"/>
  <c r="AP44" i="75"/>
  <c r="AT44" i="75"/>
  <c r="BI28" i="75"/>
  <c r="BF48" i="75"/>
  <c r="BI29" i="75"/>
  <c r="AT81" i="75"/>
  <c r="AH56" i="75"/>
  <c r="AT45" i="75"/>
  <c r="AH57" i="75"/>
  <c r="AP81" i="75"/>
  <c r="AP45" i="75"/>
  <c r="BF81" i="75"/>
  <c r="AP48" i="75"/>
  <c r="BB48" i="75"/>
  <c r="AX81" i="75"/>
  <c r="BI40" i="75"/>
  <c r="AH53" i="75"/>
  <c r="AI53" i="75"/>
  <c r="AH58" i="75"/>
  <c r="BB70" i="75"/>
  <c r="AT70" i="75"/>
  <c r="AH47" i="75"/>
  <c r="H50" i="75"/>
  <c r="G46" i="75"/>
  <c r="H46" i="75" s="1"/>
  <c r="AI46" i="75" s="1"/>
  <c r="U69" i="75"/>
  <c r="G61" i="75"/>
  <c r="H61" i="75" s="1"/>
  <c r="T55" i="75"/>
  <c r="U55" i="75" s="1"/>
  <c r="AI55" i="75" s="1"/>
  <c r="T52" i="75"/>
  <c r="U52" i="75" s="1"/>
  <c r="AI52" i="75" s="1"/>
  <c r="T61" i="75"/>
  <c r="U61" i="75" s="1"/>
  <c r="G49" i="75"/>
  <c r="H49" i="75" s="1"/>
  <c r="AI49" i="75" s="1"/>
  <c r="G67" i="75"/>
  <c r="H67" i="75" s="1"/>
  <c r="AI35" i="75"/>
  <c r="AL35" i="75" s="1"/>
  <c r="AI58" i="75"/>
  <c r="T64" i="75"/>
  <c r="U64" i="75" s="1"/>
  <c r="T67" i="75"/>
  <c r="U67" i="75" s="1"/>
  <c r="G64" i="75"/>
  <c r="H64" i="75" s="1"/>
  <c r="AI43" i="75"/>
  <c r="BI25" i="75"/>
  <c r="BI76" i="75"/>
  <c r="AL77" i="75"/>
  <c r="AH43" i="75"/>
  <c r="J79" i="75"/>
  <c r="K79" i="75" s="1"/>
  <c r="AA79" i="75"/>
  <c r="AB79" i="75" s="1"/>
  <c r="AC79" i="75" s="1"/>
  <c r="S79" i="75"/>
  <c r="T79" i="75" s="1"/>
  <c r="U79" i="75" s="1"/>
  <c r="BF78" i="75"/>
  <c r="BB78" i="75"/>
  <c r="AT78" i="75"/>
  <c r="AP54" i="75" l="1"/>
  <c r="AI60" i="75"/>
  <c r="AX54" i="75"/>
  <c r="AT54" i="75"/>
  <c r="BB54" i="75"/>
  <c r="AT56" i="75"/>
  <c r="AL47" i="75"/>
  <c r="AH60" i="75"/>
  <c r="BF51" i="75"/>
  <c r="AC15" i="25" s="1"/>
  <c r="AH50" i="75"/>
  <c r="AI50" i="75"/>
  <c r="BI42" i="75"/>
  <c r="BI39" i="75"/>
  <c r="AP57" i="75"/>
  <c r="BI38" i="75"/>
  <c r="AH69" i="75"/>
  <c r="AI59" i="75"/>
  <c r="BI33" i="75"/>
  <c r="AI65" i="75"/>
  <c r="BI32" i="75"/>
  <c r="AI62" i="75"/>
  <c r="AH65" i="75"/>
  <c r="AI68" i="75"/>
  <c r="AH59" i="75"/>
  <c r="AH68" i="75"/>
  <c r="BI45" i="75"/>
  <c r="AH62" i="75"/>
  <c r="H63" i="75"/>
  <c r="AH63" i="75"/>
  <c r="BI80" i="75"/>
  <c r="H66" i="75"/>
  <c r="AH66" i="75"/>
  <c r="BB51" i="75"/>
  <c r="X15" i="25" s="1"/>
  <c r="AP51" i="75"/>
  <c r="I15" i="25" s="1"/>
  <c r="AL51" i="75"/>
  <c r="D15" i="25" s="1"/>
  <c r="BI41" i="75"/>
  <c r="BI34" i="75"/>
  <c r="BI44" i="75"/>
  <c r="AX56" i="75"/>
  <c r="AP56" i="75"/>
  <c r="BB56" i="75"/>
  <c r="AX57" i="75"/>
  <c r="BB57" i="75"/>
  <c r="AT57" i="75"/>
  <c r="BI81" i="75"/>
  <c r="BI48" i="75"/>
  <c r="AP53" i="75"/>
  <c r="BB58" i="75"/>
  <c r="AH55" i="75"/>
  <c r="BB55" i="75" s="1"/>
  <c r="BI70" i="75"/>
  <c r="AH46" i="75"/>
  <c r="AP46" i="75" s="1"/>
  <c r="AH49" i="75"/>
  <c r="BF49" i="75" s="1"/>
  <c r="AC13" i="25" s="1"/>
  <c r="AL58" i="75"/>
  <c r="AI69" i="75"/>
  <c r="AI61" i="75"/>
  <c r="AH52" i="75"/>
  <c r="AP52" i="75" s="1"/>
  <c r="AP58" i="75"/>
  <c r="AX58" i="75"/>
  <c r="AI67" i="75"/>
  <c r="AH67" i="75"/>
  <c r="AH61" i="75"/>
  <c r="AI64" i="75"/>
  <c r="BB35" i="75"/>
  <c r="AP35" i="75"/>
  <c r="AH64" i="75"/>
  <c r="BF43" i="75"/>
  <c r="AP47" i="75"/>
  <c r="BB47" i="75"/>
  <c r="BF47" i="75"/>
  <c r="BF77" i="75"/>
  <c r="BB77" i="75"/>
  <c r="AT77" i="75"/>
  <c r="AX53" i="75"/>
  <c r="AT53" i="75"/>
  <c r="BB53" i="75"/>
  <c r="AT43" i="75"/>
  <c r="BB43" i="75"/>
  <c r="AP43" i="75"/>
  <c r="L79" i="75"/>
  <c r="AI79" i="75" s="1"/>
  <c r="AH79" i="75"/>
  <c r="BI78" i="75"/>
  <c r="BI54" i="75" l="1"/>
  <c r="AP50" i="75"/>
  <c r="I14" i="25" s="1"/>
  <c r="AX60" i="75"/>
  <c r="AP60" i="75"/>
  <c r="BB60" i="75"/>
  <c r="BB50" i="75"/>
  <c r="X14" i="25" s="1"/>
  <c r="AL60" i="75"/>
  <c r="BF50" i="75"/>
  <c r="AC14" i="25" s="1"/>
  <c r="AL50" i="75"/>
  <c r="D14" i="25" s="1"/>
  <c r="AX69" i="75"/>
  <c r="AX62" i="75"/>
  <c r="AX59" i="75"/>
  <c r="AL65" i="75"/>
  <c r="AP65" i="75"/>
  <c r="BB59" i="75"/>
  <c r="AX65" i="75"/>
  <c r="BB65" i="75"/>
  <c r="AP59" i="75"/>
  <c r="AL59" i="75"/>
  <c r="AP68" i="75"/>
  <c r="BI51" i="75"/>
  <c r="AI66" i="75"/>
  <c r="AL66" i="75" s="1"/>
  <c r="BB68" i="75"/>
  <c r="AI63" i="75"/>
  <c r="AL63" i="75" s="1"/>
  <c r="AL62" i="75"/>
  <c r="AP62" i="75"/>
  <c r="BB62" i="75"/>
  <c r="AX68" i="75"/>
  <c r="AL68" i="75"/>
  <c r="BI56" i="75"/>
  <c r="BI57" i="75"/>
  <c r="AP49" i="75"/>
  <c r="I13" i="25" s="1"/>
  <c r="AT55" i="75"/>
  <c r="AP55" i="75"/>
  <c r="AL49" i="75"/>
  <c r="D13" i="25" s="1"/>
  <c r="AX55" i="75"/>
  <c r="AP61" i="75"/>
  <c r="BB61" i="75"/>
  <c r="BB49" i="75"/>
  <c r="X13" i="25" s="1"/>
  <c r="BF46" i="75"/>
  <c r="AL46" i="75"/>
  <c r="BB46" i="75"/>
  <c r="BI58" i="75"/>
  <c r="BB67" i="75"/>
  <c r="AL67" i="75"/>
  <c r="AP67" i="75"/>
  <c r="BB64" i="75"/>
  <c r="AX67" i="75"/>
  <c r="AL61" i="75"/>
  <c r="AL69" i="75"/>
  <c r="AP69" i="75"/>
  <c r="BB69" i="75"/>
  <c r="AX61" i="75"/>
  <c r="AL64" i="75"/>
  <c r="BI35" i="75"/>
  <c r="AX64" i="75"/>
  <c r="AP64" i="75"/>
  <c r="BI47" i="75"/>
  <c r="BI43" i="75"/>
  <c r="BI53" i="75"/>
  <c r="BI77" i="75"/>
  <c r="AP79" i="75"/>
  <c r="AX52" i="75"/>
  <c r="BB52" i="75"/>
  <c r="AT52" i="75"/>
  <c r="BI60" i="75" l="1"/>
  <c r="BI50" i="75"/>
  <c r="BI59" i="75"/>
  <c r="BI65" i="75"/>
  <c r="BI62" i="75"/>
  <c r="AP63" i="75"/>
  <c r="BB63" i="75"/>
  <c r="AX63" i="75"/>
  <c r="BI68" i="75"/>
  <c r="AX66" i="75"/>
  <c r="BB66" i="75"/>
  <c r="AP66" i="75"/>
  <c r="BI49" i="75"/>
  <c r="BI55" i="75"/>
  <c r="BI46" i="75"/>
  <c r="BI67" i="75"/>
  <c r="BI69" i="75"/>
  <c r="BI61" i="75"/>
  <c r="BI64" i="75"/>
  <c r="AT79" i="75"/>
  <c r="AX79" i="75"/>
  <c r="BF79" i="75"/>
  <c r="BI52" i="75"/>
  <c r="BI66" i="75" l="1"/>
  <c r="BI63" i="75"/>
  <c r="BI79" i="75"/>
  <c r="C8" i="10" l="1"/>
  <c r="H13" i="25" l="1"/>
  <c r="E32" i="25"/>
  <c r="E33" i="25" s="1"/>
  <c r="D21" i="25"/>
  <c r="AJ13" i="25"/>
  <c r="I30" i="25" s="1"/>
  <c r="E20" i="25" l="1"/>
  <c r="L20" i="25"/>
  <c r="D22" i="25" s="1"/>
  <c r="E37" i="25"/>
  <c r="E36" i="25" s="1"/>
  <c r="W13" i="25"/>
  <c r="AB13" i="25" s="1"/>
  <c r="L22" i="25"/>
  <c r="L32" i="25"/>
  <c r="H15" i="25"/>
  <c r="E31" i="25"/>
  <c r="E34" i="25" s="1"/>
  <c r="E49" i="25"/>
  <c r="E66" i="25"/>
  <c r="E19" i="25"/>
  <c r="AH13" i="25"/>
  <c r="I23" i="25" s="1"/>
  <c r="D28" i="25"/>
  <c r="B13" i="25"/>
  <c r="I29" i="25"/>
  <c r="D27" i="25"/>
  <c r="L30" i="25"/>
  <c r="C20" i="25" l="1"/>
  <c r="C19" i="25" s="1"/>
  <c r="C22" i="25"/>
  <c r="C24" i="25" s="1"/>
  <c r="C28" i="25"/>
  <c r="C30" i="25" s="1"/>
  <c r="M34" i="39"/>
  <c r="M41" i="39" s="1"/>
  <c r="R34" i="39"/>
  <c r="R41" i="39" s="1"/>
  <c r="C34" i="39"/>
  <c r="C41" i="39" s="1"/>
  <c r="H34" i="39"/>
  <c r="H41" i="39" s="1"/>
  <c r="U20" i="39"/>
  <c r="W20" i="39"/>
  <c r="I20" i="39"/>
  <c r="S20" i="39"/>
  <c r="D20" i="39"/>
  <c r="C27" i="25"/>
  <c r="C29" i="25" s="1"/>
  <c r="C31" i="25"/>
  <c r="C34" i="25" s="1"/>
  <c r="H14" i="25"/>
  <c r="L37" i="25"/>
  <c r="C39" i="25" s="1"/>
  <c r="C41" i="25" s="1"/>
  <c r="I24" i="25"/>
  <c r="L54" i="25"/>
  <c r="E54" i="25"/>
  <c r="E53" i="25" s="1"/>
  <c r="E48" i="25"/>
  <c r="E51" i="25" s="1"/>
  <c r="L49" i="25"/>
  <c r="E65" i="25"/>
  <c r="E68" i="25" s="1"/>
  <c r="L66" i="25"/>
  <c r="K20" i="39"/>
  <c r="P20" i="39"/>
  <c r="E50" i="25"/>
  <c r="E67" i="25"/>
  <c r="C20" i="39"/>
  <c r="C27" i="39" s="1"/>
  <c r="M20" i="39"/>
  <c r="M27" i="39" s="1"/>
  <c r="C32" i="25"/>
  <c r="C33" i="25" s="1"/>
  <c r="T20" i="39"/>
  <c r="V34" i="39" s="1"/>
  <c r="H20" i="39"/>
  <c r="H27" i="39" s="1"/>
  <c r="E20" i="39"/>
  <c r="G34" i="39" s="1"/>
  <c r="R20" i="39"/>
  <c r="R27" i="39" s="1"/>
  <c r="O20" i="39"/>
  <c r="D44" i="25"/>
  <c r="AJ14" i="25"/>
  <c r="D45" i="25"/>
  <c r="L47" i="25"/>
  <c r="D61" i="25"/>
  <c r="L64" i="25"/>
  <c r="AJ15" i="25"/>
  <c r="D62" i="25"/>
  <c r="J20" i="39"/>
  <c r="L34" i="39" s="1"/>
  <c r="C21" i="25" l="1"/>
  <c r="C23" i="25" s="1"/>
  <c r="V27" i="39"/>
  <c r="L27" i="39"/>
  <c r="N27" i="39"/>
  <c r="Q34" i="39"/>
  <c r="Q27" i="39"/>
  <c r="G27" i="39"/>
  <c r="I27" i="39"/>
  <c r="V20" i="39"/>
  <c r="U27" i="39" s="1"/>
  <c r="S27" i="39"/>
  <c r="G20" i="39"/>
  <c r="F27" i="39" s="1"/>
  <c r="D27" i="39"/>
  <c r="L20" i="39"/>
  <c r="K27" i="39" s="1"/>
  <c r="Q20" i="39"/>
  <c r="P27" i="39" s="1"/>
  <c r="C56" i="25"/>
  <c r="C58" i="25" s="1"/>
  <c r="T27" i="39"/>
  <c r="E27" i="39"/>
  <c r="O27" i="39"/>
  <c r="I47" i="25"/>
  <c r="I46" i="25"/>
  <c r="D38" i="25"/>
  <c r="AH14" i="25"/>
  <c r="L39" i="25"/>
  <c r="C37" i="25" s="1"/>
  <c r="C36" i="25" s="1"/>
  <c r="B14" i="25"/>
  <c r="D39" i="25"/>
  <c r="W14" i="25"/>
  <c r="AB14" i="25" s="1"/>
  <c r="I63" i="25"/>
  <c r="AK10" i="25"/>
  <c r="I64" i="25"/>
  <c r="AH15" i="25"/>
  <c r="B15" i="25"/>
  <c r="L56" i="25"/>
  <c r="C54" i="25" s="1"/>
  <c r="C53" i="25" s="1"/>
  <c r="D55" i="25"/>
  <c r="W15" i="25"/>
  <c r="AB15" i="25" s="1"/>
  <c r="D56" i="25"/>
  <c r="J27" i="39"/>
  <c r="C36" i="39" l="1"/>
  <c r="C43" i="39" s="1"/>
  <c r="H36" i="39"/>
  <c r="H43" i="39" s="1"/>
  <c r="M36" i="39"/>
  <c r="M43" i="39" s="1"/>
  <c r="R36" i="39"/>
  <c r="R43" i="39" s="1"/>
  <c r="K34" i="39"/>
  <c r="K41" i="39" s="1"/>
  <c r="F34" i="39"/>
  <c r="F41" i="39" s="1"/>
  <c r="S34" i="39"/>
  <c r="S41" i="39" s="1"/>
  <c r="P34" i="39"/>
  <c r="P41" i="39" s="1"/>
  <c r="J34" i="39"/>
  <c r="J41" i="39" s="1"/>
  <c r="U34" i="39"/>
  <c r="U41" i="39" s="1"/>
  <c r="S21" i="39"/>
  <c r="W21" i="39"/>
  <c r="O34" i="39"/>
  <c r="O41" i="39" s="1"/>
  <c r="N34" i="39"/>
  <c r="N41" i="39" s="1"/>
  <c r="E34" i="39"/>
  <c r="E41" i="39" s="1"/>
  <c r="D34" i="39"/>
  <c r="D41" i="39" s="1"/>
  <c r="I34" i="39"/>
  <c r="I41" i="39" s="1"/>
  <c r="S22" i="39"/>
  <c r="W22" i="39"/>
  <c r="T34" i="39"/>
  <c r="T41" i="39" s="1"/>
  <c r="D22" i="39"/>
  <c r="I21" i="39"/>
  <c r="I22" i="39"/>
  <c r="D21" i="39"/>
  <c r="C38" i="25"/>
  <c r="C40" i="25" s="1"/>
  <c r="C55" i="25"/>
  <c r="C57" i="25" s="1"/>
  <c r="M35" i="39"/>
  <c r="M42" i="39" s="1"/>
  <c r="R35" i="39"/>
  <c r="R42" i="39" s="1"/>
  <c r="C35" i="39"/>
  <c r="C42" i="39" s="1"/>
  <c r="H35" i="39"/>
  <c r="H42" i="39" s="1"/>
  <c r="T22" i="39"/>
  <c r="V36" i="39" s="1"/>
  <c r="K22" i="39"/>
  <c r="P22" i="39"/>
  <c r="U22" i="39"/>
  <c r="T21" i="39"/>
  <c r="V35" i="39" s="1"/>
  <c r="K21" i="39"/>
  <c r="U21" i="39"/>
  <c r="P21" i="39"/>
  <c r="O22" i="39"/>
  <c r="O21" i="39"/>
  <c r="C45" i="25"/>
  <c r="C47" i="25" s="1"/>
  <c r="C48" i="25"/>
  <c r="C51" i="25" s="1"/>
  <c r="C44" i="25"/>
  <c r="C46" i="25" s="1"/>
  <c r="C49" i="25"/>
  <c r="C50" i="25" s="1"/>
  <c r="M21" i="39"/>
  <c r="M28" i="39" s="1"/>
  <c r="I40" i="25"/>
  <c r="C21" i="39"/>
  <c r="C28" i="39" s="1"/>
  <c r="I41" i="25"/>
  <c r="H21" i="39"/>
  <c r="H28" i="39" s="1"/>
  <c r="R21" i="39"/>
  <c r="R28" i="39" s="1"/>
  <c r="J21" i="39"/>
  <c r="L35" i="39" s="1"/>
  <c r="E21" i="39"/>
  <c r="C66" i="25"/>
  <c r="C67" i="25" s="1"/>
  <c r="C62" i="25"/>
  <c r="C64" i="25" s="1"/>
  <c r="K35" i="25"/>
  <c r="K52" i="25" s="1"/>
  <c r="C65" i="25"/>
  <c r="C68" i="25" s="1"/>
  <c r="C61" i="25"/>
  <c r="C63" i="25" s="1"/>
  <c r="J22" i="39"/>
  <c r="L36" i="39" s="1"/>
  <c r="H22" i="39"/>
  <c r="H29" i="39" s="1"/>
  <c r="I57" i="25"/>
  <c r="I58" i="25"/>
  <c r="AK9" i="25"/>
  <c r="C22" i="39"/>
  <c r="C29" i="39" s="1"/>
  <c r="M22" i="39"/>
  <c r="M29" i="39" s="1"/>
  <c r="E22" i="39"/>
  <c r="G36" i="39" s="1"/>
  <c r="R22" i="39"/>
  <c r="R29" i="39" s="1"/>
  <c r="D23" i="13"/>
  <c r="W27" i="39" l="1"/>
  <c r="W34" i="39" s="1"/>
  <c r="AI4" i="25" s="1"/>
  <c r="V28" i="39"/>
  <c r="V29" i="39"/>
  <c r="D28" i="39"/>
  <c r="G35" i="39"/>
  <c r="L29" i="39"/>
  <c r="G29" i="39"/>
  <c r="G28" i="39"/>
  <c r="Q28" i="39"/>
  <c r="Q35" i="39"/>
  <c r="Q29" i="39"/>
  <c r="Q36" i="39"/>
  <c r="L28" i="39"/>
  <c r="I28" i="39"/>
  <c r="I29" i="39"/>
  <c r="D29" i="39"/>
  <c r="V22" i="39"/>
  <c r="U29" i="39" s="1"/>
  <c r="S29" i="39"/>
  <c r="V21" i="39"/>
  <c r="U28" i="39" s="1"/>
  <c r="S28" i="39"/>
  <c r="Q21" i="39"/>
  <c r="P28" i="39" s="1"/>
  <c r="N28" i="39"/>
  <c r="Q22" i="39"/>
  <c r="P29" i="39" s="1"/>
  <c r="N29" i="39"/>
  <c r="L22" i="39"/>
  <c r="K29" i="39" s="1"/>
  <c r="L21" i="39"/>
  <c r="K28" i="39" s="1"/>
  <c r="W41" i="39"/>
  <c r="AJ4" i="25" s="1"/>
  <c r="T29" i="39"/>
  <c r="G22" i="39"/>
  <c r="F29" i="39" s="1"/>
  <c r="T28" i="39"/>
  <c r="G21" i="39"/>
  <c r="F28" i="39" s="1"/>
  <c r="O29" i="39"/>
  <c r="O28" i="39"/>
  <c r="J28" i="39"/>
  <c r="E28" i="39"/>
  <c r="J29" i="39"/>
  <c r="E29" i="39"/>
  <c r="E36" i="39" s="1"/>
  <c r="D24" i="13"/>
  <c r="E23" i="13" l="1"/>
  <c r="AH4" i="25"/>
  <c r="K35" i="39"/>
  <c r="K42" i="39" s="1"/>
  <c r="K36" i="39"/>
  <c r="K43" i="39" s="1"/>
  <c r="D25" i="13"/>
  <c r="S35" i="39"/>
  <c r="S42" i="39" s="1"/>
  <c r="S36" i="39"/>
  <c r="S43" i="39" s="1"/>
  <c r="F35" i="39"/>
  <c r="F42" i="39" s="1"/>
  <c r="I36" i="39"/>
  <c r="I43" i="39" s="1"/>
  <c r="P35" i="39"/>
  <c r="P42" i="39" s="1"/>
  <c r="P36" i="39"/>
  <c r="P43" i="39" s="1"/>
  <c r="I35" i="39"/>
  <c r="I42" i="39" s="1"/>
  <c r="D36" i="39"/>
  <c r="D43" i="39" s="1"/>
  <c r="N36" i="39"/>
  <c r="N43" i="39" s="1"/>
  <c r="J35" i="39"/>
  <c r="J42" i="39" s="1"/>
  <c r="N35" i="39"/>
  <c r="N42" i="39" s="1"/>
  <c r="T35" i="39"/>
  <c r="T42" i="39" s="1"/>
  <c r="O35" i="39"/>
  <c r="O42" i="39" s="1"/>
  <c r="E35" i="39"/>
  <c r="E42" i="39" s="1"/>
  <c r="T36" i="39"/>
  <c r="T43" i="39" s="1"/>
  <c r="U36" i="39"/>
  <c r="U43" i="39" s="1"/>
  <c r="U35" i="39"/>
  <c r="U42" i="39" s="1"/>
  <c r="O36" i="39"/>
  <c r="O43" i="39" s="1"/>
  <c r="J36" i="39"/>
  <c r="J43" i="39" s="1"/>
  <c r="D35" i="39"/>
  <c r="D42" i="39" s="1"/>
  <c r="W28" i="39"/>
  <c r="E43" i="39"/>
  <c r="E25" i="13"/>
  <c r="E24" i="13"/>
  <c r="AK4" i="25"/>
  <c r="W35" i="39" l="1"/>
  <c r="W29" i="39"/>
  <c r="F36" i="39"/>
  <c r="F43" i="39" s="1"/>
  <c r="W43" i="39" s="1"/>
  <c r="W42" i="39"/>
  <c r="AH5" i="25"/>
  <c r="AK5" i="25"/>
  <c r="J24" i="13" l="1"/>
  <c r="W36" i="39"/>
  <c r="AI6" i="25" s="1"/>
  <c r="AH6" i="25"/>
  <c r="AI5" i="25"/>
  <c r="AJ5" i="25"/>
  <c r="AJ6" i="25"/>
  <c r="AK6" i="25"/>
  <c r="K23" i="13" l="1"/>
  <c r="K24" i="13"/>
  <c r="J23" i="13"/>
  <c r="J25" i="13"/>
  <c r="G24" i="13"/>
  <c r="H24" i="13"/>
  <c r="H25" i="13"/>
  <c r="G25" i="13"/>
  <c r="K25" i="13" l="1"/>
  <c r="J31" i="75" l="1"/>
  <c r="K31" i="75" s="1"/>
  <c r="L31" i="75" s="1"/>
  <c r="W31" i="75"/>
  <c r="X31" i="75" s="1"/>
  <c r="Y31" i="75" s="1"/>
  <c r="AH31" i="75" l="1"/>
  <c r="H31" i="75"/>
  <c r="AI31" i="75" l="1"/>
  <c r="BB31" i="75" l="1"/>
  <c r="AP31" i="75"/>
  <c r="AL31" i="75"/>
  <c r="BI31" i="75" l="1"/>
  <c r="AH37" i="75" l="1"/>
  <c r="AI37" i="75"/>
  <c r="BB37" i="75" l="1"/>
  <c r="AP37" i="75"/>
  <c r="AX37" i="75"/>
  <c r="BI37" i="75" l="1"/>
  <c r="G23" i="13" l="1"/>
  <c r="H23" i="13" l="1"/>
  <c r="AG4" i="11" l="1"/>
  <c r="M4" i="6"/>
  <c r="AI4" i="11"/>
  <c r="O4" i="6"/>
  <c r="AH4" i="11"/>
  <c r="N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John Sampson</author>
  </authors>
  <commentList>
    <comment ref="A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User choice. Enter name of period analysed here.</t>
        </r>
      </text>
    </comment>
    <comment ref="B8" authorId="0" shapeId="0" xr:uid="{00000000-0006-0000-0400-000002000000}">
      <text>
        <r>
          <rPr>
            <sz val="9"/>
            <color indexed="81"/>
            <rFont val="Tahoma"/>
            <family val="2"/>
          </rPr>
          <t>John Sampson:
peak AM 5:00 to 12:00 max hr, peak PM 12:00 to 19:00 max hr; overwrite if not correct</t>
        </r>
      </text>
    </comment>
    <comment ref="B16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use 3% as default</t>
        </r>
      </text>
    </comment>
    <comment ref="B17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use 7% as default</t>
        </r>
      </text>
    </comment>
    <comment ref="B18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use 3% as default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John Sampson</author>
  </authors>
  <commentList>
    <comment ref="B28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Set in "hr" base count to match time period of count</t>
        </r>
      </text>
    </comment>
    <comment ref="C28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User choice. Enter a name or number followed by "-"</t>
        </r>
      </text>
    </comment>
    <comment ref="D28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User choice. Will be shown in time plans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John Sampson</author>
    <author>Jono</author>
  </authors>
  <commentList>
    <comment ref="M21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half right opposite added because block view</t>
        </r>
      </text>
    </comment>
    <comment ref="X21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half right opposite added because block view</t>
        </r>
      </text>
    </comment>
    <comment ref="AI21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half right opposite added because block view</t>
        </r>
      </text>
    </comment>
    <comment ref="AT21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half right opposite added because block view</t>
        </r>
      </text>
    </comment>
    <comment ref="M25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half right opposite added because block view</t>
        </r>
      </text>
    </comment>
    <comment ref="X25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half right opposite added because block view</t>
        </r>
      </text>
    </comment>
    <comment ref="AI25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half right opposite added because block view</t>
        </r>
      </text>
    </comment>
    <comment ref="AT25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half right opposite added because block view</t>
        </r>
      </text>
    </comment>
    <comment ref="M29" authorId="0" shapeId="0" xr:uid="{00000000-0006-0000-0900-000009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half right opposite added because block view</t>
        </r>
      </text>
    </comment>
    <comment ref="X29" authorId="0" shapeId="0" xr:uid="{00000000-0006-0000-0900-00000A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half right opposite added because block view</t>
        </r>
      </text>
    </comment>
    <comment ref="AI29" authorId="0" shapeId="0" xr:uid="{00000000-0006-0000-0900-00000B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half right opposite added because block view</t>
        </r>
      </text>
    </comment>
    <comment ref="AT29" authorId="0" shapeId="0" xr:uid="{00000000-0006-0000-0900-00000C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half right opposite added because block view</t>
        </r>
      </text>
    </comment>
    <comment ref="B40" authorId="0" shapeId="0" xr:uid="{00000000-0006-0000-0900-00000D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from delay Q 1507</t>
        </r>
      </text>
    </comment>
    <comment ref="B43" authorId="0" shapeId="0" xr:uid="{00000000-0006-0000-0900-00000E000000}">
      <text>
        <r>
          <rPr>
            <b/>
            <sz val="9"/>
            <color indexed="81"/>
            <rFont val="Tahoma"/>
            <family val="2"/>
          </rPr>
          <t>John Sampson:</t>
        </r>
        <r>
          <rPr>
            <sz val="9"/>
            <color indexed="81"/>
            <rFont val="Tahoma"/>
            <family val="2"/>
          </rPr>
          <t xml:space="preserve">
from delay Q 1507, CAP colm v</t>
        </r>
      </text>
    </comment>
    <comment ref="A74" authorId="1" shapeId="0" xr:uid="{9F8096A8-AC62-4312-9E55-5E3F84A31E87}">
      <text>
        <r>
          <rPr>
            <b/>
            <sz val="9"/>
            <color indexed="81"/>
            <rFont val="Tahoma"/>
            <family val="2"/>
          </rPr>
          <t>Jono:</t>
        </r>
        <r>
          <rPr>
            <sz val="9"/>
            <color indexed="81"/>
            <rFont val="Tahoma"/>
            <family val="2"/>
          </rPr>
          <t xml:space="preserve">
already moving, will take smaller gap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<sst xmlns="http://schemas.openxmlformats.org/spreadsheetml/2006/main" count="2136" uniqueCount="605">
  <si>
    <t>and</t>
  </si>
  <si>
    <t>location map</t>
  </si>
  <si>
    <t>existing</t>
  </si>
  <si>
    <t>type</t>
  </si>
  <si>
    <t>descr:</t>
  </si>
  <si>
    <t>job no.</t>
  </si>
  <si>
    <t>Declaration</t>
  </si>
  <si>
    <t>count date</t>
  </si>
  <si>
    <t>day</t>
  </si>
  <si>
    <t>weekday</t>
  </si>
  <si>
    <t>by</t>
  </si>
  <si>
    <t>from north</t>
  </si>
  <si>
    <t>from south</t>
  </si>
  <si>
    <t>from west</t>
  </si>
  <si>
    <t>from east</t>
  </si>
  <si>
    <t>1/4 hr</t>
  </si>
  <si>
    <t>hr</t>
  </si>
  <si>
    <t>start</t>
  </si>
  <si>
    <t>end</t>
  </si>
  <si>
    <t>total</t>
  </si>
  <si>
    <t>hrs total</t>
  </si>
  <si>
    <t>AM</t>
  </si>
  <si>
    <t>off</t>
  </si>
  <si>
    <t>PM</t>
  </si>
  <si>
    <t>% growth base traffic:</t>
  </si>
  <si>
    <t>growth % per annum</t>
  </si>
  <si>
    <t>no. of years</t>
  </si>
  <si>
    <t>Pn</t>
  </si>
  <si>
    <t>Ps</t>
  </si>
  <si>
    <t>Pw</t>
  </si>
  <si>
    <t>Pe</t>
  </si>
  <si>
    <t>one heavy =</t>
  </si>
  <si>
    <t>light veh.</t>
  </si>
  <si>
    <t>ADT</t>
  </si>
  <si>
    <t>% ADT</t>
  </si>
  <si>
    <t>Date of Count:</t>
  </si>
  <si>
    <t>Day:</t>
  </si>
  <si>
    <t>split</t>
  </si>
  <si>
    <t>N/S</t>
  </si>
  <si>
    <t>W/E</t>
  </si>
  <si>
    <t>weight</t>
  </si>
  <si>
    <t>total hr =</t>
  </si>
  <si>
    <t>of ADT</t>
  </si>
  <si>
    <t>(evu/hr)</t>
  </si>
  <si>
    <t>from North</t>
  </si>
  <si>
    <t>y</t>
  </si>
  <si>
    <t>from South</t>
  </si>
  <si>
    <t>from East</t>
  </si>
  <si>
    <t>from West</t>
  </si>
  <si>
    <t>Lu</t>
  </si>
  <si>
    <t>Ru</t>
  </si>
  <si>
    <t>Lrr</t>
  </si>
  <si>
    <t>Lx</t>
  </si>
  <si>
    <t>Sx</t>
  </si>
  <si>
    <t>Rx</t>
  </si>
  <si>
    <t>Lxx</t>
  </si>
  <si>
    <t>Sxx</t>
  </si>
  <si>
    <t>Rxx</t>
  </si>
  <si>
    <t>Lg</t>
  </si>
  <si>
    <t>Volume (evu/hr)</t>
  </si>
  <si>
    <t>Lanes</t>
  </si>
  <si>
    <t>Ped</t>
  </si>
  <si>
    <t>L</t>
  </si>
  <si>
    <t>LS</t>
  </si>
  <si>
    <t>S</t>
  </si>
  <si>
    <t>LSR</t>
  </si>
  <si>
    <t>SR</t>
  </si>
  <si>
    <t>R</t>
  </si>
  <si>
    <t>slip yield?</t>
  </si>
  <si>
    <t>median</t>
  </si>
  <si>
    <t>grade</t>
  </si>
  <si>
    <t>clearance</t>
  </si>
  <si>
    <t>Plan</t>
  </si>
  <si>
    <t>Duration</t>
  </si>
  <si>
    <t>North</t>
  </si>
  <si>
    <t>South</t>
  </si>
  <si>
    <t>West</t>
  </si>
  <si>
    <t>East</t>
  </si>
  <si>
    <t>6:00 to 9:00 weekdays</t>
  </si>
  <si>
    <t>15:30 to 18:30 weekdays</t>
  </si>
  <si>
    <t>Keep cycle times as short as possible.</t>
  </si>
  <si>
    <t>2 stage</t>
  </si>
  <si>
    <t>3 stage</t>
  </si>
  <si>
    <t>4 stage</t>
  </si>
  <si>
    <t>yellow</t>
  </si>
  <si>
    <t>all red</t>
  </si>
  <si>
    <t>Intergreen reaction time to stop on yellow</t>
  </si>
  <si>
    <t>Deceleration rates to stop on yellow</t>
  </si>
  <si>
    <t>normal react time (secs)</t>
  </si>
  <si>
    <t>deceleration rate (m/s^2)</t>
  </si>
  <si>
    <t>slower react time (secs)</t>
  </si>
  <si>
    <t>truck decl. rate (m/s^2)</t>
  </si>
  <si>
    <t>acceleration (m/s^2)</t>
  </si>
  <si>
    <t>comfortable (m/s^2)</t>
  </si>
  <si>
    <t>Minimum green times for signal phases</t>
  </si>
  <si>
    <t>slow (elderly)</t>
  </si>
  <si>
    <t>normal</t>
  </si>
  <si>
    <t>brisk</t>
  </si>
  <si>
    <t>through gr. (min. 11.0, abs.min. 7.0)</t>
  </si>
  <si>
    <t>leading gr. (min 7.0, abs min 4.0)</t>
  </si>
  <si>
    <t>pedestrian green man</t>
  </si>
  <si>
    <t>Pedestrian walking speed</t>
  </si>
  <si>
    <t>Turning lane lengths and overflow calculations</t>
  </si>
  <si>
    <t>2 min. arrivals (priority control)</t>
  </si>
  <si>
    <t>arrivals / cycle (signal)</t>
  </si>
  <si>
    <t>vehicle length (m)</t>
  </si>
  <si>
    <t>SARTSM policy (secs)</t>
  </si>
  <si>
    <t>(m/sec)</t>
  </si>
  <si>
    <t>(km/h)</t>
  </si>
  <si>
    <t>min cap</t>
  </si>
  <si>
    <t>critical gap (secs)</t>
  </si>
  <si>
    <t>str w adj</t>
  </si>
  <si>
    <t>rt w adj</t>
  </si>
  <si>
    <t>mdn. adj</t>
  </si>
  <si>
    <t>weighting</t>
  </si>
  <si>
    <t>Sg/Su adj</t>
  </si>
  <si>
    <t>Sg sat flow</t>
  </si>
  <si>
    <t>crit lane N/S lead</t>
  </si>
  <si>
    <t>CRIT. LANE NORTH SOUTH</t>
  </si>
  <si>
    <t>crit lane N/S lag</t>
  </si>
  <si>
    <t>crit lane W/E lead</t>
  </si>
  <si>
    <t>CRITICAL LANE EAST WEST</t>
  </si>
  <si>
    <t>crit lane W/E lag</t>
  </si>
  <si>
    <t>Stages</t>
  </si>
  <si>
    <t>green calc</t>
  </si>
  <si>
    <t>3ns</t>
  </si>
  <si>
    <t>3we</t>
  </si>
  <si>
    <t>n3</t>
  </si>
  <si>
    <t>s3</t>
  </si>
  <si>
    <t>w3</t>
  </si>
  <si>
    <t>e3</t>
  </si>
  <si>
    <t>4nswe</t>
  </si>
  <si>
    <t>n4we</t>
  </si>
  <si>
    <t>s4we</t>
  </si>
  <si>
    <t>w4ns</t>
  </si>
  <si>
    <t>e4ns</t>
  </si>
  <si>
    <t>nw4</t>
  </si>
  <si>
    <t>ne4</t>
  </si>
  <si>
    <t>sw4</t>
  </si>
  <si>
    <t>se4</t>
  </si>
  <si>
    <t>n-s-3</t>
  </si>
  <si>
    <t>w-e-3</t>
  </si>
  <si>
    <t>n-s-4we</t>
  </si>
  <si>
    <t>w-e-4ns</t>
  </si>
  <si>
    <t>n-s-w-e-4</t>
  </si>
  <si>
    <t>lead rt flash N or S</t>
  </si>
  <si>
    <t>through green N+S</t>
  </si>
  <si>
    <t>lag rt turn N+S</t>
  </si>
  <si>
    <t>lead rt flash E or W</t>
  </si>
  <si>
    <t>through green E+W</t>
  </si>
  <si>
    <t>lag rt turn E+W</t>
  </si>
  <si>
    <t>sum Y+AR</t>
  </si>
  <si>
    <t>min</t>
  </si>
  <si>
    <t>max</t>
  </si>
  <si>
    <t>cycle</t>
  </si>
  <si>
    <t>Peds N/S</t>
  </si>
  <si>
    <t>Peds W/E</t>
  </si>
  <si>
    <t>Cycle</t>
  </si>
  <si>
    <t>gr man</t>
  </si>
  <si>
    <t>Tn</t>
  </si>
  <si>
    <t>Ts</t>
  </si>
  <si>
    <t>Tw</t>
  </si>
  <si>
    <t>Te</t>
  </si>
  <si>
    <t>gr disc</t>
  </si>
  <si>
    <t>gr fl</t>
  </si>
  <si>
    <t>f r man</t>
  </si>
  <si>
    <t>delay</t>
  </si>
  <si>
    <t>V/C</t>
  </si>
  <si>
    <t>Ln fl</t>
  </si>
  <si>
    <t>Ls fl</t>
  </si>
  <si>
    <t>Rs fl</t>
  </si>
  <si>
    <t>Le fl</t>
  </si>
  <si>
    <t>Rw fl</t>
  </si>
  <si>
    <t>Re fl</t>
  </si>
  <si>
    <t>cyc mx</t>
  </si>
  <si>
    <t>+s4we</t>
  </si>
  <si>
    <t>scaled drawing or google earth</t>
  </si>
  <si>
    <t>peds</t>
  </si>
  <si>
    <t>left</t>
  </si>
  <si>
    <t>right</t>
  </si>
  <si>
    <t>str</t>
  </si>
  <si>
    <t>Green / Cycle ratio</t>
  </si>
  <si>
    <t>g/c from North</t>
  </si>
  <si>
    <t>g/c from South</t>
  </si>
  <si>
    <t>g/c from West</t>
  </si>
  <si>
    <t>g/c from East</t>
  </si>
  <si>
    <t>V/C from North</t>
  </si>
  <si>
    <t>V/C from South</t>
  </si>
  <si>
    <t>V/C from West</t>
  </si>
  <si>
    <t>V/C from East</t>
  </si>
  <si>
    <t>A-B</t>
  </si>
  <si>
    <t>C-D</t>
  </si>
  <si>
    <t>E</t>
  </si>
  <si>
    <t>F</t>
  </si>
  <si>
    <t>delay from North</t>
  </si>
  <si>
    <t>delay from South</t>
  </si>
  <si>
    <t>delay from West</t>
  </si>
  <si>
    <t>delay from East</t>
  </si>
  <si>
    <t>Q from North</t>
  </si>
  <si>
    <t>Q from South</t>
  </si>
  <si>
    <t>Q from West</t>
  </si>
  <si>
    <t>Q from East</t>
  </si>
  <si>
    <t>Queue</t>
  </si>
  <si>
    <t>Priority</t>
  </si>
  <si>
    <t>Xns</t>
  </si>
  <si>
    <t>Xwe</t>
  </si>
  <si>
    <t>XX</t>
  </si>
  <si>
    <t>RR</t>
  </si>
  <si>
    <t>separate</t>
  </si>
  <si>
    <t>stage</t>
  </si>
  <si>
    <t>(split)</t>
  </si>
  <si>
    <t>Control</t>
  </si>
  <si>
    <t>optimums</t>
  </si>
  <si>
    <t>(equivalent vehicle units, evu/day)</t>
  </si>
  <si>
    <t>PHF (peak hour factor)</t>
  </si>
  <si>
    <t>Thru steady (N+S)</t>
  </si>
  <si>
    <t>Thru steady (W+E)</t>
  </si>
  <si>
    <t>lag Rt.flash (W+E)</t>
  </si>
  <si>
    <t>lead Rt. flash + Thru (S)</t>
  </si>
  <si>
    <t>4 stage signal, lead flash from south, west-east lag flash</t>
  </si>
  <si>
    <t>walk</t>
  </si>
  <si>
    <t>clear</t>
  </si>
  <si>
    <t>pd/stg</t>
  </si>
  <si>
    <t>maximums AM</t>
  </si>
  <si>
    <t>maximums PM</t>
  </si>
  <si>
    <t>delay max</t>
  </si>
  <si>
    <t>V/C max</t>
  </si>
  <si>
    <t>design evu</t>
  </si>
  <si>
    <t>% of ADT</t>
  </si>
  <si>
    <t>qtr count</t>
  </si>
  <si>
    <t>best</t>
  </si>
  <si>
    <t>peds/hr/m</t>
  </si>
  <si>
    <t>circ=</t>
  </si>
  <si>
    <t>adj.follow gap (secs)</t>
  </si>
  <si>
    <t>S veh/hr</t>
  </si>
  <si>
    <t>L veh/hr</t>
  </si>
  <si>
    <t>R veh/hr</t>
  </si>
  <si>
    <t>stop</t>
  </si>
  <si>
    <t>L only</t>
  </si>
  <si>
    <t>S only</t>
  </si>
  <si>
    <t>R only</t>
  </si>
  <si>
    <t>Lane balance power factors</t>
  </si>
  <si>
    <t>Saturation flow</t>
  </si>
  <si>
    <t>Lu no ICD</t>
  </si>
  <si>
    <t>Critical Gap (secs)</t>
  </si>
  <si>
    <t>Follow Gap / Headway (secs)</t>
  </si>
  <si>
    <t>Follow Gap adjustment</t>
  </si>
  <si>
    <t>LSx</t>
  </si>
  <si>
    <t>LSRx</t>
  </si>
  <si>
    <t>SRx</t>
  </si>
  <si>
    <t>Ped x</t>
  </si>
  <si>
    <t>cyc2</t>
  </si>
  <si>
    <t>cyc4</t>
  </si>
  <si>
    <t>cyc3</t>
  </si>
  <si>
    <t>take gaps if flash</t>
  </si>
  <si>
    <t>Period</t>
  </si>
  <si>
    <t>wL</t>
  </si>
  <si>
    <t>wS</t>
  </si>
  <si>
    <t>wR</t>
  </si>
  <si>
    <t>sL</t>
  </si>
  <si>
    <t>sS</t>
  </si>
  <si>
    <t>sR</t>
  </si>
  <si>
    <t>eL</t>
  </si>
  <si>
    <t>eS</t>
  </si>
  <si>
    <t>eR</t>
  </si>
  <si>
    <t>nL</t>
  </si>
  <si>
    <t>nS</t>
  </si>
  <si>
    <t>nR</t>
  </si>
  <si>
    <t>nP</t>
  </si>
  <si>
    <t>sP</t>
  </si>
  <si>
    <t>wP</t>
  </si>
  <si>
    <t>eP</t>
  </si>
  <si>
    <t>15 min count</t>
  </si>
  <si>
    <t>L~</t>
  </si>
  <si>
    <t>L~u</t>
  </si>
  <si>
    <t># lanes</t>
  </si>
  <si>
    <t>check if &gt;0 cycle too short</t>
  </si>
  <si>
    <t>OK</t>
  </si>
  <si>
    <t>WARN</t>
  </si>
  <si>
    <t>POOR</t>
  </si>
  <si>
    <t>Perf Index</t>
  </si>
  <si>
    <t>(if lanes shared L:S or S:R = 0.5:0.5; L:S:R = 0.3:0.4:0.3)</t>
  </si>
  <si>
    <t>position</t>
  </si>
  <si>
    <t>registration</t>
  </si>
  <si>
    <t>National Road Traffic Regulation 287A, SARTSM Vol 3, 1.2 (4) requires signal installation approval by a registered</t>
  </si>
  <si>
    <t>phf =</t>
  </si>
  <si>
    <t>Only valid for urban intersections without one-ways and when at least one ordinary weekday peak hour count is entered.</t>
  </si>
  <si>
    <t>Implementation date:</t>
  </si>
  <si>
    <t>date / version</t>
  </si>
  <si>
    <t>Authority</t>
  </si>
  <si>
    <t>Designer</t>
  </si>
  <si>
    <t>signature</t>
  </si>
  <si>
    <t>date</t>
  </si>
  <si>
    <t>control</t>
  </si>
  <si>
    <t>recommended</t>
  </si>
  <si>
    <t>Designed by:</t>
  </si>
  <si>
    <t>Approved by:</t>
  </si>
  <si>
    <t>name</t>
  </si>
  <si>
    <t>&amp;</t>
  </si>
  <si>
    <t>↙</t>
  </si>
  <si>
    <t>↘</t>
  </si>
  <si>
    <t>↗</t>
  </si>
  <si>
    <t>↖</t>
  </si>
  <si>
    <t>↓</t>
  </si>
  <si>
    <t>→</t>
  </si>
  <si>
    <t>↑</t>
  </si>
  <si>
    <t>←</t>
  </si>
  <si>
    <t>AVERAGE DAILY TRAFFIC</t>
  </si>
  <si>
    <t>EXISTING LAYOUT</t>
  </si>
  <si>
    <t>existing layout, road markings and control</t>
  </si>
  <si>
    <t>QUARTER HOUR COUNTS</t>
  </si>
  <si>
    <t>DESIGN VOLUMES</t>
  </si>
  <si>
    <t>GROWTH %</t>
  </si>
  <si>
    <r>
      <t>HEAVY VEHICLES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incl. buses (%)</t>
    </r>
  </si>
  <si>
    <r>
      <t xml:space="preserve">BASE COUNT </t>
    </r>
    <r>
      <rPr>
        <sz val="10"/>
        <color theme="1"/>
        <rFont val="Calibri"/>
        <family val="2"/>
        <scheme val="minor"/>
      </rPr>
      <t>(veh/hr)</t>
    </r>
  </si>
  <si>
    <r>
      <t xml:space="preserve">DEVELOPMENT TRAFFIC </t>
    </r>
    <r>
      <rPr>
        <sz val="10"/>
        <color theme="1"/>
        <rFont val="Calibri"/>
        <family val="2"/>
        <scheme val="minor"/>
      </rPr>
      <t>(veh/hr)</t>
    </r>
  </si>
  <si>
    <r>
      <t xml:space="preserve">DESIGN VOLUMES </t>
    </r>
    <r>
      <rPr>
        <sz val="10"/>
        <color theme="1"/>
        <rFont val="Calibri"/>
        <family val="2"/>
        <scheme val="minor"/>
      </rPr>
      <t>(evu / hour)</t>
    </r>
  </si>
  <si>
    <t>MISSING DATA</t>
  </si>
  <si>
    <t>If volumes are missing in table above, copy from below and "paste values" above (note this cannot be undone once saved).</t>
  </si>
  <si>
    <t>WEIGHTING</t>
  </si>
  <si>
    <t>HOURLY TRAFFIC VOLUMES</t>
  </si>
  <si>
    <t>INTERSECTION GEOMETRY</t>
  </si>
  <si>
    <t>TIME SETTINGS</t>
  </si>
  <si>
    <t>EVENTS TABLE</t>
  </si>
  <si>
    <t>FIXED DATA</t>
  </si>
  <si>
    <r>
      <t xml:space="preserve">MINIMUM GREENS AND INTERGREENS </t>
    </r>
    <r>
      <rPr>
        <sz val="10"/>
        <color theme="1"/>
        <rFont val="Calibri"/>
        <family val="2"/>
        <scheme val="minor"/>
      </rPr>
      <t>(secs)</t>
    </r>
  </si>
  <si>
    <r>
      <t xml:space="preserve">CYCLE TIMES </t>
    </r>
    <r>
      <rPr>
        <sz val="10"/>
        <color theme="1"/>
        <rFont val="Calibri"/>
        <family val="2"/>
        <scheme val="minor"/>
      </rPr>
      <t>(secs)</t>
    </r>
  </si>
  <si>
    <t>SUMMARY</t>
  </si>
  <si>
    <t>SYNOPSIS</t>
  </si>
  <si>
    <t>CAPACITY CALCULATIONS</t>
  </si>
  <si>
    <t>SIGNAL PHASE TIMING CALCULATIONS</t>
  </si>
  <si>
    <r>
      <t>VOLUME to CAPACITY</t>
    </r>
    <r>
      <rPr>
        <sz val="11"/>
        <color theme="1"/>
        <rFont val="Calibri"/>
        <family val="2"/>
        <scheme val="minor"/>
      </rPr>
      <t xml:space="preserve"> (V/C)</t>
    </r>
  </si>
  <si>
    <r>
      <rPr>
        <sz val="10"/>
        <color theme="1"/>
        <rFont val="Calibri"/>
        <family val="2"/>
        <scheme val="minor"/>
      </rPr>
      <t>Volume</t>
    </r>
    <r>
      <rPr>
        <sz val="10"/>
        <color rgb="FFC0000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(evu/hr)</t>
    </r>
  </si>
  <si>
    <t>TIME PLANS</t>
  </si>
  <si>
    <t>logo</t>
  </si>
  <si>
    <t>SYNCHRONIZATION EFFICIENCY</t>
  </si>
  <si>
    <t>LOCAL DRIVING HABITS</t>
  </si>
  <si>
    <t>C</t>
  </si>
  <si>
    <t>Pr Eng or Pr Tech Eng. My signature confirms I have made the required declaration.</t>
  </si>
  <si>
    <t>period</t>
  </si>
  <si>
    <t>hourly totals</t>
  </si>
  <si>
    <t>City [C], Town [T], Village / Rural [V]</t>
  </si>
  <si>
    <t>ave %HV =</t>
  </si>
  <si>
    <t>wU</t>
  </si>
  <si>
    <t>eU</t>
  </si>
  <si>
    <t>nU</t>
  </si>
  <si>
    <t>sU</t>
  </si>
  <si>
    <t>nC</t>
  </si>
  <si>
    <t>sC</t>
  </si>
  <si>
    <t>wC</t>
  </si>
  <si>
    <t>eC</t>
  </si>
  <si>
    <t>P = pedestrians (two-way), C = cyclists (using crossing), U = U-turns</t>
  </si>
  <si>
    <t>lagging gr. (min 3.0, SARTSM min 4.0)</t>
  </si>
  <si>
    <t>ped</t>
  </si>
  <si>
    <t>nPed</t>
  </si>
  <si>
    <t>sPed</t>
  </si>
  <si>
    <t>wPed</t>
  </si>
  <si>
    <t>ePed</t>
  </si>
  <si>
    <t>gr ext</t>
  </si>
  <si>
    <t>green</t>
  </si>
  <si>
    <t>offset</t>
  </si>
  <si>
    <t>veh</t>
  </si>
  <si>
    <t>%HV</t>
  </si>
  <si>
    <t>Average Daily Traffic estimates from:</t>
  </si>
  <si>
    <t>6:00-9:00</t>
  </si>
  <si>
    <t>15:00-18:00</t>
  </si>
  <si>
    <t>12 hr</t>
  </si>
  <si>
    <t>peak multipliers:</t>
  </si>
  <si>
    <t>Lg2x</t>
  </si>
  <si>
    <t>Sg2x</t>
  </si>
  <si>
    <t>Rg2x</t>
  </si>
  <si>
    <t>Lg3x</t>
  </si>
  <si>
    <t>Sg3x</t>
  </si>
  <si>
    <t>Rg3x</t>
  </si>
  <si>
    <t>Lg4x</t>
  </si>
  <si>
    <t>Sg4x</t>
  </si>
  <si>
    <t>Rg4x</t>
  </si>
  <si>
    <t>qtr end</t>
  </si>
  <si>
    <t>N</t>
  </si>
  <si>
    <t>W</t>
  </si>
  <si>
    <t>V/Cmax</t>
  </si>
  <si>
    <t>del max</t>
  </si>
  <si>
    <t>Q max</t>
  </si>
  <si>
    <t>Q tot</t>
  </si>
  <si>
    <t>notes</t>
  </si>
  <si>
    <t>SCALE ~1:500</t>
  </si>
  <si>
    <t>sign</t>
  </si>
  <si>
    <t>R gaps</t>
  </si>
  <si>
    <t>% avail green</t>
  </si>
  <si>
    <t>all times except peaks</t>
  </si>
  <si>
    <t>if more than 3 plans, copy relevant staging or start new AutoJ</t>
  </si>
  <si>
    <t>Night</t>
  </si>
  <si>
    <t>min GREEN</t>
  </si>
  <si>
    <t>YELLOW</t>
  </si>
  <si>
    <t>ALL RED</t>
  </si>
  <si>
    <t>MAIN</t>
  </si>
  <si>
    <t>lead</t>
  </si>
  <si>
    <t>lag</t>
  </si>
  <si>
    <t>N/S combine</t>
  </si>
  <si>
    <t>W/E combine</t>
  </si>
  <si>
    <t>post-lead</t>
  </si>
  <si>
    <t>pre-lag</t>
  </si>
  <si>
    <t>Use to add (or subtract) traffic to a movement(s)</t>
  </si>
  <si>
    <t>n/a, but can be manually added</t>
  </si>
  <si>
    <t>OPPOSING VOLUMES</t>
  </si>
  <si>
    <t>Free flow</t>
  </si>
  <si>
    <t>% n gr</t>
  </si>
  <si>
    <t>% ns gr</t>
  </si>
  <si>
    <t>L~y</t>
  </si>
  <si>
    <t>L2</t>
  </si>
  <si>
    <t>Total Vol excl L~</t>
  </si>
  <si>
    <t>split (4)</t>
  </si>
  <si>
    <t>% s gr</t>
  </si>
  <si>
    <t>% w gr</t>
  </si>
  <si>
    <t>% e gr</t>
  </si>
  <si>
    <t>% we gr</t>
  </si>
  <si>
    <t>L3</t>
  </si>
  <si>
    <t>L4</t>
  </si>
  <si>
    <t>Lspl</t>
  </si>
  <si>
    <t>R2 gaps</t>
  </si>
  <si>
    <t>R3 gaps</t>
  </si>
  <si>
    <t>R4 gaps</t>
  </si>
  <si>
    <t>R i/g</t>
  </si>
  <si>
    <t>R fl</t>
  </si>
  <si>
    <t>adj 2*rt</t>
  </si>
  <si>
    <t>GAP ADJUST</t>
  </si>
  <si>
    <t>X / Y / RR</t>
  </si>
  <si>
    <t>2 cyc/hr</t>
  </si>
  <si>
    <t>4 cyc/hr</t>
  </si>
  <si>
    <t>3 cyc/hr</t>
  </si>
  <si>
    <t>ACTUAL CAPACITY PER MOVEMENT</t>
  </si>
  <si>
    <t>actual capacity</t>
  </si>
  <si>
    <t>theoretical capacity</t>
  </si>
  <si>
    <t>opposing volumes</t>
  </si>
  <si>
    <t>ALL WAY STOP</t>
  </si>
  <si>
    <t>Min / Max Cap &amp; time</t>
  </si>
  <si>
    <t>cap Lxx</t>
  </si>
  <si>
    <t>cap Sxx</t>
  </si>
  <si>
    <t>cap Rxx</t>
  </si>
  <si>
    <t>Ped N/S</t>
  </si>
  <si>
    <t>Ped W/E</t>
  </si>
  <si>
    <t>max cap S</t>
  </si>
  <si>
    <t>max cap L</t>
  </si>
  <si>
    <t>max cap R</t>
  </si>
  <si>
    <t>Ped xx,rr</t>
  </si>
  <si>
    <t>Split staging: 10 seconds are added to cycles below.</t>
  </si>
  <si>
    <t>LS cap</t>
  </si>
  <si>
    <t>LSR cap</t>
  </si>
  <si>
    <t>SR cap</t>
  </si>
  <si>
    <t>adj R veh/hr</t>
  </si>
  <si>
    <t>THEORETICAL CAP PER LANE</t>
  </si>
  <si>
    <t>maxLS</t>
  </si>
  <si>
    <t>maxR</t>
  </si>
  <si>
    <t>tL</t>
  </si>
  <si>
    <t>tS</t>
  </si>
  <si>
    <t>tR</t>
  </si>
  <si>
    <t>max tLS</t>
  </si>
  <si>
    <t>max tR</t>
  </si>
  <si>
    <t>pk hr begin</t>
  </si>
  <si>
    <t>design ADT</t>
  </si>
  <si>
    <t>design ADT =</t>
  </si>
  <si>
    <t>count ADT</t>
  </si>
  <si>
    <t>V</t>
  </si>
  <si>
    <t>g</t>
  </si>
  <si>
    <t>approach speed (km/h)</t>
  </si>
  <si>
    <t>pedestrian: crossing length (m)</t>
  </si>
  <si>
    <t>P</t>
  </si>
  <si>
    <t>H</t>
  </si>
  <si>
    <t>grade (%) (+ = up)</t>
  </si>
  <si>
    <t>M</t>
  </si>
  <si>
    <t>median island width (m)</t>
  </si>
  <si>
    <t>c</t>
  </si>
  <si>
    <t>clearance distance (m)</t>
  </si>
  <si>
    <t>RR lanes</t>
  </si>
  <si>
    <t>pedestrian crossing width (m)</t>
  </si>
  <si>
    <t>rt. turn in gap allowed (y or n)</t>
  </si>
  <si>
    <t>slip must yield to cross traffic (y or n)</t>
  </si>
  <si>
    <t>mC</t>
  </si>
  <si>
    <t>Lmc</t>
  </si>
  <si>
    <t>NORTH CRITICAL LANES</t>
  </si>
  <si>
    <t>SOUTH CRITICAL LANES</t>
  </si>
  <si>
    <t>WEST CRITICAL LANES</t>
  </si>
  <si>
    <t>EAST CRITICAL LANES</t>
  </si>
  <si>
    <t>L,S,2R/ln</t>
  </si>
  <si>
    <t>vol/ln</t>
  </si>
  <si>
    <t>main</t>
  </si>
  <si>
    <t>file ref / GPS / i-s no.</t>
  </si>
  <si>
    <t>NEW LAYOUT, MARKINGS &amp; SIGNALS</t>
  </si>
  <si>
    <t>new layout, road markings and signal heads</t>
  </si>
  <si>
    <t>final design</t>
  </si>
  <si>
    <t>copy and paste this page if more than one dwg required</t>
  </si>
  <si>
    <t>i/s V/C</t>
  </si>
  <si>
    <t>all</t>
  </si>
  <si>
    <t>LoS</t>
  </si>
  <si>
    <r>
      <rPr>
        <b/>
        <sz val="10"/>
        <color theme="9" tint="-0.249977111117893"/>
        <rFont val="Calibri"/>
        <family val="2"/>
        <scheme val="minor"/>
      </rPr>
      <t>DELAY</t>
    </r>
    <r>
      <rPr>
        <b/>
        <sz val="10"/>
        <color theme="1"/>
        <rFont val="Calibri"/>
        <family val="2"/>
        <scheme val="minor"/>
      </rPr>
      <t xml:space="preserve"> (max)</t>
    </r>
  </si>
  <si>
    <t>Year of Design:</t>
  </si>
  <si>
    <t>change movement to numbers here</t>
  </si>
  <si>
    <t>T</t>
  </si>
  <si>
    <t>turn lane length (m)</t>
  </si>
  <si>
    <t>P+C*2</t>
  </si>
  <si>
    <t>R+U</t>
  </si>
  <si>
    <t>U</t>
  </si>
  <si>
    <t>rt gap not take</t>
  </si>
  <si>
    <t>X / Y (RR)</t>
  </si>
  <si>
    <t>LS +</t>
  </si>
  <si>
    <t>LSR +</t>
  </si>
  <si>
    <t>SR +</t>
  </si>
  <si>
    <t>adjusted for lane bal</t>
  </si>
  <si>
    <t>Rg gaps</t>
  </si>
  <si>
    <t>Ru no ICD</t>
  </si>
  <si>
    <t>grey = no dependents</t>
  </si>
  <si>
    <r>
      <rPr>
        <b/>
        <sz val="10"/>
        <color theme="9" tint="-0.249977111117893"/>
        <rFont val="Calibri"/>
        <family val="2"/>
        <scheme val="minor"/>
      </rPr>
      <t xml:space="preserve">VOL to CAP </t>
    </r>
    <r>
      <rPr>
        <b/>
        <sz val="9"/>
        <color theme="1"/>
        <rFont val="Calibri"/>
        <family val="2"/>
        <scheme val="minor"/>
      </rPr>
      <t>(max)</t>
    </r>
  </si>
  <si>
    <t>good</t>
  </si>
  <si>
    <t>ave hr (9:00 to 15:30)</t>
  </si>
  <si>
    <r>
      <rPr>
        <b/>
        <sz val="10"/>
        <color theme="9" tint="-0.249977111117893"/>
        <rFont val="Calibri"/>
        <family val="2"/>
        <scheme val="minor"/>
      </rPr>
      <t>Q</t>
    </r>
    <r>
      <rPr>
        <b/>
        <sz val="10"/>
        <color theme="1"/>
        <rFont val="Calibri"/>
        <family val="2"/>
        <scheme val="minor"/>
      </rPr>
      <t xml:space="preserve"> (max)</t>
    </r>
  </si>
  <si>
    <t>pedestrian heads required (y or n)</t>
  </si>
  <si>
    <t>gr ball</t>
  </si>
  <si>
    <t>Lt fl</t>
  </si>
  <si>
    <t>Rt fl</t>
  </si>
  <si>
    <t>LEVEL OF SERVICE COLOUR CODE</t>
  </si>
  <si>
    <t>priority</t>
  </si>
  <si>
    <t>signals</t>
  </si>
  <si>
    <t>QUEUE LENGTH COLOUR CODE</t>
  </si>
  <si>
    <t>A-B &lt; 0.8,  C-D &lt; 0.95, E &lt; 0.99</t>
  </si>
  <si>
    <t>A-B &lt; 15,   C-D &lt; 35,    E &lt; 50</t>
  </si>
  <si>
    <t>A-B &lt; 0.3,  C-D &lt;0.6,    E &lt;0.98</t>
  </si>
  <si>
    <t>A-B &lt; 20,   C-D &lt; 55,    E &lt; 80</t>
  </si>
  <si>
    <t>Q &lt;4 = OK, &lt;10 = WARN, 10+ = POOR</t>
  </si>
  <si>
    <r>
      <t>Average</t>
    </r>
    <r>
      <rPr>
        <b/>
        <sz val="11"/>
        <color rgb="FFC00000"/>
        <rFont val="Calibri"/>
        <family val="2"/>
        <scheme val="minor"/>
      </rPr>
      <t xml:space="preserve"> DELAY</t>
    </r>
    <r>
      <rPr>
        <sz val="10"/>
        <color theme="1"/>
        <rFont val="Calibri"/>
        <family val="2"/>
        <scheme val="minor"/>
      </rPr>
      <t xml:space="preserve"> (secs)</t>
    </r>
  </si>
  <si>
    <r>
      <t>Average</t>
    </r>
    <r>
      <rPr>
        <b/>
        <sz val="11"/>
        <color rgb="FFC00000"/>
        <rFont val="Calibri"/>
        <family val="2"/>
        <scheme val="minor"/>
      </rPr>
      <t xml:space="preserve"> QUEUE</t>
    </r>
    <r>
      <rPr>
        <sz val="10"/>
        <rFont val="Calibri"/>
        <family val="2"/>
        <scheme val="minor"/>
      </rPr>
      <t xml:space="preserve"> length</t>
    </r>
  </si>
  <si>
    <t>R g/c</t>
  </si>
  <si>
    <t>L g/c</t>
  </si>
  <si>
    <t>tz</t>
  </si>
  <si>
    <t>max avail green</t>
  </si>
  <si>
    <t>split 4</t>
  </si>
  <si>
    <t>sum</t>
  </si>
  <si>
    <t>Rg3 fl</t>
  </si>
  <si>
    <t>Rg4 fl</t>
  </si>
  <si>
    <t>SUM CRIT V/C</t>
  </si>
  <si>
    <t>min gr applies</t>
  </si>
  <si>
    <t>share remain green</t>
  </si>
  <si>
    <t>sum reamin gr</t>
  </si>
  <si>
    <t>R - i/g</t>
  </si>
  <si>
    <t>Lead fl</t>
  </si>
  <si>
    <t>Lag fl</t>
  </si>
  <si>
    <t>THEORETICAL SATURATION PER LANE</t>
  </si>
  <si>
    <t>HOURLY CAPACITY PER MOVEMENT</t>
  </si>
  <si>
    <t>evu = equivalent vehicle units.</t>
  </si>
  <si>
    <t>from E+W, use north crossing</t>
  </si>
  <si>
    <t>from E+W, use south crossing</t>
  </si>
  <si>
    <t>from N+S, use west crossing</t>
  </si>
  <si>
    <t>from N+S, use east crossing</t>
  </si>
  <si>
    <t>Volume must be one hour count. Check period, pk hour time and date are correct.</t>
  </si>
  <si>
    <t>can be negative</t>
  </si>
  <si>
    <t>L aux</t>
  </si>
  <si>
    <t>R aux</t>
  </si>
  <si>
    <t>S add</t>
  </si>
  <si>
    <t>rt in gap?</t>
  </si>
  <si>
    <t xml:space="preserve"> INITIAL V/C CALCULATION</t>
  </si>
  <si>
    <t>V/C fl</t>
  </si>
  <si>
    <t>M=max fl+opp, with</t>
  </si>
  <si>
    <t>V/C main</t>
  </si>
  <si>
    <t>sum fl + opp</t>
  </si>
  <si>
    <t>sum of demnd for gr</t>
  </si>
  <si>
    <t>SHORT AUXILIIARY LANE ADJUSTMENT</t>
  </si>
  <si>
    <t>Use, for example, to get signal to give more time for a bus route or less time to a minor or blocked movement.</t>
  </si>
  <si>
    <t>Design volume is multiplied by this weighting thereby making the affected movement more (or less) important.</t>
  </si>
  <si>
    <r>
      <t xml:space="preserve">PEDESTRIANS, CYCLISTS, U-turns </t>
    </r>
    <r>
      <rPr>
        <sz val="10"/>
        <color theme="1"/>
        <rFont val="Calibri"/>
        <family val="2"/>
        <scheme val="minor"/>
      </rPr>
      <t>(per hour)</t>
    </r>
  </si>
  <si>
    <t>R lead</t>
  </si>
  <si>
    <t>R lag</t>
  </si>
  <si>
    <t>Lg spl</t>
  </si>
  <si>
    <t>Sg spl</t>
  </si>
  <si>
    <t>Rg spl</t>
  </si>
  <si>
    <t>this table determines peak times</t>
  </si>
  <si>
    <t>If the movement favoured is critical, the time available to all other movements will be less, also affecting LoS.</t>
  </si>
  <si>
    <t>Minimums are calculated using the greater of pedestrian crossing and clearance times or policy. User can overwrite.</t>
  </si>
  <si>
    <t>&amp;AutoJ 2408</t>
  </si>
  <si>
    <t>best priority</t>
  </si>
  <si>
    <t>best signal</t>
  </si>
  <si>
    <t>flash red</t>
  </si>
  <si>
    <t>colour code</t>
  </si>
  <si>
    <t>Queen Street</t>
  </si>
  <si>
    <t>Albertina Sisulu Road</t>
  </si>
  <si>
    <t>example</t>
  </si>
  <si>
    <t xml:space="preserve">TS0862 </t>
  </si>
  <si>
    <t>Re-time and synchronize traffic signal.</t>
  </si>
  <si>
    <t>Recommend addition of leading green from south</t>
  </si>
  <si>
    <r>
      <rPr>
        <b/>
        <sz val="11"/>
        <color theme="1"/>
        <rFont val="Calibri"/>
        <family val="2"/>
        <scheme val="minor"/>
      </rPr>
      <t>THANK YOU</t>
    </r>
    <r>
      <rPr>
        <sz val="11"/>
        <color theme="1"/>
        <rFont val="Calibri"/>
        <family val="2"/>
        <scheme val="minor"/>
      </rPr>
      <t xml:space="preserve"> for downloading a worked example of an actual AutoJ application. </t>
    </r>
  </si>
  <si>
    <r>
      <t xml:space="preserve">In </t>
    </r>
    <r>
      <rPr>
        <b/>
        <sz val="11"/>
        <color theme="1"/>
        <rFont val="Calibri"/>
        <family val="2"/>
        <scheme val="minor"/>
      </rPr>
      <t>GEOM</t>
    </r>
    <r>
      <rPr>
        <sz val="11"/>
        <color theme="1"/>
        <rFont val="Calibri"/>
        <family val="2"/>
        <scheme val="minor"/>
      </rPr>
      <t xml:space="preserve"> (geometry) the lanes and any other geometric features are added.</t>
    </r>
  </si>
  <si>
    <r>
      <rPr>
        <b/>
        <sz val="11"/>
        <color theme="1"/>
        <rFont val="Calibri"/>
        <family val="2"/>
        <scheme val="minor"/>
      </rPr>
      <t>SET</t>
    </r>
    <r>
      <rPr>
        <sz val="11"/>
        <color theme="1"/>
        <rFont val="Calibri"/>
        <family val="2"/>
        <scheme val="minor"/>
      </rPr>
      <t xml:space="preserve"> provides the calculated signal timing settings but can be amended by the user (e.g. cycle times).</t>
    </r>
  </si>
  <si>
    <r>
      <rPr>
        <b/>
        <sz val="11"/>
        <color theme="1"/>
        <rFont val="Calibri"/>
        <family val="2"/>
        <scheme val="minor"/>
      </rPr>
      <t>SMY</t>
    </r>
    <r>
      <rPr>
        <sz val="11"/>
        <color theme="1"/>
        <rFont val="Calibri"/>
        <family val="2"/>
        <scheme val="minor"/>
      </rPr>
      <t xml:space="preserve"> is a summary of the performance of every control device including 21 different signal staging options.</t>
    </r>
  </si>
  <si>
    <r>
      <rPr>
        <b/>
        <sz val="11"/>
        <color theme="1"/>
        <rFont val="Calibri"/>
        <family val="2"/>
        <scheme val="minor"/>
      </rPr>
      <t>+s4we</t>
    </r>
    <r>
      <rPr>
        <sz val="11"/>
        <color theme="1"/>
        <rFont val="Calibri"/>
        <family val="2"/>
        <scheme val="minor"/>
      </rPr>
      <t xml:space="preserve"> are the signal timings optimized by AutoJ. Users can overwrite if needed.</t>
    </r>
  </si>
  <si>
    <t>The performance and timings of all other intersection controls have been deleted in this example.</t>
  </si>
  <si>
    <r>
      <t xml:space="preserve">Copyright </t>
    </r>
    <r>
      <rPr>
        <sz val="11"/>
        <color theme="1"/>
        <rFont val="Calibri"/>
        <family val="2"/>
      </rPr>
      <t>© Dr John Sampson</t>
    </r>
  </si>
  <si>
    <t>This example allows you to see the benefits of AutoJ.</t>
  </si>
  <si>
    <r>
      <t xml:space="preserve">In </t>
    </r>
    <r>
      <rPr>
        <b/>
        <sz val="11"/>
        <color theme="1"/>
        <rFont val="Calibri"/>
        <family val="2"/>
        <scheme val="minor"/>
      </rPr>
      <t xml:space="preserve">qtr </t>
    </r>
    <r>
      <rPr>
        <sz val="11"/>
        <color theme="1"/>
        <rFont val="Calibri"/>
        <family val="2"/>
        <scheme val="minor"/>
      </rPr>
      <t>enter the quarter hour count (the program will work out hourly and daily totals as well as peak hour times)</t>
    </r>
  </si>
  <si>
    <r>
      <t xml:space="preserve">In </t>
    </r>
    <r>
      <rPr>
        <b/>
        <sz val="11"/>
        <color theme="1"/>
        <rFont val="Calibri"/>
        <family val="2"/>
        <scheme val="minor"/>
      </rPr>
      <t>hr</t>
    </r>
    <r>
      <rPr>
        <sz val="11"/>
        <color theme="1"/>
        <rFont val="Calibri"/>
        <family val="2"/>
        <scheme val="minor"/>
      </rPr>
      <t xml:space="preserve"> enter all other count details, including hour counts if quarter hour not available.</t>
    </r>
  </si>
  <si>
    <r>
      <t xml:space="preserve">The ADT (avearage daily traffic) and </t>
    </r>
    <r>
      <rPr>
        <b/>
        <sz val="11"/>
        <color theme="1"/>
        <rFont val="Calibri"/>
        <family val="2"/>
        <scheme val="minor"/>
      </rPr>
      <t>PK</t>
    </r>
    <r>
      <rPr>
        <sz val="11"/>
        <color theme="1"/>
        <rFont val="Calibri"/>
        <family val="2"/>
        <scheme val="minor"/>
      </rPr>
      <t xml:space="preserve"> (peak and off-peak hours) are for viewing or printing.</t>
    </r>
  </si>
  <si>
    <r>
      <t xml:space="preserve">The intersection name and location details are entered in </t>
    </r>
    <r>
      <rPr>
        <b/>
        <sz val="11"/>
        <color theme="1"/>
        <rFont val="Calibri"/>
        <family val="2"/>
        <scheme val="minor"/>
      </rPr>
      <t>CVR</t>
    </r>
    <r>
      <rPr>
        <sz val="11"/>
        <color theme="1"/>
        <rFont val="Calibri"/>
        <family val="2"/>
        <scheme val="minor"/>
      </rPr>
      <t xml:space="preserve"> (cover).</t>
    </r>
  </si>
  <si>
    <t>John Sampson</t>
  </si>
  <si>
    <t>Pr Eng</t>
  </si>
  <si>
    <t>This eg page does not appear if you purchase an original.</t>
  </si>
  <si>
    <t>The steps below are typical of those carried out by AutoJ users.</t>
  </si>
  <si>
    <r>
      <rPr>
        <b/>
        <sz val="11"/>
        <color theme="1"/>
        <rFont val="Calibri"/>
        <family val="2"/>
        <scheme val="minor"/>
      </rPr>
      <t>EX</t>
    </r>
    <r>
      <rPr>
        <sz val="11"/>
        <color theme="1"/>
        <rFont val="Calibri"/>
        <family val="2"/>
        <scheme val="minor"/>
      </rPr>
      <t xml:space="preserve"> and NEW are the existing and new (as designed by user) lanes, road markings and signal heads .</t>
    </r>
  </si>
  <si>
    <r>
      <t>Output, in this example</t>
    </r>
    <r>
      <rPr>
        <b/>
        <sz val="11"/>
        <color theme="1"/>
        <rFont val="Calibri"/>
        <family val="2"/>
        <scheme val="minor"/>
      </rPr>
      <t xml:space="preserve"> s4we</t>
    </r>
    <r>
      <rPr>
        <sz val="11"/>
        <color theme="1"/>
        <rFont val="Calibri"/>
        <family val="2"/>
        <scheme val="minor"/>
      </rPr>
      <t xml:space="preserve"> (4 stage signal, lead green from south and lag green west-east) is the performance of the optimal control.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</si>
</sst>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R&quot;#,##0;[Red]\-&quot;R&quot;#,##0"/>
    <numFmt numFmtId="165" formatCode="0.0"/>
    <numFmt numFmtId="166" formatCode="0.0%"/>
    <numFmt numFmtId="167" formatCode="#,##0.0"/>
    <numFmt numFmtId="168" formatCode="#,##0.000"/>
    <numFmt numFmtId="169" formatCode="yyyy"/>
  </numFmts>
  <fonts count="11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b/>
      <sz val="14"/>
      <color theme="1"/>
      <name val="Cambria"/>
      <family val="1"/>
      <scheme val="major"/>
    </font>
    <font>
      <sz val="8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C00000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i/>
      <sz val="9"/>
      <color theme="4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9"/>
      <color indexed="10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sz val="9"/>
      <name val="Calibri"/>
      <family val="2"/>
      <scheme val="minor"/>
    </font>
    <font>
      <sz val="9"/>
      <color rgb="FFC00000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b/>
      <sz val="12"/>
      <name val="Times New Roman"/>
      <family val="1"/>
    </font>
    <font>
      <b/>
      <sz val="9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rgb="FF00FF00"/>
      <name val="Calibri"/>
      <family val="2"/>
      <scheme val="minor"/>
    </font>
    <font>
      <i/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i/>
      <sz val="10"/>
      <color theme="3" tint="-0.249977111117893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rgb="FF009900"/>
      <name val="Calibri"/>
      <family val="2"/>
      <scheme val="minor"/>
    </font>
    <font>
      <i/>
      <sz val="9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9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24"/>
      <color theme="1"/>
      <name val="Cambria"/>
      <family val="1"/>
      <scheme val="major"/>
    </font>
    <font>
      <b/>
      <sz val="10"/>
      <color rgb="FF7030A0"/>
      <name val="Calibri"/>
      <family val="2"/>
      <scheme val="minor"/>
    </font>
    <font>
      <sz val="10"/>
      <color rgb="FF008000"/>
      <name val="Calibri"/>
      <family val="2"/>
      <scheme val="minor"/>
    </font>
    <font>
      <sz val="10"/>
      <color rgb="FF7030A0"/>
      <name val="Calibri"/>
      <family val="2"/>
      <scheme val="minor"/>
    </font>
    <font>
      <i/>
      <sz val="9"/>
      <color rgb="FF7030A0"/>
      <name val="Calibri"/>
      <family val="2"/>
      <scheme val="minor"/>
    </font>
    <font>
      <i/>
      <sz val="10"/>
      <color rgb="FF7030A0"/>
      <name val="Calibri"/>
      <family val="2"/>
      <scheme val="minor"/>
    </font>
    <font>
      <b/>
      <sz val="9"/>
      <color rgb="FF7030A0"/>
      <name val="Calibri"/>
      <family val="2"/>
      <scheme val="minor"/>
    </font>
    <font>
      <b/>
      <u/>
      <sz val="9"/>
      <color theme="0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i/>
      <sz val="10"/>
      <color theme="5" tint="-0.249977111117893"/>
      <name val="Calibri"/>
      <family val="2"/>
      <scheme val="minor"/>
    </font>
    <font>
      <b/>
      <i/>
      <sz val="10"/>
      <color theme="7" tint="-0.249977111117893"/>
      <name val="Calibri"/>
      <family val="2"/>
      <scheme val="minor"/>
    </font>
    <font>
      <sz val="10"/>
      <color theme="7" tint="-0.249977111117893"/>
      <name val="Calibri"/>
      <family val="2"/>
      <scheme val="minor"/>
    </font>
    <font>
      <i/>
      <sz val="10"/>
      <color theme="7" tint="-0.249977111117893"/>
      <name val="Calibri"/>
      <family val="2"/>
      <scheme val="minor"/>
    </font>
    <font>
      <i/>
      <sz val="10"/>
      <color rgb="FFC00000"/>
      <name val="Calibri"/>
      <family val="2"/>
      <scheme val="minor"/>
    </font>
    <font>
      <b/>
      <i/>
      <sz val="10"/>
      <color theme="0" tint="-0.499984740745262"/>
      <name val="Calibri"/>
      <family val="2"/>
      <scheme val="minor"/>
    </font>
    <font>
      <sz val="10"/>
      <color rgb="FF0061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rgb="FF00FF00"/>
      <name val="Calibri"/>
      <family val="2"/>
      <scheme val="minor"/>
    </font>
    <font>
      <sz val="9"/>
      <color theme="3" tint="-0.499984740745262"/>
      <name val="Calibri"/>
      <family val="2"/>
      <scheme val="minor"/>
    </font>
    <font>
      <i/>
      <sz val="8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i/>
      <sz val="10"/>
      <color rgb="FFFFCCCC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9"/>
      <color rgb="FFC0000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7" tint="-0.249977111117893"/>
      <name val="Calibri"/>
      <family val="2"/>
      <scheme val="minor"/>
    </font>
    <font>
      <b/>
      <sz val="10"/>
      <color rgb="FF008000"/>
      <name val="Calibri"/>
      <family val="2"/>
      <scheme val="minor"/>
    </font>
    <font>
      <i/>
      <sz val="10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00B05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9900"/>
      <name val="Calibri"/>
      <family val="2"/>
      <scheme val="minor"/>
    </font>
    <font>
      <b/>
      <sz val="10"/>
      <color rgb="FF006100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10"/>
      <color indexed="55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theme="0"/>
      <name val="Calibri"/>
      <family val="2"/>
      <scheme val="minor"/>
    </font>
    <font>
      <i/>
      <sz val="10"/>
      <color theme="6" tint="-0.249977111117893"/>
      <name val="Calibri"/>
      <family val="2"/>
      <scheme val="minor"/>
    </font>
    <font>
      <i/>
      <sz val="9"/>
      <color theme="6" tint="-0.249977111117893"/>
      <name val="Calibri"/>
      <family val="2"/>
      <scheme val="minor"/>
    </font>
    <font>
      <sz val="9"/>
      <color rgb="FF00B05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9"/>
      <color rgb="FF00B050"/>
      <name val="Calibri"/>
      <family val="2"/>
      <scheme val="minor"/>
    </font>
    <font>
      <i/>
      <sz val="9"/>
      <color theme="9" tint="0.39997558519241921"/>
      <name val="Calibri"/>
      <family val="2"/>
      <scheme val="minor"/>
    </font>
    <font>
      <b/>
      <sz val="9"/>
      <color rgb="FF008000"/>
      <name val="Calibri"/>
      <family val="2"/>
      <scheme val="minor"/>
    </font>
    <font>
      <sz val="11"/>
      <color theme="1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FE989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D7FC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CC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0FFDD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FDDDC3"/>
        <bgColor indexed="64"/>
      </patternFill>
    </fill>
    <fill>
      <patternFill patternType="solid">
        <fgColor rgb="FFFFCC99"/>
        <bgColor indexed="64"/>
      </patternFill>
    </fill>
  </fills>
  <borders count="1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auto="1"/>
      </top>
      <bottom style="thin">
        <color theme="0" tint="-0.34998626667073579"/>
      </bottom>
      <diagonal/>
    </border>
    <border>
      <left/>
      <right/>
      <top style="thin">
        <color auto="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auto="1"/>
      </top>
      <bottom style="thin">
        <color theme="0" tint="-0.34998626667073579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 style="thin">
        <color indexed="64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/>
      <top/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/>
      <right style="double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/>
      <top style="thin">
        <color auto="1"/>
      </top>
      <bottom style="thin">
        <color theme="0" tint="-0.34998626667073579"/>
      </bottom>
      <diagonal/>
    </border>
    <border>
      <left/>
      <right style="double">
        <color indexed="64"/>
      </right>
      <top style="thin">
        <color auto="1"/>
      </top>
      <bottom style="thin">
        <color theme="0" tint="-0.34998626667073579"/>
      </bottom>
      <diagonal/>
    </border>
    <border>
      <left style="double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indexed="64"/>
      </left>
      <right/>
      <top style="thin">
        <color theme="0" tint="-0.34998626667073579"/>
      </top>
      <bottom style="double">
        <color indexed="64"/>
      </bottom>
      <diagonal/>
    </border>
    <border>
      <left/>
      <right/>
      <top style="thin">
        <color theme="0" tint="-0.34998626667073579"/>
      </top>
      <bottom style="double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indexed="64"/>
      </bottom>
      <diagonal/>
    </border>
    <border>
      <left/>
      <right style="double">
        <color indexed="64"/>
      </right>
      <top style="thin">
        <color theme="0" tint="-0.34998626667073579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/>
      <diagonal/>
    </border>
    <border>
      <left style="medium">
        <color indexed="64"/>
      </left>
      <right style="double">
        <color auto="1"/>
      </right>
      <top/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/>
      <right style="double">
        <color auto="1"/>
      </right>
      <top style="medium">
        <color indexed="64"/>
      </top>
      <bottom/>
      <diagonal/>
    </border>
    <border>
      <left style="thin">
        <color indexed="64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/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  <border>
      <left/>
      <right style="double">
        <color auto="1"/>
      </right>
      <top/>
      <bottom style="thin">
        <color theme="0" tint="-0.34998626667073579"/>
      </bottom>
      <diagonal/>
    </border>
    <border>
      <left/>
      <right style="double">
        <color auto="1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73" fillId="28" borderId="0" applyNumberFormat="0" applyBorder="0" applyAlignment="0" applyProtection="0"/>
  </cellStyleXfs>
  <cellXfs count="1352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0" fontId="5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0" fontId="3" fillId="0" borderId="0" xfId="0" applyNumberFormat="1" applyFont="1"/>
    <xf numFmtId="3" fontId="3" fillId="0" borderId="0" xfId="0" applyNumberFormat="1" applyFont="1"/>
    <xf numFmtId="3" fontId="9" fillId="0" borderId="1" xfId="0" applyNumberFormat="1" applyFont="1" applyBorder="1"/>
    <xf numFmtId="0" fontId="21" fillId="0" borderId="0" xfId="0" quotePrefix="1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quotePrefix="1" applyFont="1" applyAlignment="1">
      <alignment horizontal="right" vertic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3" fontId="5" fillId="0" borderId="18" xfId="0" applyNumberFormat="1" applyFont="1" applyBorder="1"/>
    <xf numFmtId="0" fontId="21" fillId="0" borderId="0" xfId="0" quotePrefix="1" applyFont="1" applyAlignment="1">
      <alignment horizontal="center"/>
    </xf>
    <xf numFmtId="3" fontId="5" fillId="0" borderId="23" xfId="0" applyNumberFormat="1" applyFont="1" applyBorder="1"/>
    <xf numFmtId="0" fontId="29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31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3" fontId="5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3" fontId="3" fillId="0" borderId="6" xfId="0" applyNumberFormat="1" applyFont="1" applyBorder="1" applyAlignment="1">
      <alignment horizontal="center"/>
    </xf>
    <xf numFmtId="0" fontId="21" fillId="0" borderId="0" xfId="0" applyFont="1" applyAlignment="1">
      <alignment horizontal="right"/>
    </xf>
    <xf numFmtId="0" fontId="3" fillId="0" borderId="1" xfId="0" applyFont="1" applyBorder="1" applyAlignment="1">
      <alignment horizontal="center"/>
    </xf>
    <xf numFmtId="9" fontId="34" fillId="0" borderId="1" xfId="1" applyFont="1" applyBorder="1" applyAlignment="1">
      <alignment horizontal="center"/>
    </xf>
    <xf numFmtId="0" fontId="22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4" fontId="34" fillId="14" borderId="1" xfId="0" applyNumberFormat="1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3" fontId="3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center"/>
    </xf>
    <xf numFmtId="3" fontId="17" fillId="0" borderId="6" xfId="0" applyNumberFormat="1" applyFont="1" applyBorder="1" applyAlignment="1">
      <alignment horizontal="center"/>
    </xf>
    <xf numFmtId="0" fontId="9" fillId="0" borderId="0" xfId="0" applyFont="1"/>
    <xf numFmtId="3" fontId="9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3" fontId="9" fillId="0" borderId="0" xfId="0" applyNumberFormat="1" applyFont="1"/>
    <xf numFmtId="0" fontId="9" fillId="0" borderId="6" xfId="0" applyFont="1" applyBorder="1"/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16" borderId="2" xfId="0" applyFont="1" applyFill="1" applyBorder="1" applyAlignment="1">
      <alignment horizontal="center"/>
    </xf>
    <xf numFmtId="165" fontId="9" fillId="0" borderId="3" xfId="0" applyNumberFormat="1" applyFont="1" applyBorder="1"/>
    <xf numFmtId="165" fontId="9" fillId="0" borderId="4" xfId="0" applyNumberFormat="1" applyFont="1" applyBorder="1"/>
    <xf numFmtId="0" fontId="9" fillId="16" borderId="5" xfId="0" applyFont="1" applyFill="1" applyBorder="1" applyAlignment="1">
      <alignment horizontal="center"/>
    </xf>
    <xf numFmtId="165" fontId="9" fillId="0" borderId="0" xfId="0" applyNumberFormat="1" applyFont="1"/>
    <xf numFmtId="165" fontId="9" fillId="0" borderId="6" xfId="0" applyNumberFormat="1" applyFont="1" applyBorder="1"/>
    <xf numFmtId="0" fontId="9" fillId="0" borderId="5" xfId="0" applyFont="1" applyBorder="1"/>
    <xf numFmtId="0" fontId="9" fillId="16" borderId="7" xfId="0" applyFont="1" applyFill="1" applyBorder="1" applyAlignment="1">
      <alignment horizontal="center"/>
    </xf>
    <xf numFmtId="165" fontId="9" fillId="0" borderId="8" xfId="0" applyNumberFormat="1" applyFont="1" applyBorder="1"/>
    <xf numFmtId="165" fontId="9" fillId="0" borderId="9" xfId="0" applyNumberFormat="1" applyFont="1" applyBorder="1"/>
    <xf numFmtId="0" fontId="9" fillId="0" borderId="8" xfId="0" applyFont="1" applyBorder="1"/>
    <xf numFmtId="165" fontId="9" fillId="0" borderId="5" xfId="0" applyNumberFormat="1" applyFont="1" applyBorder="1"/>
    <xf numFmtId="165" fontId="9" fillId="0" borderId="7" xfId="0" applyNumberFormat="1" applyFont="1" applyBorder="1"/>
    <xf numFmtId="0" fontId="33" fillId="0" borderId="5" xfId="0" applyFont="1" applyBorder="1" applyAlignment="1">
      <alignment horizontal="center"/>
    </xf>
    <xf numFmtId="165" fontId="9" fillId="0" borderId="0" xfId="0" applyNumberFormat="1" applyFont="1" applyAlignment="1">
      <alignment horizontal="center"/>
    </xf>
    <xf numFmtId="165" fontId="9" fillId="0" borderId="8" xfId="0" applyNumberFormat="1" applyFont="1" applyBorder="1" applyAlignment="1">
      <alignment horizontal="center"/>
    </xf>
    <xf numFmtId="3" fontId="9" fillId="0" borderId="0" xfId="0" applyNumberFormat="1" applyFont="1" applyAlignment="1">
      <alignment horizontal="right"/>
    </xf>
    <xf numFmtId="165" fontId="9" fillId="11" borderId="2" xfId="0" applyNumberFormat="1" applyFont="1" applyFill="1" applyBorder="1" applyAlignment="1">
      <alignment horizontal="right"/>
    </xf>
    <xf numFmtId="165" fontId="3" fillId="12" borderId="3" xfId="0" applyNumberFormat="1" applyFont="1" applyFill="1" applyBorder="1" applyAlignment="1">
      <alignment horizontal="right"/>
    </xf>
    <xf numFmtId="165" fontId="3" fillId="5" borderId="3" xfId="0" applyNumberFormat="1" applyFont="1" applyFill="1" applyBorder="1" applyAlignment="1">
      <alignment horizontal="right"/>
    </xf>
    <xf numFmtId="165" fontId="3" fillId="13" borderId="4" xfId="0" applyNumberFormat="1" applyFont="1" applyFill="1" applyBorder="1" applyAlignment="1">
      <alignment horizontal="right"/>
    </xf>
    <xf numFmtId="165" fontId="9" fillId="11" borderId="5" xfId="0" applyNumberFormat="1" applyFont="1" applyFill="1" applyBorder="1" applyAlignment="1">
      <alignment horizontal="right"/>
    </xf>
    <xf numFmtId="165" fontId="3" fillId="5" borderId="0" xfId="0" applyNumberFormat="1" applyFont="1" applyFill="1" applyAlignment="1">
      <alignment horizontal="right"/>
    </xf>
    <xf numFmtId="165" fontId="3" fillId="13" borderId="6" xfId="0" applyNumberFormat="1" applyFont="1" applyFill="1" applyBorder="1" applyAlignment="1">
      <alignment horizontal="right"/>
    </xf>
    <xf numFmtId="165" fontId="9" fillId="11" borderId="7" xfId="0" applyNumberFormat="1" applyFont="1" applyFill="1" applyBorder="1" applyAlignment="1">
      <alignment horizontal="right"/>
    </xf>
    <xf numFmtId="165" fontId="3" fillId="5" borderId="8" xfId="0" applyNumberFormat="1" applyFont="1" applyFill="1" applyBorder="1" applyAlignment="1">
      <alignment horizontal="right"/>
    </xf>
    <xf numFmtId="165" fontId="3" fillId="13" borderId="9" xfId="0" applyNumberFormat="1" applyFont="1" applyFill="1" applyBorder="1" applyAlignment="1">
      <alignment horizontal="right"/>
    </xf>
    <xf numFmtId="0" fontId="33" fillId="0" borderId="14" xfId="0" applyFont="1" applyBorder="1" applyAlignment="1">
      <alignment horizontal="center"/>
    </xf>
    <xf numFmtId="0" fontId="33" fillId="0" borderId="24" xfId="0" quotePrefix="1" applyFont="1" applyBorder="1" applyAlignment="1">
      <alignment horizontal="center" vertical="center" wrapText="1"/>
    </xf>
    <xf numFmtId="0" fontId="33" fillId="0" borderId="5" xfId="0" quotePrefix="1" applyFont="1" applyBorder="1" applyAlignment="1">
      <alignment horizontal="center" vertical="center" wrapText="1"/>
    </xf>
    <xf numFmtId="0" fontId="38" fillId="0" borderId="0" xfId="0" applyFont="1" applyAlignment="1">
      <alignment horizontal="center"/>
    </xf>
    <xf numFmtId="0" fontId="34" fillId="0" borderId="0" xfId="0" applyFont="1"/>
    <xf numFmtId="0" fontId="34" fillId="0" borderId="26" xfId="0" applyFont="1" applyBorder="1"/>
    <xf numFmtId="165" fontId="34" fillId="0" borderId="30" xfId="0" applyNumberFormat="1" applyFont="1" applyBorder="1"/>
    <xf numFmtId="165" fontId="34" fillId="0" borderId="0" xfId="0" applyNumberFormat="1" applyFont="1"/>
    <xf numFmtId="165" fontId="34" fillId="0" borderId="0" xfId="0" applyNumberFormat="1" applyFont="1" applyAlignment="1">
      <alignment horizontal="right"/>
    </xf>
    <xf numFmtId="165" fontId="34" fillId="0" borderId="26" xfId="0" applyNumberFormat="1" applyFont="1" applyBorder="1"/>
    <xf numFmtId="0" fontId="38" fillId="0" borderId="30" xfId="0" applyFont="1" applyBorder="1" applyAlignment="1">
      <alignment horizontal="center"/>
    </xf>
    <xf numFmtId="0" fontId="38" fillId="0" borderId="0" xfId="0" applyFont="1"/>
    <xf numFmtId="0" fontId="9" fillId="0" borderId="0" xfId="0" applyFont="1" applyAlignment="1">
      <alignment vertical="top"/>
    </xf>
    <xf numFmtId="165" fontId="34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30" xfId="0" applyFont="1" applyBorder="1"/>
    <xf numFmtId="0" fontId="9" fillId="0" borderId="26" xfId="0" applyFont="1" applyBorder="1"/>
    <xf numFmtId="3" fontId="34" fillId="0" borderId="0" xfId="0" applyNumberFormat="1" applyFont="1"/>
    <xf numFmtId="165" fontId="3" fillId="0" borderId="0" xfId="0" applyNumberFormat="1" applyFont="1" applyAlignment="1">
      <alignment horizontal="center"/>
    </xf>
    <xf numFmtId="0" fontId="17" fillId="0" borderId="0" xfId="0" applyFont="1"/>
    <xf numFmtId="20" fontId="3" fillId="0" borderId="9" xfId="0" applyNumberFormat="1" applyFont="1" applyBorder="1"/>
    <xf numFmtId="9" fontId="3" fillId="0" borderId="0" xfId="0" applyNumberFormat="1" applyFont="1"/>
    <xf numFmtId="0" fontId="34" fillId="0" borderId="3" xfId="0" applyFont="1" applyBorder="1" applyAlignment="1">
      <alignment textRotation="90"/>
    </xf>
    <xf numFmtId="0" fontId="34" fillId="0" borderId="0" xfId="0" applyFont="1" applyAlignment="1">
      <alignment textRotation="90"/>
    </xf>
    <xf numFmtId="0" fontId="34" fillId="0" borderId="8" xfId="0" applyFont="1" applyBorder="1" applyAlignment="1">
      <alignment textRotation="90"/>
    </xf>
    <xf numFmtId="165" fontId="34" fillId="0" borderId="0" xfId="0" applyNumberFormat="1" applyFont="1" applyAlignment="1">
      <alignment horizontal="left"/>
    </xf>
    <xf numFmtId="0" fontId="21" fillId="0" borderId="30" xfId="0" applyFont="1" applyBorder="1" applyAlignment="1">
      <alignment horizontal="center"/>
    </xf>
    <xf numFmtId="0" fontId="21" fillId="0" borderId="26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38" fillId="10" borderId="11" xfId="0" applyFont="1" applyFill="1" applyBorder="1" applyAlignment="1">
      <alignment horizontal="center"/>
    </xf>
    <xf numFmtId="3" fontId="22" fillId="0" borderId="33" xfId="0" applyNumberFormat="1" applyFont="1" applyBorder="1"/>
    <xf numFmtId="0" fontId="52" fillId="0" borderId="0" xfId="0" applyFont="1" applyAlignment="1">
      <alignment horizontal="right"/>
    </xf>
    <xf numFmtId="3" fontId="17" fillId="0" borderId="1" xfId="0" applyNumberFormat="1" applyFont="1" applyBorder="1" applyAlignment="1">
      <alignment horizontal="center"/>
    </xf>
    <xf numFmtId="168" fontId="34" fillId="14" borderId="1" xfId="0" applyNumberFormat="1" applyFont="1" applyFill="1" applyBorder="1" applyAlignment="1">
      <alignment horizontal="center"/>
    </xf>
    <xf numFmtId="3" fontId="20" fillId="7" borderId="17" xfId="0" applyNumberFormat="1" applyFont="1" applyFill="1" applyBorder="1"/>
    <xf numFmtId="3" fontId="20" fillId="7" borderId="27" xfId="0" applyNumberFormat="1" applyFont="1" applyFill="1" applyBorder="1"/>
    <xf numFmtId="4" fontId="50" fillId="0" borderId="3" xfId="0" applyNumberFormat="1" applyFont="1" applyBorder="1" applyAlignment="1">
      <alignment horizontal="center"/>
    </xf>
    <xf numFmtId="2" fontId="27" fillId="0" borderId="0" xfId="0" applyNumberFormat="1" applyFont="1" applyAlignment="1">
      <alignment horizontal="center"/>
    </xf>
    <xf numFmtId="3" fontId="9" fillId="0" borderId="14" xfId="0" applyNumberFormat="1" applyFont="1" applyBorder="1"/>
    <xf numFmtId="4" fontId="29" fillId="12" borderId="1" xfId="0" applyNumberFormat="1" applyFont="1" applyFill="1" applyBorder="1" applyAlignment="1">
      <alignment horizontal="center"/>
    </xf>
    <xf numFmtId="3" fontId="3" fillId="0" borderId="11" xfId="0" applyNumberFormat="1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36" xfId="0" applyFont="1" applyBorder="1"/>
    <xf numFmtId="0" fontId="3" fillId="0" borderId="37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3" fontId="9" fillId="12" borderId="19" xfId="0" applyNumberFormat="1" applyFont="1" applyFill="1" applyBorder="1" applyAlignment="1">
      <alignment horizontal="center"/>
    </xf>
    <xf numFmtId="3" fontId="9" fillId="12" borderId="29" xfId="0" applyNumberFormat="1" applyFont="1" applyFill="1" applyBorder="1" applyAlignment="1">
      <alignment horizontal="center"/>
    </xf>
    <xf numFmtId="4" fontId="50" fillId="0" borderId="39" xfId="0" applyNumberFormat="1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9" fontId="3" fillId="22" borderId="1" xfId="1" applyFont="1" applyFill="1" applyBorder="1" applyAlignment="1">
      <alignment horizontal="center"/>
    </xf>
    <xf numFmtId="166" fontId="17" fillId="0" borderId="0" xfId="1" applyNumberFormat="1" applyFont="1"/>
    <xf numFmtId="3" fontId="9" fillId="0" borderId="13" xfId="0" applyNumberFormat="1" applyFont="1" applyBorder="1"/>
    <xf numFmtId="3" fontId="9" fillId="0" borderId="4" xfId="0" applyNumberFormat="1" applyFont="1" applyBorder="1"/>
    <xf numFmtId="3" fontId="3" fillId="0" borderId="24" xfId="0" applyNumberFormat="1" applyFont="1" applyBorder="1" applyAlignment="1">
      <alignment horizontal="center"/>
    </xf>
    <xf numFmtId="3" fontId="20" fillId="25" borderId="0" xfId="0" applyNumberFormat="1" applyFont="1" applyFill="1" applyAlignment="1">
      <alignment horizontal="center"/>
    </xf>
    <xf numFmtId="3" fontId="58" fillId="14" borderId="0" xfId="0" applyNumberFormat="1" applyFont="1" applyFill="1"/>
    <xf numFmtId="3" fontId="60" fillId="14" borderId="0" xfId="0" applyNumberFormat="1" applyFont="1" applyFill="1"/>
    <xf numFmtId="3" fontId="53" fillId="0" borderId="0" xfId="0" applyNumberFormat="1" applyFont="1" applyAlignment="1">
      <alignment horizontal="center"/>
    </xf>
    <xf numFmtId="3" fontId="5" fillId="26" borderId="0" xfId="0" applyNumberFormat="1" applyFont="1" applyFill="1" applyAlignment="1">
      <alignment horizontal="center"/>
    </xf>
    <xf numFmtId="0" fontId="61" fillId="0" borderId="4" xfId="0" applyFont="1" applyBorder="1" applyAlignment="1">
      <alignment horizontal="right"/>
    </xf>
    <xf numFmtId="167" fontId="34" fillId="14" borderId="1" xfId="0" applyNumberFormat="1" applyFont="1" applyFill="1" applyBorder="1" applyAlignment="1">
      <alignment horizontal="center"/>
    </xf>
    <xf numFmtId="0" fontId="61" fillId="0" borderId="0" xfId="0" applyFont="1" applyAlignment="1">
      <alignment horizontal="right"/>
    </xf>
    <xf numFmtId="0" fontId="61" fillId="0" borderId="0" xfId="0" applyFont="1" applyAlignment="1">
      <alignment horizontal="center"/>
    </xf>
    <xf numFmtId="2" fontId="34" fillId="15" borderId="1" xfId="0" applyNumberFormat="1" applyFont="1" applyFill="1" applyBorder="1" applyAlignment="1">
      <alignment horizontal="center"/>
    </xf>
    <xf numFmtId="165" fontId="34" fillId="15" borderId="1" xfId="0" applyNumberFormat="1" applyFont="1" applyFill="1" applyBorder="1" applyAlignment="1">
      <alignment horizontal="center"/>
    </xf>
    <xf numFmtId="165" fontId="34" fillId="14" borderId="1" xfId="0" applyNumberFormat="1" applyFont="1" applyFill="1" applyBorder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165" fontId="9" fillId="0" borderId="2" xfId="0" applyNumberFormat="1" applyFont="1" applyBorder="1"/>
    <xf numFmtId="165" fontId="9" fillId="0" borderId="5" xfId="0" applyNumberFormat="1" applyFont="1" applyBorder="1" applyAlignment="1">
      <alignment horizontal="center"/>
    </xf>
    <xf numFmtId="165" fontId="9" fillId="0" borderId="7" xfId="0" applyNumberFormat="1" applyFont="1" applyBorder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center"/>
    </xf>
    <xf numFmtId="0" fontId="63" fillId="0" borderId="0" xfId="0" applyFont="1"/>
    <xf numFmtId="0" fontId="64" fillId="0" borderId="0" xfId="0" applyFont="1"/>
    <xf numFmtId="0" fontId="31" fillId="0" borderId="0" xfId="0" applyFont="1" applyAlignment="1">
      <alignment horizontal="center"/>
    </xf>
    <xf numFmtId="3" fontId="17" fillId="0" borderId="24" xfId="0" applyNumberFormat="1" applyFont="1" applyBorder="1" applyAlignment="1">
      <alignment horizontal="center"/>
    </xf>
    <xf numFmtId="0" fontId="62" fillId="0" borderId="0" xfId="0" quotePrefix="1" applyFont="1" applyAlignment="1">
      <alignment horizontal="center"/>
    </xf>
    <xf numFmtId="3" fontId="25" fillId="5" borderId="1" xfId="0" applyNumberFormat="1" applyFont="1" applyFill="1" applyBorder="1" applyAlignment="1">
      <alignment horizontal="center"/>
    </xf>
    <xf numFmtId="3" fontId="25" fillId="3" borderId="1" xfId="0" applyNumberFormat="1" applyFont="1" applyFill="1" applyBorder="1" applyAlignment="1">
      <alignment horizontal="center"/>
    </xf>
    <xf numFmtId="3" fontId="3" fillId="0" borderId="24" xfId="0" applyNumberFormat="1" applyFont="1" applyBorder="1"/>
    <xf numFmtId="0" fontId="60" fillId="14" borderId="0" xfId="0" applyFont="1" applyFill="1" applyAlignment="1">
      <alignment horizontal="center"/>
    </xf>
    <xf numFmtId="0" fontId="67" fillId="0" borderId="0" xfId="0" applyFont="1" applyAlignment="1">
      <alignment horizontal="center"/>
    </xf>
    <xf numFmtId="3" fontId="20" fillId="25" borderId="24" xfId="0" applyNumberFormat="1" applyFont="1" applyFill="1" applyBorder="1" applyAlignment="1">
      <alignment horizontal="center"/>
    </xf>
    <xf numFmtId="4" fontId="36" fillId="0" borderId="24" xfId="0" applyNumberFormat="1" applyFont="1" applyBorder="1" applyAlignment="1">
      <alignment horizontal="center"/>
    </xf>
    <xf numFmtId="4" fontId="36" fillId="0" borderId="0" xfId="0" applyNumberFormat="1" applyFont="1" applyAlignment="1">
      <alignment horizontal="center"/>
    </xf>
    <xf numFmtId="0" fontId="58" fillId="14" borderId="24" xfId="0" applyFont="1" applyFill="1" applyBorder="1" applyAlignment="1">
      <alignment horizontal="center"/>
    </xf>
    <xf numFmtId="0" fontId="58" fillId="14" borderId="0" xfId="0" applyFont="1" applyFill="1" applyAlignment="1">
      <alignment horizontal="center"/>
    </xf>
    <xf numFmtId="3" fontId="3" fillId="0" borderId="8" xfId="0" applyNumberFormat="1" applyFont="1" applyBorder="1"/>
    <xf numFmtId="0" fontId="68" fillId="0" borderId="30" xfId="0" applyFont="1" applyBorder="1" applyAlignment="1">
      <alignment horizontal="left"/>
    </xf>
    <xf numFmtId="0" fontId="70" fillId="0" borderId="30" xfId="0" applyFont="1" applyBorder="1" applyAlignment="1">
      <alignment horizontal="right"/>
    </xf>
    <xf numFmtId="4" fontId="70" fillId="0" borderId="30" xfId="0" applyNumberFormat="1" applyFont="1" applyBorder="1" applyAlignment="1">
      <alignment horizontal="right"/>
    </xf>
    <xf numFmtId="3" fontId="3" fillId="0" borderId="10" xfId="0" applyNumberFormat="1" applyFont="1" applyBorder="1" applyAlignment="1">
      <alignment horizontal="center"/>
    </xf>
    <xf numFmtId="3" fontId="9" fillId="0" borderId="24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5" fillId="23" borderId="24" xfId="0" applyNumberFormat="1" applyFont="1" applyFill="1" applyBorder="1"/>
    <xf numFmtId="0" fontId="22" fillId="23" borderId="24" xfId="0" applyFont="1" applyFill="1" applyBorder="1" applyAlignment="1">
      <alignment horizontal="left"/>
    </xf>
    <xf numFmtId="3" fontId="53" fillId="23" borderId="24" xfId="0" applyNumberFormat="1" applyFont="1" applyFill="1" applyBorder="1" applyAlignment="1">
      <alignment horizontal="center"/>
    </xf>
    <xf numFmtId="3" fontId="17" fillId="23" borderId="24" xfId="0" applyNumberFormat="1" applyFont="1" applyFill="1" applyBorder="1" applyAlignment="1">
      <alignment horizontal="center"/>
    </xf>
    <xf numFmtId="0" fontId="20" fillId="23" borderId="24" xfId="0" applyFont="1" applyFill="1" applyBorder="1" applyAlignment="1">
      <alignment horizontal="left"/>
    </xf>
    <xf numFmtId="3" fontId="20" fillId="23" borderId="24" xfId="0" applyNumberFormat="1" applyFont="1" applyFill="1" applyBorder="1" applyAlignment="1">
      <alignment horizontal="center"/>
    </xf>
    <xf numFmtId="3" fontId="3" fillId="23" borderId="24" xfId="0" applyNumberFormat="1" applyFont="1" applyFill="1" applyBorder="1"/>
    <xf numFmtId="3" fontId="58" fillId="23" borderId="24" xfId="0" applyNumberFormat="1" applyFont="1" applyFill="1" applyBorder="1"/>
    <xf numFmtId="0" fontId="62" fillId="23" borderId="24" xfId="0" quotePrefix="1" applyFont="1" applyFill="1" applyBorder="1" applyAlignment="1">
      <alignment horizontal="center"/>
    </xf>
    <xf numFmtId="3" fontId="9" fillId="0" borderId="6" xfId="0" applyNumberFormat="1" applyFont="1" applyBorder="1" applyAlignment="1">
      <alignment horizontal="center"/>
    </xf>
    <xf numFmtId="3" fontId="22" fillId="12" borderId="0" xfId="0" applyNumberFormat="1" applyFont="1" applyFill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3" fillId="0" borderId="6" xfId="0" applyNumberFormat="1" applyFont="1" applyBorder="1"/>
    <xf numFmtId="0" fontId="10" fillId="0" borderId="0" xfId="0" applyFont="1"/>
    <xf numFmtId="3" fontId="33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/>
    </xf>
    <xf numFmtId="3" fontId="17" fillId="0" borderId="8" xfId="0" applyNumberFormat="1" applyFont="1" applyBorder="1" applyAlignment="1">
      <alignment horizontal="center"/>
    </xf>
    <xf numFmtId="0" fontId="3" fillId="0" borderId="2" xfId="0" applyFont="1" applyBorder="1"/>
    <xf numFmtId="0" fontId="3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9" fillId="0" borderId="0" xfId="0" applyFont="1"/>
    <xf numFmtId="0" fontId="52" fillId="0" borderId="0" xfId="0" applyFont="1" applyAlignment="1">
      <alignment horizontal="center"/>
    </xf>
    <xf numFmtId="2" fontId="34" fillId="6" borderId="1" xfId="0" applyNumberFormat="1" applyFont="1" applyFill="1" applyBorder="1" applyAlignment="1">
      <alignment horizontal="center"/>
    </xf>
    <xf numFmtId="0" fontId="52" fillId="0" borderId="8" xfId="0" applyFont="1" applyBorder="1" applyAlignment="1">
      <alignment horizontal="right"/>
    </xf>
    <xf numFmtId="0" fontId="12" fillId="0" borderId="0" xfId="0" applyFont="1"/>
    <xf numFmtId="0" fontId="21" fillId="0" borderId="8" xfId="0" quotePrefix="1" applyFont="1" applyBorder="1" applyAlignment="1">
      <alignment horizontal="right" vertical="center"/>
    </xf>
    <xf numFmtId="2" fontId="9" fillId="0" borderId="1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" fillId="5" borderId="18" xfId="0" applyFont="1" applyFill="1" applyBorder="1" applyAlignment="1">
      <alignment horizontal="center"/>
    </xf>
    <xf numFmtId="0" fontId="3" fillId="5" borderId="27" xfId="0" applyFont="1" applyFill="1" applyBorder="1" applyAlignment="1">
      <alignment horizontal="center"/>
    </xf>
    <xf numFmtId="0" fontId="38" fillId="0" borderId="25" xfId="0" quotePrefix="1" applyFont="1" applyBorder="1"/>
    <xf numFmtId="3" fontId="5" fillId="0" borderId="37" xfId="0" applyNumberFormat="1" applyFont="1" applyBorder="1"/>
    <xf numFmtId="0" fontId="18" fillId="0" borderId="8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3" fontId="3" fillId="0" borderId="7" xfId="0" applyNumberFormat="1" applyFont="1" applyBorder="1" applyAlignment="1">
      <alignment horizontal="center"/>
    </xf>
    <xf numFmtId="3" fontId="5" fillId="0" borderId="0" xfId="0" applyNumberFormat="1" applyFont="1"/>
    <xf numFmtId="3" fontId="22" fillId="0" borderId="0" xfId="0" applyNumberFormat="1" applyFont="1" applyAlignment="1">
      <alignment horizontal="center"/>
    </xf>
    <xf numFmtId="0" fontId="38" fillId="0" borderId="20" xfId="0" quotePrefix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7" fillId="0" borderId="8" xfId="0" quotePrefix="1" applyFont="1" applyBorder="1" applyAlignment="1">
      <alignment vertical="center"/>
    </xf>
    <xf numFmtId="0" fontId="37" fillId="0" borderId="0" xfId="0" quotePrefix="1" applyFont="1" applyAlignment="1">
      <alignment vertical="center"/>
    </xf>
    <xf numFmtId="0" fontId="11" fillId="0" borderId="2" xfId="0" applyFont="1" applyBorder="1"/>
    <xf numFmtId="0" fontId="21" fillId="0" borderId="8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38" fillId="22" borderId="7" xfId="0" applyFont="1" applyFill="1" applyBorder="1" applyAlignment="1">
      <alignment horizontal="center"/>
    </xf>
    <xf numFmtId="0" fontId="3" fillId="0" borderId="51" xfId="0" applyFont="1" applyBorder="1"/>
    <xf numFmtId="0" fontId="3" fillId="0" borderId="52" xfId="0" applyFont="1" applyBorder="1"/>
    <xf numFmtId="0" fontId="3" fillId="0" borderId="53" xfId="0" applyFont="1" applyBorder="1"/>
    <xf numFmtId="0" fontId="3" fillId="0" borderId="54" xfId="0" applyFont="1" applyBorder="1"/>
    <xf numFmtId="0" fontId="57" fillId="0" borderId="0" xfId="0" applyFont="1"/>
    <xf numFmtId="0" fontId="3" fillId="0" borderId="55" xfId="0" applyFont="1" applyBorder="1"/>
    <xf numFmtId="49" fontId="7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3" fillId="0" borderId="57" xfId="0" applyFont="1" applyBorder="1"/>
    <xf numFmtId="0" fontId="3" fillId="0" borderId="58" xfId="0" applyFont="1" applyBorder="1"/>
    <xf numFmtId="0" fontId="3" fillId="0" borderId="59" xfId="0" applyFont="1" applyBorder="1"/>
    <xf numFmtId="0" fontId="3" fillId="0" borderId="62" xfId="0" applyFont="1" applyBorder="1"/>
    <xf numFmtId="0" fontId="3" fillId="0" borderId="63" xfId="0" applyFont="1" applyBorder="1"/>
    <xf numFmtId="0" fontId="11" fillId="0" borderId="55" xfId="0" applyFont="1" applyBorder="1" applyAlignment="1">
      <alignment horizontal="center"/>
    </xf>
    <xf numFmtId="14" fontId="3" fillId="0" borderId="55" xfId="0" applyNumberFormat="1" applyFont="1" applyBorder="1" applyAlignment="1">
      <alignment horizontal="center"/>
    </xf>
    <xf numFmtId="0" fontId="3" fillId="0" borderId="61" xfId="0" applyFont="1" applyBorder="1"/>
    <xf numFmtId="0" fontId="39" fillId="0" borderId="62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7" xfId="0" applyFont="1" applyBorder="1" applyAlignment="1">
      <alignment horizontal="center"/>
    </xf>
    <xf numFmtId="0" fontId="1" fillId="0" borderId="0" xfId="0" applyFont="1"/>
    <xf numFmtId="0" fontId="1" fillId="0" borderId="6" xfId="0" applyFont="1" applyBorder="1"/>
    <xf numFmtId="0" fontId="11" fillId="0" borderId="2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54" xfId="0" applyFont="1" applyBorder="1"/>
    <xf numFmtId="0" fontId="11" fillId="0" borderId="56" xfId="0" applyFont="1" applyBorder="1"/>
    <xf numFmtId="0" fontId="5" fillId="0" borderId="56" xfId="0" applyFont="1" applyBorder="1"/>
    <xf numFmtId="49" fontId="29" fillId="0" borderId="0" xfId="0" applyNumberFormat="1" applyFont="1" applyAlignment="1">
      <alignment horizontal="center"/>
    </xf>
    <xf numFmtId="0" fontId="5" fillId="0" borderId="8" xfId="0" applyFont="1" applyBorder="1" applyAlignment="1">
      <alignment vertical="center"/>
    </xf>
    <xf numFmtId="0" fontId="5" fillId="0" borderId="54" xfId="0" applyFont="1" applyBorder="1" applyAlignment="1">
      <alignment vertical="center"/>
    </xf>
    <xf numFmtId="0" fontId="52" fillId="0" borderId="55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21" fillId="0" borderId="0" xfId="0" applyFont="1"/>
    <xf numFmtId="1" fontId="19" fillId="0" borderId="0" xfId="0" applyNumberFormat="1" applyFont="1" applyAlignment="1">
      <alignment horizontal="center"/>
    </xf>
    <xf numFmtId="165" fontId="54" fillId="0" borderId="0" xfId="0" applyNumberFormat="1" applyFont="1" applyAlignment="1">
      <alignment horizontal="center"/>
    </xf>
    <xf numFmtId="0" fontId="65" fillId="0" borderId="0" xfId="0" applyFont="1"/>
    <xf numFmtId="0" fontId="3" fillId="8" borderId="0" xfId="0" applyFont="1" applyFill="1"/>
    <xf numFmtId="3" fontId="19" fillId="0" borderId="0" xfId="0" applyNumberFormat="1" applyFont="1"/>
    <xf numFmtId="0" fontId="31" fillId="0" borderId="0" xfId="0" applyFont="1" applyAlignment="1">
      <alignment horizontal="right"/>
    </xf>
    <xf numFmtId="0" fontId="28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9" fillId="0" borderId="54" xfId="0" applyFont="1" applyBorder="1" applyAlignment="1">
      <alignment vertical="center" textRotation="90"/>
    </xf>
    <xf numFmtId="0" fontId="16" fillId="0" borderId="55" xfId="0" applyFont="1" applyBorder="1" applyAlignment="1">
      <alignment horizontal="right"/>
    </xf>
    <xf numFmtId="0" fontId="34" fillId="0" borderId="0" xfId="0" applyFont="1" applyAlignment="1">
      <alignment horizontal="center"/>
    </xf>
    <xf numFmtId="0" fontId="3" fillId="0" borderId="54" xfId="0" applyFont="1" applyBorder="1" applyAlignment="1">
      <alignment horizontal="center"/>
    </xf>
    <xf numFmtId="165" fontId="71" fillId="0" borderId="0" xfId="0" applyNumberFormat="1" applyFont="1" applyAlignment="1">
      <alignment horizontal="right"/>
    </xf>
    <xf numFmtId="165" fontId="3" fillId="0" borderId="55" xfId="0" applyNumberFormat="1" applyFont="1" applyBorder="1" applyAlignment="1">
      <alignment horizontal="center"/>
    </xf>
    <xf numFmtId="0" fontId="27" fillId="0" borderId="62" xfId="0" applyFont="1" applyBorder="1"/>
    <xf numFmtId="0" fontId="27" fillId="0" borderId="62" xfId="0" applyFont="1" applyBorder="1" applyAlignment="1">
      <alignment horizontal="center"/>
    </xf>
    <xf numFmtId="0" fontId="21" fillId="0" borderId="8" xfId="0" applyFont="1" applyBorder="1"/>
    <xf numFmtId="0" fontId="28" fillId="0" borderId="0" xfId="0" applyFont="1"/>
    <xf numFmtId="0" fontId="17" fillId="0" borderId="54" xfId="0" applyFont="1" applyBorder="1"/>
    <xf numFmtId="0" fontId="17" fillId="0" borderId="55" xfId="0" applyFont="1" applyBorder="1"/>
    <xf numFmtId="0" fontId="17" fillId="0" borderId="54" xfId="0" applyFont="1" applyBorder="1" applyAlignment="1">
      <alignment horizontal="center"/>
    </xf>
    <xf numFmtId="3" fontId="17" fillId="0" borderId="0" xfId="0" applyNumberFormat="1" applyFont="1"/>
    <xf numFmtId="0" fontId="42" fillId="0" borderId="55" xfId="0" applyFont="1" applyBorder="1"/>
    <xf numFmtId="0" fontId="33" fillId="0" borderId="0" xfId="0" applyFont="1" applyAlignment="1">
      <alignment horizontal="right"/>
    </xf>
    <xf numFmtId="0" fontId="3" fillId="0" borderId="55" xfId="0" applyFont="1" applyBorder="1" applyAlignment="1">
      <alignment horizontal="center"/>
    </xf>
    <xf numFmtId="0" fontId="14" fillId="0" borderId="0" xfId="0" applyFont="1"/>
    <xf numFmtId="0" fontId="78" fillId="0" borderId="52" xfId="0" applyFont="1" applyBorder="1" applyAlignment="1">
      <alignment horizontal="right"/>
    </xf>
    <xf numFmtId="0" fontId="1" fillId="0" borderId="52" xfId="0" applyFont="1" applyBorder="1" applyAlignment="1">
      <alignment horizontal="center"/>
    </xf>
    <xf numFmtId="0" fontId="14" fillId="0" borderId="8" xfId="0" applyFont="1" applyBorder="1"/>
    <xf numFmtId="0" fontId="3" fillId="24" borderId="11" xfId="0" applyFont="1" applyFill="1" applyBorder="1"/>
    <xf numFmtId="0" fontId="82" fillId="24" borderId="12" xfId="0" applyFont="1" applyFill="1" applyBorder="1" applyAlignment="1">
      <alignment horizontal="center" vertical="center"/>
    </xf>
    <xf numFmtId="0" fontId="3" fillId="24" borderId="13" xfId="0" applyFont="1" applyFill="1" applyBorder="1"/>
    <xf numFmtId="0" fontId="6" fillId="0" borderId="52" xfId="0" applyFont="1" applyBorder="1" applyAlignment="1">
      <alignment horizontal="right"/>
    </xf>
    <xf numFmtId="0" fontId="6" fillId="0" borderId="53" xfId="0" applyFont="1" applyBorder="1" applyAlignment="1">
      <alignment horizontal="right"/>
    </xf>
    <xf numFmtId="0" fontId="3" fillId="24" borderId="12" xfId="0" applyFont="1" applyFill="1" applyBorder="1"/>
    <xf numFmtId="0" fontId="1" fillId="0" borderId="9" xfId="0" applyFont="1" applyBorder="1" applyAlignment="1">
      <alignment horizontal="right"/>
    </xf>
    <xf numFmtId="0" fontId="14" fillId="0" borderId="52" xfId="0" applyFont="1" applyBorder="1" applyAlignment="1">
      <alignment vertical="center"/>
    </xf>
    <xf numFmtId="0" fontId="5" fillId="0" borderId="52" xfId="0" applyFont="1" applyBorder="1" applyAlignment="1">
      <alignment vertical="center"/>
    </xf>
    <xf numFmtId="0" fontId="21" fillId="0" borderId="55" xfId="0" quotePrefix="1" applyFont="1" applyBorder="1" applyAlignment="1">
      <alignment horizontal="center"/>
    </xf>
    <xf numFmtId="2" fontId="9" fillId="0" borderId="72" xfId="0" applyNumberFormat="1" applyFont="1" applyBorder="1" applyAlignment="1">
      <alignment horizontal="center" vertical="center"/>
    </xf>
    <xf numFmtId="0" fontId="5" fillId="0" borderId="82" xfId="0" applyFont="1" applyBorder="1" applyAlignment="1">
      <alignment horizontal="center"/>
    </xf>
    <xf numFmtId="0" fontId="18" fillId="0" borderId="58" xfId="0" applyFont="1" applyBorder="1" applyAlignment="1">
      <alignment horizontal="center"/>
    </xf>
    <xf numFmtId="0" fontId="5" fillId="0" borderId="83" xfId="0" applyFont="1" applyBorder="1" applyAlignment="1">
      <alignment horizontal="center"/>
    </xf>
    <xf numFmtId="3" fontId="5" fillId="0" borderId="74" xfId="0" applyNumberFormat="1" applyFont="1" applyBorder="1"/>
    <xf numFmtId="20" fontId="3" fillId="0" borderId="54" xfId="0" applyNumberFormat="1" applyFont="1" applyBorder="1"/>
    <xf numFmtId="3" fontId="5" fillId="0" borderId="72" xfId="0" applyNumberFormat="1" applyFont="1" applyBorder="1"/>
    <xf numFmtId="20" fontId="3" fillId="0" borderId="58" xfId="0" applyNumberFormat="1" applyFont="1" applyBorder="1"/>
    <xf numFmtId="3" fontId="5" fillId="0" borderId="84" xfId="0" applyNumberFormat="1" applyFont="1" applyBorder="1"/>
    <xf numFmtId="0" fontId="52" fillId="0" borderId="54" xfId="0" applyFont="1" applyBorder="1" applyAlignment="1">
      <alignment horizontal="right"/>
    </xf>
    <xf numFmtId="2" fontId="3" fillId="0" borderId="0" xfId="0" applyNumberFormat="1" applyFont="1"/>
    <xf numFmtId="3" fontId="26" fillId="0" borderId="0" xfId="0" applyNumberFormat="1" applyFont="1" applyAlignment="1">
      <alignment horizontal="right"/>
    </xf>
    <xf numFmtId="3" fontId="20" fillId="7" borderId="86" xfId="0" applyNumberFormat="1" applyFont="1" applyFill="1" applyBorder="1"/>
    <xf numFmtId="3" fontId="20" fillId="7" borderId="75" xfId="0" applyNumberFormat="1" applyFont="1" applyFill="1" applyBorder="1"/>
    <xf numFmtId="0" fontId="29" fillId="0" borderId="0" xfId="0" applyFont="1"/>
    <xf numFmtId="20" fontId="3" fillId="0" borderId="55" xfId="0" applyNumberFormat="1" applyFont="1" applyBorder="1"/>
    <xf numFmtId="0" fontId="5" fillId="0" borderId="0" xfId="0" applyFont="1"/>
    <xf numFmtId="0" fontId="29" fillId="0" borderId="0" xfId="0" applyFont="1" applyAlignment="1">
      <alignment horizontal="right"/>
    </xf>
    <xf numFmtId="0" fontId="0" fillId="24" borderId="13" xfId="0" applyFill="1" applyBorder="1"/>
    <xf numFmtId="0" fontId="0" fillId="24" borderId="12" xfId="0" applyFill="1" applyBorder="1"/>
    <xf numFmtId="0" fontId="81" fillId="24" borderId="80" xfId="0" applyFont="1" applyFill="1" applyBorder="1"/>
    <xf numFmtId="0" fontId="21" fillId="0" borderId="0" xfId="0" quotePrefix="1" applyFont="1" applyAlignment="1">
      <alignment horizontal="left"/>
    </xf>
    <xf numFmtId="0" fontId="56" fillId="5" borderId="80" xfId="0" applyFont="1" applyFill="1" applyBorder="1" applyAlignment="1">
      <alignment horizontal="center"/>
    </xf>
    <xf numFmtId="0" fontId="5" fillId="0" borderId="54" xfId="0" applyFont="1" applyBorder="1" applyAlignment="1">
      <alignment horizontal="center"/>
    </xf>
    <xf numFmtId="0" fontId="33" fillId="0" borderId="0" xfId="0" applyFont="1"/>
    <xf numFmtId="0" fontId="5" fillId="0" borderId="55" xfId="0" applyFont="1" applyBorder="1" applyAlignment="1">
      <alignment horizontal="center"/>
    </xf>
    <xf numFmtId="166" fontId="3" fillId="0" borderId="55" xfId="1" applyNumberFormat="1" applyFont="1" applyBorder="1" applyAlignment="1">
      <alignment horizontal="center"/>
    </xf>
    <xf numFmtId="0" fontId="5" fillId="0" borderId="54" xfId="0" applyFont="1" applyBorder="1"/>
    <xf numFmtId="0" fontId="17" fillId="0" borderId="80" xfId="0" applyFont="1" applyBorder="1"/>
    <xf numFmtId="0" fontId="3" fillId="24" borderId="12" xfId="0" applyFont="1" applyFill="1" applyBorder="1" applyAlignment="1">
      <alignment horizontal="center"/>
    </xf>
    <xf numFmtId="0" fontId="84" fillId="24" borderId="12" xfId="0" applyFont="1" applyFill="1" applyBorder="1"/>
    <xf numFmtId="0" fontId="84" fillId="24" borderId="13" xfId="0" applyFont="1" applyFill="1" applyBorder="1"/>
    <xf numFmtId="0" fontId="34" fillId="0" borderId="54" xfId="0" applyFont="1" applyBorder="1" applyAlignment="1">
      <alignment horizontal="center"/>
    </xf>
    <xf numFmtId="0" fontId="6" fillId="0" borderId="13" xfId="0" applyFont="1" applyBorder="1" applyAlignment="1">
      <alignment horizontal="right"/>
    </xf>
    <xf numFmtId="0" fontId="9" fillId="0" borderId="51" xfId="0" applyFont="1" applyBorder="1"/>
    <xf numFmtId="0" fontId="37" fillId="0" borderId="52" xfId="0" quotePrefix="1" applyFont="1" applyBorder="1" applyAlignment="1">
      <alignment vertical="center"/>
    </xf>
    <xf numFmtId="0" fontId="9" fillId="0" borderId="52" xfId="0" applyFont="1" applyBorder="1"/>
    <xf numFmtId="0" fontId="79" fillId="0" borderId="52" xfId="0" applyFont="1" applyBorder="1" applyAlignment="1">
      <alignment horizontal="center"/>
    </xf>
    <xf numFmtId="0" fontId="34" fillId="0" borderId="52" xfId="0" applyFont="1" applyBorder="1" applyAlignment="1">
      <alignment horizontal="right"/>
    </xf>
    <xf numFmtId="0" fontId="9" fillId="0" borderId="58" xfId="0" applyFont="1" applyBorder="1"/>
    <xf numFmtId="0" fontId="9" fillId="0" borderId="54" xfId="0" applyFont="1" applyBorder="1"/>
    <xf numFmtId="3" fontId="34" fillId="0" borderId="55" xfId="0" applyNumberFormat="1" applyFont="1" applyBorder="1"/>
    <xf numFmtId="0" fontId="34" fillId="0" borderId="0" xfId="0" applyFont="1" applyAlignment="1">
      <alignment horizontal="left" vertical="top"/>
    </xf>
    <xf numFmtId="0" fontId="40" fillId="0" borderId="55" xfId="0" applyFont="1" applyBorder="1" applyAlignment="1">
      <alignment horizontal="right"/>
    </xf>
    <xf numFmtId="0" fontId="21" fillId="0" borderId="59" xfId="0" applyFont="1" applyBorder="1" applyAlignment="1">
      <alignment horizontal="center"/>
    </xf>
    <xf numFmtId="165" fontId="34" fillId="0" borderId="0" xfId="0" applyNumberFormat="1" applyFont="1" applyAlignment="1">
      <alignment vertical="top"/>
    </xf>
    <xf numFmtId="0" fontId="34" fillId="0" borderId="0" xfId="0" applyFont="1" applyAlignment="1">
      <alignment vertical="top"/>
    </xf>
    <xf numFmtId="3" fontId="15" fillId="0" borderId="55" xfId="0" applyNumberFormat="1" applyFont="1" applyBorder="1" applyAlignment="1">
      <alignment horizontal="right" vertical="top"/>
    </xf>
    <xf numFmtId="0" fontId="34" fillId="0" borderId="55" xfId="0" applyFont="1" applyBorder="1"/>
    <xf numFmtId="165" fontId="9" fillId="0" borderId="54" xfId="0" applyNumberFormat="1" applyFont="1" applyBorder="1" applyAlignment="1">
      <alignment horizontal="center"/>
    </xf>
    <xf numFmtId="0" fontId="9" fillId="0" borderId="55" xfId="0" applyFont="1" applyBorder="1"/>
    <xf numFmtId="165" fontId="9" fillId="0" borderId="58" xfId="0" applyNumberFormat="1" applyFont="1" applyBorder="1" applyAlignment="1">
      <alignment horizontal="center"/>
    </xf>
    <xf numFmtId="165" fontId="22" fillId="0" borderId="80" xfId="0" applyNumberFormat="1" applyFont="1" applyBorder="1" applyAlignment="1">
      <alignment horizontal="center"/>
    </xf>
    <xf numFmtId="0" fontId="9" fillId="0" borderId="61" xfId="0" applyFont="1" applyBorder="1"/>
    <xf numFmtId="0" fontId="9" fillId="0" borderId="62" xfId="0" applyFont="1" applyBorder="1"/>
    <xf numFmtId="0" fontId="9" fillId="0" borderId="63" xfId="0" applyFont="1" applyBorder="1"/>
    <xf numFmtId="0" fontId="22" fillId="0" borderId="54" xfId="0" applyFont="1" applyBorder="1"/>
    <xf numFmtId="0" fontId="38" fillId="0" borderId="21" xfId="0" quotePrefix="1" applyFont="1" applyBorder="1" applyAlignment="1">
      <alignment horizontal="center"/>
    </xf>
    <xf numFmtId="3" fontId="25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39" fillId="0" borderId="95" xfId="0" applyFont="1" applyBorder="1" applyAlignment="1">
      <alignment horizontal="center"/>
    </xf>
    <xf numFmtId="0" fontId="1" fillId="0" borderId="96" xfId="0" applyFont="1" applyBorder="1" applyAlignment="1">
      <alignment horizontal="center"/>
    </xf>
    <xf numFmtId="3" fontId="34" fillId="14" borderId="1" xfId="0" applyNumberFormat="1" applyFont="1" applyFill="1" applyBorder="1" applyAlignment="1">
      <alignment horizontal="center"/>
    </xf>
    <xf numFmtId="0" fontId="34" fillId="0" borderId="6" xfId="0" applyFont="1" applyBorder="1" applyAlignment="1">
      <alignment horizontal="center"/>
    </xf>
    <xf numFmtId="0" fontId="1" fillId="0" borderId="58" xfId="0" applyFont="1" applyBorder="1"/>
    <xf numFmtId="0" fontId="5" fillId="0" borderId="2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97" xfId="0" applyFont="1" applyBorder="1" applyAlignment="1">
      <alignment horizontal="center"/>
    </xf>
    <xf numFmtId="0" fontId="3" fillId="0" borderId="1" xfId="0" applyFont="1" applyBorder="1"/>
    <xf numFmtId="3" fontId="3" fillId="0" borderId="1" xfId="0" applyNumberFormat="1" applyFont="1" applyBorder="1"/>
    <xf numFmtId="20" fontId="10" fillId="0" borderId="13" xfId="0" applyNumberFormat="1" applyFont="1" applyBorder="1" applyAlignment="1">
      <alignment horizontal="center"/>
    </xf>
    <xf numFmtId="20" fontId="25" fillId="22" borderId="1" xfId="0" applyNumberFormat="1" applyFont="1" applyFill="1" applyBorder="1" applyAlignment="1">
      <alignment horizontal="center"/>
    </xf>
    <xf numFmtId="0" fontId="3" fillId="0" borderId="24" xfId="0" applyFont="1" applyBorder="1"/>
    <xf numFmtId="1" fontId="34" fillId="6" borderId="1" xfId="0" applyNumberFormat="1" applyFont="1" applyFill="1" applyBorder="1" applyAlignment="1">
      <alignment horizontal="center"/>
    </xf>
    <xf numFmtId="0" fontId="82" fillId="24" borderId="12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3" fontId="17" fillId="23" borderId="10" xfId="0" applyNumberFormat="1" applyFont="1" applyFill="1" applyBorder="1" applyAlignment="1">
      <alignment horizontal="center"/>
    </xf>
    <xf numFmtId="0" fontId="0" fillId="24" borderId="3" xfId="0" applyFill="1" applyBorder="1"/>
    <xf numFmtId="0" fontId="0" fillId="24" borderId="4" xfId="0" applyFill="1" applyBorder="1"/>
    <xf numFmtId="9" fontId="9" fillId="22" borderId="1" xfId="1" applyFont="1" applyFill="1" applyBorder="1"/>
    <xf numFmtId="0" fontId="34" fillId="0" borderId="0" xfId="0" applyFont="1" applyAlignment="1">
      <alignment horizontal="left"/>
    </xf>
    <xf numFmtId="165" fontId="13" fillId="0" borderId="0" xfId="0" applyNumberFormat="1" applyFont="1" applyAlignment="1">
      <alignment horizontal="center"/>
    </xf>
    <xf numFmtId="0" fontId="85" fillId="22" borderId="20" xfId="0" quotePrefix="1" applyFont="1" applyFill="1" applyBorder="1" applyAlignment="1">
      <alignment horizontal="center"/>
    </xf>
    <xf numFmtId="165" fontId="9" fillId="25" borderId="12" xfId="0" applyNumberFormat="1" applyFont="1" applyFill="1" applyBorder="1"/>
    <xf numFmtId="165" fontId="33" fillId="25" borderId="12" xfId="0" applyNumberFormat="1" applyFont="1" applyFill="1" applyBorder="1" applyAlignment="1">
      <alignment horizontal="center"/>
    </xf>
    <xf numFmtId="165" fontId="80" fillId="25" borderId="13" xfId="0" applyNumberFormat="1" applyFont="1" applyFill="1" applyBorder="1" applyAlignment="1">
      <alignment horizontal="center"/>
    </xf>
    <xf numFmtId="165" fontId="21" fillId="6" borderId="0" xfId="0" applyNumberFormat="1" applyFont="1" applyFill="1" applyAlignment="1">
      <alignment horizontal="center"/>
    </xf>
    <xf numFmtId="165" fontId="34" fillId="0" borderId="54" xfId="0" applyNumberFormat="1" applyFont="1" applyBorder="1" applyAlignment="1">
      <alignment vertical="top"/>
    </xf>
    <xf numFmtId="165" fontId="39" fillId="0" borderId="56" xfId="0" applyNumberFormat="1" applyFont="1" applyBorder="1" applyAlignment="1">
      <alignment horizontal="center"/>
    </xf>
    <xf numFmtId="165" fontId="9" fillId="17" borderId="3" xfId="0" applyNumberFormat="1" applyFont="1" applyFill="1" applyBorder="1" applyAlignment="1">
      <alignment horizontal="right"/>
    </xf>
    <xf numFmtId="165" fontId="39" fillId="0" borderId="3" xfId="0" applyNumberFormat="1" applyFont="1" applyBorder="1" applyAlignment="1">
      <alignment horizontal="center"/>
    </xf>
    <xf numFmtId="165" fontId="41" fillId="0" borderId="4" xfId="0" applyNumberFormat="1" applyFont="1" applyBorder="1" applyAlignment="1">
      <alignment horizontal="center"/>
    </xf>
    <xf numFmtId="165" fontId="9" fillId="17" borderId="12" xfId="0" applyNumberFormat="1" applyFont="1" applyFill="1" applyBorder="1" applyAlignment="1">
      <alignment horizontal="center"/>
    </xf>
    <xf numFmtId="165" fontId="9" fillId="25" borderId="12" xfId="0" applyNumberFormat="1" applyFont="1" applyFill="1" applyBorder="1" applyAlignment="1">
      <alignment horizontal="left"/>
    </xf>
    <xf numFmtId="0" fontId="3" fillId="0" borderId="63" xfId="0" applyFont="1" applyBorder="1" applyAlignment="1">
      <alignment horizontal="center"/>
    </xf>
    <xf numFmtId="0" fontId="3" fillId="0" borderId="59" xfId="0" applyFont="1" applyBorder="1" applyAlignment="1">
      <alignment horizontal="center"/>
    </xf>
    <xf numFmtId="3" fontId="9" fillId="12" borderId="1" xfId="0" applyNumberFormat="1" applyFont="1" applyFill="1" applyBorder="1" applyAlignment="1">
      <alignment horizontal="center"/>
    </xf>
    <xf numFmtId="0" fontId="3" fillId="0" borderId="61" xfId="0" applyFont="1" applyBorder="1" applyAlignment="1">
      <alignment horizontal="center"/>
    </xf>
    <xf numFmtId="0" fontId="81" fillId="24" borderId="11" xfId="0" applyFont="1" applyFill="1" applyBorder="1"/>
    <xf numFmtId="167" fontId="34" fillId="14" borderId="14" xfId="0" applyNumberFormat="1" applyFont="1" applyFill="1" applyBorder="1" applyAlignment="1">
      <alignment horizontal="center"/>
    </xf>
    <xf numFmtId="0" fontId="3" fillId="0" borderId="62" xfId="0" applyFont="1" applyBorder="1" applyAlignment="1">
      <alignment horizontal="center"/>
    </xf>
    <xf numFmtId="0" fontId="3" fillId="0" borderId="81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81" fillId="0" borderId="3" xfId="0" applyFont="1" applyBorder="1"/>
    <xf numFmtId="0" fontId="0" fillId="0" borderId="3" xfId="0" applyBorder="1"/>
    <xf numFmtId="0" fontId="3" fillId="0" borderId="3" xfId="0" applyFont="1" applyBorder="1" applyAlignment="1">
      <alignment horizontal="center"/>
    </xf>
    <xf numFmtId="0" fontId="1" fillId="0" borderId="0" xfId="0" applyFont="1" applyAlignment="1">
      <alignment horizontal="right"/>
    </xf>
    <xf numFmtId="3" fontId="1" fillId="0" borderId="0" xfId="0" applyNumberFormat="1" applyFont="1"/>
    <xf numFmtId="2" fontId="89" fillId="0" borderId="62" xfId="0" applyNumberFormat="1" applyFont="1" applyBorder="1"/>
    <xf numFmtId="0" fontId="89" fillId="0" borderId="62" xfId="0" applyFont="1" applyBorder="1"/>
    <xf numFmtId="0" fontId="5" fillId="0" borderId="63" xfId="0" applyFont="1" applyBorder="1"/>
    <xf numFmtId="20" fontId="3" fillId="7" borderId="54" xfId="0" applyNumberFormat="1" applyFont="1" applyFill="1" applyBorder="1"/>
    <xf numFmtId="20" fontId="3" fillId="7" borderId="0" xfId="0" applyNumberFormat="1" applyFont="1" applyFill="1"/>
    <xf numFmtId="20" fontId="3" fillId="7" borderId="58" xfId="0" applyNumberFormat="1" applyFont="1" applyFill="1" applyBorder="1"/>
    <xf numFmtId="20" fontId="3" fillId="7" borderId="9" xfId="0" applyNumberFormat="1" applyFont="1" applyFill="1" applyBorder="1"/>
    <xf numFmtId="0" fontId="5" fillId="0" borderId="0" xfId="0" applyFont="1" applyAlignment="1">
      <alignment horizontal="center"/>
    </xf>
    <xf numFmtId="3" fontId="53" fillId="23" borderId="6" xfId="0" applyNumberFormat="1" applyFont="1" applyFill="1" applyBorder="1" applyAlignment="1">
      <alignment horizontal="center"/>
    </xf>
    <xf numFmtId="3" fontId="53" fillId="0" borderId="6" xfId="0" applyNumberFormat="1" applyFont="1" applyBorder="1" applyAlignment="1">
      <alignment horizontal="center"/>
    </xf>
    <xf numFmtId="3" fontId="69" fillId="25" borderId="1" xfId="0" applyNumberFormat="1" applyFont="1" applyFill="1" applyBorder="1" applyAlignment="1">
      <alignment horizontal="center"/>
    </xf>
    <xf numFmtId="4" fontId="69" fillId="25" borderId="1" xfId="0" applyNumberFormat="1" applyFont="1" applyFill="1" applyBorder="1" applyAlignment="1">
      <alignment horizontal="center"/>
    </xf>
    <xf numFmtId="3" fontId="70" fillId="0" borderId="1" xfId="0" applyNumberFormat="1" applyFont="1" applyBorder="1" applyAlignment="1">
      <alignment horizontal="center"/>
    </xf>
    <xf numFmtId="0" fontId="22" fillId="12" borderId="0" xfId="0" applyFont="1" applyFill="1" applyAlignment="1">
      <alignment horizontal="center"/>
    </xf>
    <xf numFmtId="3" fontId="3" fillId="0" borderId="9" xfId="0" applyNumberFormat="1" applyFont="1" applyBorder="1"/>
    <xf numFmtId="3" fontId="3" fillId="23" borderId="10" xfId="0" applyNumberFormat="1" applyFont="1" applyFill="1" applyBorder="1"/>
    <xf numFmtId="3" fontId="3" fillId="0" borderId="10" xfId="0" applyNumberFormat="1" applyFont="1" applyBorder="1"/>
    <xf numFmtId="3" fontId="3" fillId="0" borderId="8" xfId="0" applyNumberFormat="1" applyFont="1" applyBorder="1" applyAlignment="1">
      <alignment horizontal="center"/>
    </xf>
    <xf numFmtId="3" fontId="9" fillId="0" borderId="5" xfId="0" applyNumberFormat="1" applyFont="1" applyBorder="1" applyAlignment="1">
      <alignment horizontal="center"/>
    </xf>
    <xf numFmtId="3" fontId="9" fillId="0" borderId="7" xfId="0" applyNumberFormat="1" applyFont="1" applyBorder="1" applyAlignment="1">
      <alignment horizontal="center"/>
    </xf>
    <xf numFmtId="0" fontId="9" fillId="0" borderId="102" xfId="0" applyFont="1" applyBorder="1"/>
    <xf numFmtId="0" fontId="52" fillId="0" borderId="103" xfId="0" applyFont="1" applyBorder="1" applyAlignment="1">
      <alignment horizontal="center"/>
    </xf>
    <xf numFmtId="0" fontId="52" fillId="0" borderId="104" xfId="0" applyFont="1" applyBorder="1" applyAlignment="1">
      <alignment horizontal="center"/>
    </xf>
    <xf numFmtId="3" fontId="17" fillId="0" borderId="105" xfId="0" applyNumberFormat="1" applyFont="1" applyBorder="1" applyAlignment="1">
      <alignment horizontal="center"/>
    </xf>
    <xf numFmtId="2" fontId="39" fillId="0" borderId="106" xfId="0" applyNumberFormat="1" applyFont="1" applyBorder="1" applyAlignment="1">
      <alignment horizontal="center"/>
    </xf>
    <xf numFmtId="1" fontId="39" fillId="0" borderId="106" xfId="0" applyNumberFormat="1" applyFont="1" applyBorder="1" applyAlignment="1">
      <alignment horizontal="center"/>
    </xf>
    <xf numFmtId="165" fontId="39" fillId="0" borderId="106" xfId="0" applyNumberFormat="1" applyFont="1" applyBorder="1" applyAlignment="1">
      <alignment horizontal="center"/>
    </xf>
    <xf numFmtId="165" fontId="39" fillId="0" borderId="107" xfId="1" applyNumberFormat="1" applyFont="1" applyFill="1" applyBorder="1" applyAlignment="1">
      <alignment horizontal="center"/>
    </xf>
    <xf numFmtId="0" fontId="90" fillId="0" borderId="52" xfId="0" applyFont="1" applyBorder="1" applyAlignment="1">
      <alignment horizontal="right"/>
    </xf>
    <xf numFmtId="0" fontId="90" fillId="0" borderId="52" xfId="0" applyFont="1" applyBorder="1"/>
    <xf numFmtId="49" fontId="91" fillId="0" borderId="0" xfId="0" applyNumberFormat="1" applyFont="1" applyAlignment="1">
      <alignment horizontal="center"/>
    </xf>
    <xf numFmtId="3" fontId="0" fillId="0" borderId="54" xfId="0" applyNumberFormat="1" applyBorder="1" applyAlignment="1">
      <alignment horizontal="center" vertical="center"/>
    </xf>
    <xf numFmtId="165" fontId="85" fillId="10" borderId="11" xfId="0" applyNumberFormat="1" applyFont="1" applyFill="1" applyBorder="1" applyAlignment="1">
      <alignment horizontal="center" vertical="center"/>
    </xf>
    <xf numFmtId="0" fontId="86" fillId="0" borderId="30" xfId="0" applyFont="1" applyBorder="1" applyAlignment="1">
      <alignment vertical="center"/>
    </xf>
    <xf numFmtId="165" fontId="0" fillId="0" borderId="0" xfId="0" applyNumberFormat="1" applyAlignment="1">
      <alignment horizontal="center" vertical="center"/>
    </xf>
    <xf numFmtId="0" fontId="86" fillId="0" borderId="0" xfId="0" applyFont="1" applyAlignment="1">
      <alignment vertical="center"/>
    </xf>
    <xf numFmtId="165" fontId="0" fillId="0" borderId="26" xfId="0" applyNumberFormat="1" applyBorder="1" applyAlignment="1">
      <alignment horizontal="center" vertical="center"/>
    </xf>
    <xf numFmtId="1" fontId="92" fillId="0" borderId="18" xfId="0" applyNumberFormat="1" applyFont="1" applyBorder="1" applyAlignment="1">
      <alignment horizontal="center" vertical="center"/>
    </xf>
    <xf numFmtId="165" fontId="0" fillId="12" borderId="1" xfId="0" applyNumberFormat="1" applyFill="1" applyBorder="1" applyAlignment="1">
      <alignment horizontal="center" vertical="center"/>
    </xf>
    <xf numFmtId="167" fontId="86" fillId="29" borderId="1" xfId="0" applyNumberFormat="1" applyFont="1" applyFill="1" applyBorder="1" applyAlignment="1">
      <alignment horizontal="center" vertical="center"/>
    </xf>
    <xf numFmtId="165" fontId="0" fillId="5" borderId="1" xfId="0" applyNumberFormat="1" applyFill="1" applyBorder="1" applyAlignment="1">
      <alignment horizontal="center" vertical="center"/>
    </xf>
    <xf numFmtId="165" fontId="0" fillId="30" borderId="19" xfId="0" applyNumberFormat="1" applyFill="1" applyBorder="1" applyAlignment="1">
      <alignment horizontal="center" vertical="center"/>
    </xf>
    <xf numFmtId="167" fontId="86" fillId="4" borderId="10" xfId="0" applyNumberFormat="1" applyFont="1" applyFill="1" applyBorder="1" applyAlignment="1">
      <alignment horizontal="center" vertical="center"/>
    </xf>
    <xf numFmtId="167" fontId="86" fillId="2" borderId="10" xfId="0" applyNumberFormat="1" applyFont="1" applyFill="1" applyBorder="1" applyAlignment="1">
      <alignment horizontal="center" vertical="center"/>
    </xf>
    <xf numFmtId="167" fontId="86" fillId="4" borderId="1" xfId="0" applyNumberFormat="1" applyFont="1" applyFill="1" applyBorder="1" applyAlignment="1">
      <alignment horizontal="center" vertical="center"/>
    </xf>
    <xf numFmtId="167" fontId="86" fillId="2" borderId="72" xfId="0" applyNumberFormat="1" applyFont="1" applyFill="1" applyBorder="1" applyAlignment="1">
      <alignment horizontal="center" vertical="center"/>
    </xf>
    <xf numFmtId="167" fontId="86" fillId="2" borderId="1" xfId="0" applyNumberFormat="1" applyFont="1" applyFill="1" applyBorder="1" applyAlignment="1">
      <alignment horizontal="center" vertical="center"/>
    </xf>
    <xf numFmtId="0" fontId="86" fillId="0" borderId="101" xfId="0" applyFont="1" applyBorder="1" applyAlignment="1">
      <alignment vertical="center"/>
    </xf>
    <xf numFmtId="165" fontId="0" fillId="0" borderId="32" xfId="0" applyNumberFormat="1" applyBorder="1" applyAlignment="1">
      <alignment horizontal="center" vertical="center"/>
    </xf>
    <xf numFmtId="0" fontId="86" fillId="0" borderId="32" xfId="0" applyFont="1" applyBorder="1" applyAlignment="1">
      <alignment vertical="center"/>
    </xf>
    <xf numFmtId="165" fontId="0" fillId="0" borderId="22" xfId="0" applyNumberFormat="1" applyBorder="1" applyAlignment="1">
      <alignment horizontal="center" vertical="center"/>
    </xf>
    <xf numFmtId="1" fontId="92" fillId="0" borderId="27" xfId="0" applyNumberFormat="1" applyFont="1" applyBorder="1" applyAlignment="1">
      <alignment horizontal="center" vertical="center"/>
    </xf>
    <xf numFmtId="165" fontId="0" fillId="12" borderId="28" xfId="0" applyNumberFormat="1" applyFill="1" applyBorder="1" applyAlignment="1">
      <alignment horizontal="center" vertical="center"/>
    </xf>
    <xf numFmtId="167" fontId="86" fillId="29" borderId="28" xfId="0" applyNumberFormat="1" applyFont="1" applyFill="1" applyBorder="1" applyAlignment="1">
      <alignment horizontal="center" vertical="center"/>
    </xf>
    <xf numFmtId="165" fontId="0" fillId="5" borderId="28" xfId="0" applyNumberFormat="1" applyFill="1" applyBorder="1" applyAlignment="1">
      <alignment horizontal="center" vertical="center"/>
    </xf>
    <xf numFmtId="165" fontId="0" fillId="30" borderId="29" xfId="0" applyNumberFormat="1" applyFill="1" applyBorder="1" applyAlignment="1">
      <alignment horizontal="center" vertical="center"/>
    </xf>
    <xf numFmtId="0" fontId="1" fillId="0" borderId="8" xfId="0" applyFont="1" applyBorder="1" applyAlignment="1">
      <alignment horizontal="right"/>
    </xf>
    <xf numFmtId="0" fontId="72" fillId="0" borderId="14" xfId="0" quotePrefix="1" applyFont="1" applyBorder="1" applyAlignment="1">
      <alignment horizontal="center" wrapText="1"/>
    </xf>
    <xf numFmtId="0" fontId="33" fillId="0" borderId="7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9" fontId="3" fillId="0" borderId="0" xfId="1" applyFont="1" applyBorder="1" applyAlignment="1">
      <alignment horizontal="center"/>
    </xf>
    <xf numFmtId="165" fontId="22" fillId="5" borderId="13" xfId="0" applyNumberFormat="1" applyFont="1" applyFill="1" applyBorder="1" applyAlignment="1">
      <alignment horizontal="center" vertical="center"/>
    </xf>
    <xf numFmtId="165" fontId="22" fillId="5" borderId="1" xfId="0" applyNumberFormat="1" applyFont="1" applyFill="1" applyBorder="1" applyAlignment="1">
      <alignment horizontal="center" vertical="center"/>
    </xf>
    <xf numFmtId="165" fontId="22" fillId="5" borderId="10" xfId="0" applyNumberFormat="1" applyFont="1" applyFill="1" applyBorder="1" applyAlignment="1">
      <alignment horizontal="center" vertical="center"/>
    </xf>
    <xf numFmtId="165" fontId="22" fillId="5" borderId="14" xfId="0" applyNumberFormat="1" applyFont="1" applyFill="1" applyBorder="1" applyAlignment="1">
      <alignment horizontal="center" vertical="center"/>
    </xf>
    <xf numFmtId="0" fontId="1" fillId="0" borderId="52" xfId="0" applyFont="1" applyBorder="1"/>
    <xf numFmtId="165" fontId="9" fillId="0" borderId="1" xfId="0" applyNumberFormat="1" applyFont="1" applyBorder="1" applyAlignment="1">
      <alignment horizontal="center"/>
    </xf>
    <xf numFmtId="167" fontId="34" fillId="0" borderId="1" xfId="0" applyNumberFormat="1" applyFont="1" applyBorder="1" applyAlignment="1">
      <alignment horizontal="center"/>
    </xf>
    <xf numFmtId="0" fontId="81" fillId="7" borderId="11" xfId="0" applyFont="1" applyFill="1" applyBorder="1"/>
    <xf numFmtId="0" fontId="3" fillId="7" borderId="12" xfId="0" applyFont="1" applyFill="1" applyBorder="1"/>
    <xf numFmtId="0" fontId="0" fillId="7" borderId="13" xfId="0" applyFill="1" applyBorder="1"/>
    <xf numFmtId="0" fontId="1" fillId="0" borderId="0" xfId="0" applyFont="1" applyAlignment="1">
      <alignment horizontal="left"/>
    </xf>
    <xf numFmtId="167" fontId="55" fillId="0" borderId="18" xfId="0" applyNumberFormat="1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165" fontId="5" fillId="12" borderId="18" xfId="0" applyNumberFormat="1" applyFont="1" applyFill="1" applyBorder="1" applyAlignment="1">
      <alignment horizontal="center"/>
    </xf>
    <xf numFmtId="165" fontId="9" fillId="0" borderId="19" xfId="0" applyNumberFormat="1" applyFont="1" applyBorder="1" applyAlignment="1">
      <alignment horizontal="center"/>
    </xf>
    <xf numFmtId="165" fontId="5" fillId="12" borderId="27" xfId="0" applyNumberFormat="1" applyFont="1" applyFill="1" applyBorder="1" applyAlignment="1">
      <alignment horizontal="center"/>
    </xf>
    <xf numFmtId="0" fontId="21" fillId="0" borderId="32" xfId="0" applyFont="1" applyBorder="1" applyAlignment="1">
      <alignment horizontal="left"/>
    </xf>
    <xf numFmtId="165" fontId="9" fillId="0" borderId="29" xfId="0" applyNumberFormat="1" applyFont="1" applyBorder="1" applyAlignment="1">
      <alignment horizontal="center"/>
    </xf>
    <xf numFmtId="165" fontId="5" fillId="24" borderId="18" xfId="0" applyNumberFormat="1" applyFont="1" applyFill="1" applyBorder="1" applyAlignment="1">
      <alignment horizontal="center"/>
    </xf>
    <xf numFmtId="165" fontId="5" fillId="24" borderId="27" xfId="0" applyNumberFormat="1" applyFont="1" applyFill="1" applyBorder="1" applyAlignment="1">
      <alignment horizontal="center"/>
    </xf>
    <xf numFmtId="0" fontId="3" fillId="0" borderId="32" xfId="0" applyFont="1" applyBorder="1" applyAlignment="1">
      <alignment horizontal="center"/>
    </xf>
    <xf numFmtId="165" fontId="5" fillId="13" borderId="18" xfId="0" applyNumberFormat="1" applyFont="1" applyFill="1" applyBorder="1" applyAlignment="1">
      <alignment horizontal="center"/>
    </xf>
    <xf numFmtId="165" fontId="5" fillId="13" borderId="27" xfId="0" applyNumberFormat="1" applyFont="1" applyFill="1" applyBorder="1" applyAlignment="1">
      <alignment horizontal="center"/>
    </xf>
    <xf numFmtId="167" fontId="55" fillId="0" borderId="37" xfId="0" applyNumberFormat="1" applyFont="1" applyBorder="1" applyAlignment="1">
      <alignment horizontal="center"/>
    </xf>
    <xf numFmtId="165" fontId="9" fillId="0" borderId="10" xfId="0" applyNumberFormat="1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167" fontId="34" fillId="0" borderId="10" xfId="0" applyNumberFormat="1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165" fontId="1" fillId="0" borderId="19" xfId="0" applyNumberFormat="1" applyFont="1" applyBorder="1" applyAlignment="1">
      <alignment horizontal="center"/>
    </xf>
    <xf numFmtId="165" fontId="1" fillId="0" borderId="29" xfId="0" applyNumberFormat="1" applyFont="1" applyBorder="1" applyAlignment="1">
      <alignment horizontal="center"/>
    </xf>
    <xf numFmtId="165" fontId="3" fillId="12" borderId="0" xfId="0" applyNumberFormat="1" applyFont="1" applyFill="1" applyAlignment="1">
      <alignment horizontal="right"/>
    </xf>
    <xf numFmtId="165" fontId="3" fillId="12" borderId="8" xfId="0" applyNumberFormat="1" applyFont="1" applyFill="1" applyBorder="1" applyAlignment="1">
      <alignment horizontal="right"/>
    </xf>
    <xf numFmtId="3" fontId="1" fillId="15" borderId="1" xfId="0" applyNumberFormat="1" applyFont="1" applyFill="1" applyBorder="1" applyAlignment="1">
      <alignment horizontal="center"/>
    </xf>
    <xf numFmtId="3" fontId="9" fillId="0" borderId="10" xfId="0" applyNumberFormat="1" applyFont="1" applyBorder="1" applyAlignment="1">
      <alignment horizontal="center"/>
    </xf>
    <xf numFmtId="9" fontId="9" fillId="0" borderId="8" xfId="1" applyFont="1" applyBorder="1" applyAlignment="1">
      <alignment horizontal="center"/>
    </xf>
    <xf numFmtId="0" fontId="22" fillId="23" borderId="0" xfId="0" applyFont="1" applyFill="1" applyAlignment="1">
      <alignment horizontal="center"/>
    </xf>
    <xf numFmtId="3" fontId="22" fillId="23" borderId="6" xfId="0" applyNumberFormat="1" applyFont="1" applyFill="1" applyBorder="1" applyAlignment="1">
      <alignment horizontal="center"/>
    </xf>
    <xf numFmtId="3" fontId="22" fillId="23" borderId="0" xfId="0" applyNumberFormat="1" applyFont="1" applyFill="1" applyAlignment="1">
      <alignment horizontal="center"/>
    </xf>
    <xf numFmtId="167" fontId="9" fillId="0" borderId="10" xfId="0" applyNumberFormat="1" applyFont="1" applyBorder="1" applyAlignment="1">
      <alignment horizontal="center"/>
    </xf>
    <xf numFmtId="3" fontId="9" fillId="0" borderId="8" xfId="0" applyNumberFormat="1" applyFont="1" applyBorder="1" applyAlignment="1">
      <alignment horizontal="center"/>
    </xf>
    <xf numFmtId="3" fontId="81" fillId="5" borderId="11" xfId="0" applyNumberFormat="1" applyFont="1" applyFill="1" applyBorder="1"/>
    <xf numFmtId="3" fontId="81" fillId="5" borderId="12" xfId="0" applyNumberFormat="1" applyFont="1" applyFill="1" applyBorder="1"/>
    <xf numFmtId="3" fontId="81" fillId="5" borderId="13" xfId="0" applyNumberFormat="1" applyFont="1" applyFill="1" applyBorder="1"/>
    <xf numFmtId="3" fontId="3" fillId="30" borderId="0" xfId="0" applyNumberFormat="1" applyFont="1" applyFill="1"/>
    <xf numFmtId="0" fontId="93" fillId="30" borderId="0" xfId="0" applyFont="1" applyFill="1" applyAlignment="1">
      <alignment horizontal="left"/>
    </xf>
    <xf numFmtId="3" fontId="53" fillId="12" borderId="0" xfId="0" applyNumberFormat="1" applyFont="1" applyFill="1" applyAlignment="1">
      <alignment horizontal="center"/>
    </xf>
    <xf numFmtId="0" fontId="85" fillId="26" borderId="0" xfId="0" applyFont="1" applyFill="1" applyAlignment="1">
      <alignment horizontal="left"/>
    </xf>
    <xf numFmtId="3" fontId="9" fillId="26" borderId="0" xfId="0" applyNumberFormat="1" applyFont="1" applyFill="1"/>
    <xf numFmtId="3" fontId="22" fillId="23" borderId="24" xfId="0" applyNumberFormat="1" applyFont="1" applyFill="1" applyBorder="1" applyAlignment="1">
      <alignment horizontal="center"/>
    </xf>
    <xf numFmtId="3" fontId="53" fillId="5" borderId="24" xfId="0" applyNumberFormat="1" applyFont="1" applyFill="1" applyBorder="1" applyAlignment="1">
      <alignment horizontal="center"/>
    </xf>
    <xf numFmtId="0" fontId="62" fillId="0" borderId="8" xfId="0" quotePrefix="1" applyFont="1" applyBorder="1" applyAlignment="1">
      <alignment horizontal="center"/>
    </xf>
    <xf numFmtId="0" fontId="62" fillId="23" borderId="10" xfId="0" quotePrefix="1" applyFont="1" applyFill="1" applyBorder="1" applyAlignment="1">
      <alignment horizontal="center"/>
    </xf>
    <xf numFmtId="4" fontId="9" fillId="0" borderId="8" xfId="0" applyNumberFormat="1" applyFont="1" applyBorder="1" applyAlignment="1">
      <alignment horizontal="center"/>
    </xf>
    <xf numFmtId="4" fontId="9" fillId="0" borderId="10" xfId="0" applyNumberFormat="1" applyFont="1" applyBorder="1" applyAlignment="1">
      <alignment horizontal="center"/>
    </xf>
    <xf numFmtId="0" fontId="62" fillId="0" borderId="8" xfId="0" applyFont="1" applyBorder="1" applyAlignment="1">
      <alignment horizontal="center"/>
    </xf>
    <xf numFmtId="0" fontId="85" fillId="12" borderId="0" xfId="0" applyFont="1" applyFill="1" applyAlignment="1">
      <alignment horizontal="left"/>
    </xf>
    <xf numFmtId="3" fontId="9" fillId="12" borderId="0" xfId="0" applyNumberFormat="1" applyFont="1" applyFill="1"/>
    <xf numFmtId="3" fontId="53" fillId="14" borderId="6" xfId="0" applyNumberFormat="1" applyFont="1" applyFill="1" applyBorder="1" applyAlignment="1">
      <alignment horizontal="center"/>
    </xf>
    <xf numFmtId="3" fontId="53" fillId="14" borderId="9" xfId="0" applyNumberFormat="1" applyFont="1" applyFill="1" applyBorder="1" applyAlignment="1">
      <alignment horizontal="center"/>
    </xf>
    <xf numFmtId="167" fontId="9" fillId="0" borderId="9" xfId="0" applyNumberFormat="1" applyFont="1" applyBorder="1" applyAlignment="1">
      <alignment horizontal="center"/>
    </xf>
    <xf numFmtId="3" fontId="9" fillId="0" borderId="9" xfId="0" applyNumberFormat="1" applyFont="1" applyBorder="1" applyAlignment="1">
      <alignment horizontal="center"/>
    </xf>
    <xf numFmtId="4" fontId="69" fillId="25" borderId="10" xfId="0" applyNumberFormat="1" applyFont="1" applyFill="1" applyBorder="1" applyAlignment="1">
      <alignment horizontal="center"/>
    </xf>
    <xf numFmtId="0" fontId="70" fillId="0" borderId="98" xfId="0" applyFont="1" applyBorder="1" applyAlignment="1">
      <alignment horizontal="right"/>
    </xf>
    <xf numFmtId="9" fontId="9" fillId="0" borderId="9" xfId="1" applyFont="1" applyBorder="1" applyAlignment="1">
      <alignment horizontal="center"/>
    </xf>
    <xf numFmtId="4" fontId="36" fillId="0" borderId="6" xfId="0" applyNumberFormat="1" applyFont="1" applyBorder="1" applyAlignment="1">
      <alignment horizontal="center"/>
    </xf>
    <xf numFmtId="4" fontId="9" fillId="0" borderId="9" xfId="0" applyNumberFormat="1" applyFont="1" applyBorder="1" applyAlignment="1">
      <alignment horizontal="center"/>
    </xf>
    <xf numFmtId="9" fontId="59" fillId="0" borderId="24" xfId="1" applyFont="1" applyFill="1" applyBorder="1" applyAlignment="1">
      <alignment horizontal="center"/>
    </xf>
    <xf numFmtId="9" fontId="59" fillId="0" borderId="10" xfId="1" applyFont="1" applyFill="1" applyBorder="1" applyAlignment="1">
      <alignment horizontal="center"/>
    </xf>
    <xf numFmtId="3" fontId="20" fillId="25" borderId="5" xfId="0" applyNumberFormat="1" applyFont="1" applyFill="1" applyBorder="1" applyAlignment="1">
      <alignment horizontal="center"/>
    </xf>
    <xf numFmtId="164" fontId="20" fillId="25" borderId="0" xfId="0" applyNumberFormat="1" applyFont="1" applyFill="1" applyAlignment="1">
      <alignment horizontal="center"/>
    </xf>
    <xf numFmtId="3" fontId="81" fillId="2" borderId="0" xfId="0" applyNumberFormat="1" applyFont="1" applyFill="1" applyAlignment="1">
      <alignment horizontal="left"/>
    </xf>
    <xf numFmtId="167" fontId="9" fillId="0" borderId="0" xfId="0" applyNumberFormat="1" applyFont="1" applyAlignment="1">
      <alignment horizontal="center"/>
    </xf>
    <xf numFmtId="3" fontId="5" fillId="2" borderId="24" xfId="0" applyNumberFormat="1" applyFont="1" applyFill="1" applyBorder="1" applyAlignment="1">
      <alignment vertical="center" textRotation="90"/>
    </xf>
    <xf numFmtId="3" fontId="17" fillId="0" borderId="3" xfId="0" applyNumberFormat="1" applyFont="1" applyBorder="1"/>
    <xf numFmtId="3" fontId="17" fillId="23" borderId="14" xfId="0" applyNumberFormat="1" applyFont="1" applyFill="1" applyBorder="1" applyAlignment="1">
      <alignment horizontal="center"/>
    </xf>
    <xf numFmtId="3" fontId="81" fillId="2" borderId="2" xfId="0" applyNumberFormat="1" applyFont="1" applyFill="1" applyBorder="1" applyAlignment="1">
      <alignment horizontal="left"/>
    </xf>
    <xf numFmtId="3" fontId="5" fillId="2" borderId="10" xfId="0" applyNumberFormat="1" applyFont="1" applyFill="1" applyBorder="1" applyAlignment="1">
      <alignment vertical="center" textRotation="90"/>
    </xf>
    <xf numFmtId="3" fontId="22" fillId="0" borderId="24" xfId="0" applyNumberFormat="1" applyFont="1" applyBorder="1" applyAlignment="1">
      <alignment horizontal="center"/>
    </xf>
    <xf numFmtId="167" fontId="9" fillId="0" borderId="24" xfId="0" applyNumberFormat="1" applyFont="1" applyBorder="1" applyAlignment="1">
      <alignment horizontal="center"/>
    </xf>
    <xf numFmtId="3" fontId="22" fillId="3" borderId="24" xfId="0" applyNumberFormat="1" applyFont="1" applyFill="1" applyBorder="1" applyAlignment="1">
      <alignment horizontal="center"/>
    </xf>
    <xf numFmtId="3" fontId="22" fillId="26" borderId="0" xfId="0" applyNumberFormat="1" applyFont="1" applyFill="1" applyAlignment="1">
      <alignment horizontal="center"/>
    </xf>
    <xf numFmtId="3" fontId="5" fillId="23" borderId="10" xfId="0" applyNumberFormat="1" applyFont="1" applyFill="1" applyBorder="1"/>
    <xf numFmtId="3" fontId="5" fillId="0" borderId="6" xfId="0" applyNumberFormat="1" applyFont="1" applyBorder="1"/>
    <xf numFmtId="3" fontId="94" fillId="0" borderId="6" xfId="0" applyNumberFormat="1" applyFont="1" applyBorder="1"/>
    <xf numFmtId="3" fontId="53" fillId="24" borderId="1" xfId="0" applyNumberFormat="1" applyFont="1" applyFill="1" applyBorder="1" applyAlignment="1">
      <alignment horizontal="center"/>
    </xf>
    <xf numFmtId="9" fontId="95" fillId="22" borderId="14" xfId="0" applyNumberFormat="1" applyFont="1" applyFill="1" applyBorder="1" applyAlignment="1">
      <alignment horizontal="center"/>
    </xf>
    <xf numFmtId="3" fontId="5" fillId="22" borderId="0" xfId="0" applyNumberFormat="1" applyFont="1" applyFill="1" applyAlignment="1">
      <alignment horizontal="center"/>
    </xf>
    <xf numFmtId="3" fontId="53" fillId="9" borderId="1" xfId="0" applyNumberFormat="1" applyFont="1" applyFill="1" applyBorder="1" applyAlignment="1">
      <alignment horizontal="center"/>
    </xf>
    <xf numFmtId="3" fontId="53" fillId="12" borderId="6" xfId="0" applyNumberFormat="1" applyFont="1" applyFill="1" applyBorder="1" applyAlignment="1">
      <alignment horizontal="center"/>
    </xf>
    <xf numFmtId="3" fontId="17" fillId="5" borderId="24" xfId="0" applyNumberFormat="1" applyFont="1" applyFill="1" applyBorder="1" applyAlignment="1">
      <alignment horizontal="center"/>
    </xf>
    <xf numFmtId="3" fontId="53" fillId="22" borderId="0" xfId="0" applyNumberFormat="1" applyFont="1" applyFill="1" applyAlignment="1">
      <alignment horizontal="center"/>
    </xf>
    <xf numFmtId="3" fontId="1" fillId="0" borderId="8" xfId="0" applyNumberFormat="1" applyFont="1" applyBorder="1"/>
    <xf numFmtId="3" fontId="17" fillId="5" borderId="10" xfId="0" applyNumberFormat="1" applyFont="1" applyFill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3" fontId="5" fillId="29" borderId="0" xfId="0" applyNumberFormat="1" applyFont="1" applyFill="1" applyAlignment="1">
      <alignment horizontal="center"/>
    </xf>
    <xf numFmtId="3" fontId="31" fillId="0" borderId="0" xfId="0" applyNumberFormat="1" applyFont="1"/>
    <xf numFmtId="0" fontId="96" fillId="0" borderId="0" xfId="0" applyFont="1" applyAlignment="1">
      <alignment horizontal="right"/>
    </xf>
    <xf numFmtId="165" fontId="97" fillId="12" borderId="10" xfId="0" applyNumberFormat="1" applyFont="1" applyFill="1" applyBorder="1" applyAlignment="1">
      <alignment horizontal="center"/>
    </xf>
    <xf numFmtId="165" fontId="98" fillId="0" borderId="0" xfId="0" applyNumberFormat="1" applyFont="1" applyAlignment="1">
      <alignment horizontal="center"/>
    </xf>
    <xf numFmtId="165" fontId="97" fillId="12" borderId="1" xfId="0" applyNumberFormat="1" applyFont="1" applyFill="1" applyBorder="1" applyAlignment="1">
      <alignment horizontal="center"/>
    </xf>
    <xf numFmtId="167" fontId="97" fillId="2" borderId="110" xfId="0" applyNumberFormat="1" applyFont="1" applyFill="1" applyBorder="1" applyAlignment="1">
      <alignment horizontal="center" vertical="center"/>
    </xf>
    <xf numFmtId="167" fontId="97" fillId="2" borderId="1" xfId="0" applyNumberFormat="1" applyFont="1" applyFill="1" applyBorder="1" applyAlignment="1">
      <alignment horizontal="center" vertical="center"/>
    </xf>
    <xf numFmtId="3" fontId="22" fillId="0" borderId="5" xfId="0" applyNumberFormat="1" applyFont="1" applyBorder="1" applyAlignment="1">
      <alignment horizontal="center"/>
    </xf>
    <xf numFmtId="3" fontId="3" fillId="0" borderId="5" xfId="0" applyNumberFormat="1" applyFont="1" applyBorder="1"/>
    <xf numFmtId="3" fontId="3" fillId="0" borderId="7" xfId="0" applyNumberFormat="1" applyFont="1" applyBorder="1"/>
    <xf numFmtId="3" fontId="22" fillId="26" borderId="14" xfId="0" applyNumberFormat="1" applyFont="1" applyFill="1" applyBorder="1" applyAlignment="1">
      <alignment horizontal="center"/>
    </xf>
    <xf numFmtId="3" fontId="5" fillId="0" borderId="5" xfId="0" applyNumberFormat="1" applyFont="1" applyBorder="1" applyAlignment="1">
      <alignment horizontal="center"/>
    </xf>
    <xf numFmtId="3" fontId="5" fillId="0" borderId="5" xfId="0" applyNumberFormat="1" applyFont="1" applyBorder="1"/>
    <xf numFmtId="4" fontId="36" fillId="0" borderId="5" xfId="0" applyNumberFormat="1" applyFont="1" applyBorder="1" applyAlignment="1">
      <alignment horizontal="center"/>
    </xf>
    <xf numFmtId="4" fontId="9" fillId="0" borderId="7" xfId="0" applyNumberFormat="1" applyFont="1" applyBorder="1" applyAlignment="1">
      <alignment horizontal="center"/>
    </xf>
    <xf numFmtId="0" fontId="85" fillId="2" borderId="0" xfId="0" applyFont="1" applyFill="1" applyAlignment="1">
      <alignment horizontal="left"/>
    </xf>
    <xf numFmtId="3" fontId="22" fillId="2" borderId="0" xfId="0" applyNumberFormat="1" applyFont="1" applyFill="1" applyAlignment="1">
      <alignment horizontal="center"/>
    </xf>
    <xf numFmtId="3" fontId="9" fillId="2" borderId="0" xfId="0" applyNumberFormat="1" applyFont="1" applyFill="1"/>
    <xf numFmtId="3" fontId="22" fillId="2" borderId="0" xfId="0" applyNumberFormat="1" applyFont="1" applyFill="1" applyAlignment="1">
      <alignment horizontal="left"/>
    </xf>
    <xf numFmtId="3" fontId="17" fillId="2" borderId="0" xfId="0" applyNumberFormat="1" applyFont="1" applyFill="1"/>
    <xf numFmtId="3" fontId="9" fillId="2" borderId="0" xfId="0" applyNumberFormat="1" applyFont="1" applyFill="1" applyAlignment="1">
      <alignment horizontal="center"/>
    </xf>
    <xf numFmtId="4" fontId="9" fillId="0" borderId="0" xfId="0" applyNumberFormat="1" applyFont="1" applyAlignment="1">
      <alignment horizontal="center"/>
    </xf>
    <xf numFmtId="4" fontId="9" fillId="0" borderId="5" xfId="0" applyNumberFormat="1" applyFont="1" applyBorder="1" applyAlignment="1">
      <alignment horizontal="center"/>
    </xf>
    <xf numFmtId="4" fontId="9" fillId="0" borderId="6" xfId="0" applyNumberFormat="1" applyFont="1" applyBorder="1" applyAlignment="1">
      <alignment horizontal="center"/>
    </xf>
    <xf numFmtId="4" fontId="25" fillId="0" borderId="24" xfId="0" applyNumberFormat="1" applyFont="1" applyBorder="1" applyAlignment="1">
      <alignment horizontal="center"/>
    </xf>
    <xf numFmtId="4" fontId="25" fillId="0" borderId="10" xfId="0" applyNumberFormat="1" applyFont="1" applyBorder="1" applyAlignment="1">
      <alignment horizontal="center"/>
    </xf>
    <xf numFmtId="3" fontId="5" fillId="2" borderId="6" xfId="0" applyNumberFormat="1" applyFont="1" applyFill="1" applyBorder="1" applyAlignment="1">
      <alignment vertical="center" textRotation="90"/>
    </xf>
    <xf numFmtId="3" fontId="17" fillId="23" borderId="6" xfId="0" applyNumberFormat="1" applyFont="1" applyFill="1" applyBorder="1" applyAlignment="1">
      <alignment horizontal="center"/>
    </xf>
    <xf numFmtId="3" fontId="9" fillId="30" borderId="5" xfId="0" applyNumberFormat="1" applyFont="1" applyFill="1" applyBorder="1" applyAlignment="1">
      <alignment horizontal="center"/>
    </xf>
    <xf numFmtId="3" fontId="9" fillId="30" borderId="24" xfId="0" applyNumberFormat="1" applyFont="1" applyFill="1" applyBorder="1" applyAlignment="1">
      <alignment horizontal="center"/>
    </xf>
    <xf numFmtId="3" fontId="22" fillId="3" borderId="2" xfId="0" applyNumberFormat="1" applyFont="1" applyFill="1" applyBorder="1" applyAlignment="1">
      <alignment horizontal="center"/>
    </xf>
    <xf numFmtId="3" fontId="22" fillId="3" borderId="4" xfId="0" applyNumberFormat="1" applyFont="1" applyFill="1" applyBorder="1" applyAlignment="1">
      <alignment horizontal="center"/>
    </xf>
    <xf numFmtId="0" fontId="1" fillId="0" borderId="55" xfId="0" applyFont="1" applyBorder="1"/>
    <xf numFmtId="3" fontId="17" fillId="0" borderId="8" xfId="0" applyNumberFormat="1" applyFont="1" applyBorder="1"/>
    <xf numFmtId="0" fontId="21" fillId="0" borderId="6" xfId="0" applyFont="1" applyBorder="1" applyAlignment="1">
      <alignment horizontal="left"/>
    </xf>
    <xf numFmtId="0" fontId="17" fillId="0" borderId="62" xfId="0" applyFont="1" applyBorder="1"/>
    <xf numFmtId="0" fontId="17" fillId="0" borderId="62" xfId="0" applyFont="1" applyBorder="1" applyAlignment="1">
      <alignment horizontal="center"/>
    </xf>
    <xf numFmtId="0" fontId="21" fillId="6" borderId="79" xfId="0" quotePrefix="1" applyFont="1" applyFill="1" applyBorder="1" applyAlignment="1">
      <alignment textRotation="90"/>
    </xf>
    <xf numFmtId="0" fontId="21" fillId="6" borderId="79" xfId="0" applyFont="1" applyFill="1" applyBorder="1" applyAlignment="1">
      <alignment textRotation="90"/>
    </xf>
    <xf numFmtId="0" fontId="21" fillId="6" borderId="79" xfId="0" applyFont="1" applyFill="1" applyBorder="1" applyAlignment="1">
      <alignment vertical="top"/>
    </xf>
    <xf numFmtId="0" fontId="51" fillId="0" borderId="0" xfId="0" applyFont="1" applyAlignment="1">
      <alignment horizontal="center"/>
    </xf>
    <xf numFmtId="0" fontId="54" fillId="0" borderId="3" xfId="0" applyFont="1" applyBorder="1" applyAlignment="1">
      <alignment horizontal="center"/>
    </xf>
    <xf numFmtId="165" fontId="9" fillId="0" borderId="9" xfId="0" applyNumberFormat="1" applyFont="1" applyBorder="1" applyAlignment="1">
      <alignment horizontal="center"/>
    </xf>
    <xf numFmtId="3" fontId="59" fillId="0" borderId="24" xfId="1" applyNumberFormat="1" applyFont="1" applyFill="1" applyBorder="1" applyAlignment="1">
      <alignment horizontal="center"/>
    </xf>
    <xf numFmtId="3" fontId="5" fillId="0" borderId="8" xfId="0" applyNumberFormat="1" applyFont="1" applyBorder="1"/>
    <xf numFmtId="3" fontId="59" fillId="0" borderId="10" xfId="1" applyNumberFormat="1" applyFont="1" applyFill="1" applyBorder="1" applyAlignment="1">
      <alignment horizontal="center"/>
    </xf>
    <xf numFmtId="3" fontId="99" fillId="0" borderId="0" xfId="0" applyNumberFormat="1" applyFont="1" applyAlignment="1">
      <alignment horizontal="center"/>
    </xf>
    <xf numFmtId="3" fontId="6" fillId="0" borderId="53" xfId="0" applyNumberFormat="1" applyFont="1" applyBorder="1" applyAlignment="1">
      <alignment horizontal="right"/>
    </xf>
    <xf numFmtId="3" fontId="6" fillId="0" borderId="58" xfId="0" applyNumberFormat="1" applyFont="1" applyBorder="1"/>
    <xf numFmtId="9" fontId="9" fillId="0" borderId="1" xfId="1" applyFont="1" applyFill="1" applyBorder="1"/>
    <xf numFmtId="3" fontId="25" fillId="5" borderId="1" xfId="0" applyNumberFormat="1" applyFont="1" applyFill="1" applyBorder="1"/>
    <xf numFmtId="20" fontId="9" fillId="32" borderId="54" xfId="0" applyNumberFormat="1" applyFont="1" applyFill="1" applyBorder="1"/>
    <xf numFmtId="20" fontId="9" fillId="32" borderId="0" xfId="0" applyNumberFormat="1" applyFont="1" applyFill="1"/>
    <xf numFmtId="20" fontId="9" fillId="32" borderId="58" xfId="0" applyNumberFormat="1" applyFont="1" applyFill="1" applyBorder="1"/>
    <xf numFmtId="20" fontId="9" fillId="32" borderId="9" xfId="0" applyNumberFormat="1" applyFont="1" applyFill="1" applyBorder="1"/>
    <xf numFmtId="3" fontId="3" fillId="33" borderId="10" xfId="0" applyNumberFormat="1" applyFont="1" applyFill="1" applyBorder="1"/>
    <xf numFmtId="0" fontId="21" fillId="0" borderId="62" xfId="0" applyFont="1" applyBorder="1"/>
    <xf numFmtId="0" fontId="100" fillId="0" borderId="0" xfId="0" applyFont="1" applyAlignment="1">
      <alignment horizontal="center" vertical="center"/>
    </xf>
    <xf numFmtId="0" fontId="1" fillId="0" borderId="116" xfId="0" applyFont="1" applyBorder="1"/>
    <xf numFmtId="0" fontId="1" fillId="0" borderId="62" xfId="0" applyFont="1" applyBorder="1"/>
    <xf numFmtId="0" fontId="1" fillId="0" borderId="63" xfId="0" applyFont="1" applyBorder="1"/>
    <xf numFmtId="0" fontId="1" fillId="0" borderId="51" xfId="0" applyFont="1" applyBorder="1"/>
    <xf numFmtId="49" fontId="90" fillId="0" borderId="52" xfId="0" applyNumberFormat="1" applyFont="1" applyBorder="1" applyAlignment="1">
      <alignment horizontal="right"/>
    </xf>
    <xf numFmtId="0" fontId="1" fillId="0" borderId="0" xfId="0" applyFont="1" applyAlignment="1">
      <alignment vertical="center"/>
    </xf>
    <xf numFmtId="0" fontId="1" fillId="0" borderId="117" xfId="0" applyFont="1" applyBorder="1"/>
    <xf numFmtId="3" fontId="6" fillId="0" borderId="32" xfId="0" applyNumberFormat="1" applyFont="1" applyBorder="1"/>
    <xf numFmtId="0" fontId="1" fillId="0" borderId="32" xfId="0" applyFont="1" applyBorder="1"/>
    <xf numFmtId="0" fontId="25" fillId="24" borderId="11" xfId="0" applyFont="1" applyFill="1" applyBorder="1"/>
    <xf numFmtId="3" fontId="9" fillId="0" borderId="1" xfId="0" applyNumberFormat="1" applyFont="1" applyBorder="1" applyAlignment="1">
      <alignment horizontal="center"/>
    </xf>
    <xf numFmtId="0" fontId="1" fillId="24" borderId="11" xfId="0" applyFont="1" applyFill="1" applyBorder="1"/>
    <xf numFmtId="0" fontId="84" fillId="24" borderId="12" xfId="0" applyFont="1" applyFill="1" applyBorder="1" applyAlignment="1">
      <alignment horizontal="center"/>
    </xf>
    <xf numFmtId="0" fontId="84" fillId="24" borderId="13" xfId="0" applyFont="1" applyFill="1" applyBorder="1" applyAlignment="1">
      <alignment horizontal="center"/>
    </xf>
    <xf numFmtId="0" fontId="27" fillId="0" borderId="0" xfId="0" applyFont="1" applyAlignment="1">
      <alignment horizontal="left"/>
    </xf>
    <xf numFmtId="0" fontId="83" fillId="24" borderId="11" xfId="0" applyFont="1" applyFill="1" applyBorder="1"/>
    <xf numFmtId="0" fontId="83" fillId="24" borderId="13" xfId="0" applyFont="1" applyFill="1" applyBorder="1" applyAlignment="1">
      <alignment horizontal="center"/>
    </xf>
    <xf numFmtId="3" fontId="1" fillId="0" borderId="0" xfId="0" applyNumberFormat="1" applyFont="1" applyAlignment="1">
      <alignment horizontal="center"/>
    </xf>
    <xf numFmtId="167" fontId="9" fillId="0" borderId="1" xfId="0" applyNumberFormat="1" applyFont="1" applyBorder="1" applyAlignment="1">
      <alignment horizontal="center"/>
    </xf>
    <xf numFmtId="0" fontId="1" fillId="0" borderId="61" xfId="0" applyFont="1" applyBorder="1"/>
    <xf numFmtId="9" fontId="55" fillId="0" borderId="0" xfId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/>
    </xf>
    <xf numFmtId="0" fontId="10" fillId="0" borderId="54" xfId="0" applyFont="1" applyBorder="1"/>
    <xf numFmtId="9" fontId="3" fillId="0" borderId="54" xfId="0" applyNumberFormat="1" applyFont="1" applyBorder="1"/>
    <xf numFmtId="0" fontId="48" fillId="0" borderId="12" xfId="0" applyFont="1" applyBorder="1"/>
    <xf numFmtId="0" fontId="27" fillId="0" borderId="57" xfId="0" quotePrefix="1" applyFont="1" applyBorder="1" applyAlignment="1">
      <alignment horizontal="center"/>
    </xf>
    <xf numFmtId="0" fontId="49" fillId="0" borderId="55" xfId="0" applyFont="1" applyBorder="1" applyAlignment="1">
      <alignment horizontal="center" vertical="center"/>
    </xf>
    <xf numFmtId="9" fontId="55" fillId="0" borderId="55" xfId="1" applyFont="1" applyFill="1" applyBorder="1" applyAlignment="1">
      <alignment horizontal="center" vertical="center"/>
    </xf>
    <xf numFmtId="4" fontId="50" fillId="0" borderId="55" xfId="0" applyNumberFormat="1" applyFont="1" applyBorder="1" applyAlignment="1">
      <alignment horizontal="center"/>
    </xf>
    <xf numFmtId="3" fontId="51" fillId="0" borderId="55" xfId="0" applyNumberFormat="1" applyFont="1" applyBorder="1" applyAlignment="1">
      <alignment horizontal="center" vertical="center"/>
    </xf>
    <xf numFmtId="0" fontId="21" fillId="0" borderId="3" xfId="0" applyFont="1" applyBorder="1" applyAlignment="1">
      <alignment horizontal="right"/>
    </xf>
    <xf numFmtId="3" fontId="6" fillId="0" borderId="8" xfId="0" applyNumberFormat="1" applyFont="1" applyBorder="1" applyAlignment="1">
      <alignment horizontal="right"/>
    </xf>
    <xf numFmtId="0" fontId="5" fillId="31" borderId="1" xfId="0" applyFont="1" applyFill="1" applyBorder="1" applyAlignment="1">
      <alignment horizontal="center" vertical="center"/>
    </xf>
    <xf numFmtId="0" fontId="21" fillId="0" borderId="9" xfId="0" quotePrefix="1" applyFont="1" applyBorder="1" applyAlignment="1">
      <alignment horizontal="right"/>
    </xf>
    <xf numFmtId="0" fontId="19" fillId="0" borderId="0" xfId="0" applyFont="1"/>
    <xf numFmtId="0" fontId="102" fillId="0" borderId="0" xfId="0" quotePrefix="1" applyFont="1" applyAlignment="1">
      <alignment horizontal="left"/>
    </xf>
    <xf numFmtId="0" fontId="103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20" fontId="19" fillId="0" borderId="0" xfId="0" applyNumberFormat="1" applyFont="1"/>
    <xf numFmtId="166" fontId="19" fillId="0" borderId="0" xfId="1" applyNumberFormat="1" applyFont="1"/>
    <xf numFmtId="0" fontId="6" fillId="0" borderId="0" xfId="0" applyFont="1" applyAlignment="1">
      <alignment horizontal="right"/>
    </xf>
    <xf numFmtId="2" fontId="9" fillId="0" borderId="0" xfId="0" applyNumberFormat="1" applyFont="1" applyAlignment="1">
      <alignment horizontal="center" vertical="center"/>
    </xf>
    <xf numFmtId="1" fontId="34" fillId="6" borderId="72" xfId="0" applyNumberFormat="1" applyFont="1" applyFill="1" applyBorder="1" applyAlignment="1">
      <alignment horizontal="center"/>
    </xf>
    <xf numFmtId="165" fontId="3" fillId="22" borderId="124" xfId="0" applyNumberFormat="1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47" fillId="21" borderId="2" xfId="0" quotePrefix="1" applyFont="1" applyFill="1" applyBorder="1" applyAlignment="1">
      <alignment horizontal="center"/>
    </xf>
    <xf numFmtId="0" fontId="47" fillId="21" borderId="5" xfId="0" quotePrefix="1" applyFont="1" applyFill="1" applyBorder="1" applyAlignment="1">
      <alignment horizontal="center"/>
    </xf>
    <xf numFmtId="0" fontId="47" fillId="21" borderId="7" xfId="0" quotePrefix="1" applyFont="1" applyFill="1" applyBorder="1" applyAlignment="1">
      <alignment horizontal="center"/>
    </xf>
    <xf numFmtId="9" fontId="48" fillId="0" borderId="10" xfId="1" applyFont="1" applyBorder="1" applyAlignment="1">
      <alignment horizontal="center"/>
    </xf>
    <xf numFmtId="9" fontId="48" fillId="0" borderId="14" xfId="1" applyFont="1" applyBorder="1" applyAlignment="1">
      <alignment horizontal="center"/>
    </xf>
    <xf numFmtId="9" fontId="48" fillId="0" borderId="24" xfId="1" applyFont="1" applyBorder="1" applyAlignment="1">
      <alignment horizontal="center"/>
    </xf>
    <xf numFmtId="9" fontId="48" fillId="0" borderId="4" xfId="1" applyFont="1" applyBorder="1" applyAlignment="1">
      <alignment horizontal="center"/>
    </xf>
    <xf numFmtId="9" fontId="48" fillId="0" borderId="6" xfId="1" applyFont="1" applyBorder="1" applyAlignment="1">
      <alignment horizontal="center"/>
    </xf>
    <xf numFmtId="0" fontId="47" fillId="16" borderId="24" xfId="0" quotePrefix="1" applyFont="1" applyFill="1" applyBorder="1" applyAlignment="1">
      <alignment horizontal="center"/>
    </xf>
    <xf numFmtId="0" fontId="47" fillId="34" borderId="10" xfId="0" quotePrefix="1" applyFont="1" applyFill="1" applyBorder="1" applyAlignment="1">
      <alignment horizontal="center"/>
    </xf>
    <xf numFmtId="0" fontId="47" fillId="3" borderId="14" xfId="0" quotePrefix="1" applyFont="1" applyFill="1" applyBorder="1" applyAlignment="1">
      <alignment horizontal="center"/>
    </xf>
    <xf numFmtId="0" fontId="47" fillId="3" borderId="24" xfId="0" quotePrefix="1" applyFont="1" applyFill="1" applyBorder="1" applyAlignment="1">
      <alignment horizontal="center"/>
    </xf>
    <xf numFmtId="0" fontId="47" fillId="3" borderId="10" xfId="0" quotePrefix="1" applyFont="1" applyFill="1" applyBorder="1" applyAlignment="1">
      <alignment horizontal="center"/>
    </xf>
    <xf numFmtId="0" fontId="47" fillId="34" borderId="14" xfId="0" quotePrefix="1" applyFont="1" applyFill="1" applyBorder="1" applyAlignment="1">
      <alignment horizontal="center"/>
    </xf>
    <xf numFmtId="0" fontId="47" fillId="34" borderId="24" xfId="0" quotePrefix="1" applyFont="1" applyFill="1" applyBorder="1" applyAlignment="1">
      <alignment horizontal="center"/>
    </xf>
    <xf numFmtId="0" fontId="47" fillId="35" borderId="14" xfId="0" quotePrefix="1" applyFont="1" applyFill="1" applyBorder="1" applyAlignment="1">
      <alignment horizontal="center"/>
    </xf>
    <xf numFmtId="0" fontId="47" fillId="35" borderId="24" xfId="0" quotePrefix="1" applyFont="1" applyFill="1" applyBorder="1" applyAlignment="1">
      <alignment horizontal="center"/>
    </xf>
    <xf numFmtId="0" fontId="47" fillId="35" borderId="10" xfId="0" quotePrefix="1" applyFont="1" applyFill="1" applyBorder="1" applyAlignment="1">
      <alignment horizontal="center"/>
    </xf>
    <xf numFmtId="4" fontId="104" fillId="0" borderId="2" xfId="0" applyNumberFormat="1" applyFont="1" applyBorder="1" applyAlignment="1">
      <alignment horizontal="center"/>
    </xf>
    <xf numFmtId="4" fontId="104" fillId="0" borderId="3" xfId="0" applyNumberFormat="1" applyFont="1" applyBorder="1" applyAlignment="1">
      <alignment horizontal="center"/>
    </xf>
    <xf numFmtId="4" fontId="104" fillId="0" borderId="4" xfId="0" applyNumberFormat="1" applyFont="1" applyBorder="1" applyAlignment="1">
      <alignment horizontal="center"/>
    </xf>
    <xf numFmtId="4" fontId="104" fillId="0" borderId="5" xfId="0" applyNumberFormat="1" applyFont="1" applyBorder="1" applyAlignment="1">
      <alignment horizontal="center"/>
    </xf>
    <xf numFmtId="4" fontId="104" fillId="0" borderId="6" xfId="0" applyNumberFormat="1" applyFont="1" applyBorder="1" applyAlignment="1">
      <alignment horizontal="center"/>
    </xf>
    <xf numFmtId="4" fontId="104" fillId="0" borderId="7" xfId="0" applyNumberFormat="1" applyFont="1" applyBorder="1" applyAlignment="1">
      <alignment horizontal="center"/>
    </xf>
    <xf numFmtId="4" fontId="104" fillId="0" borderId="8" xfId="0" applyNumberFormat="1" applyFont="1" applyBorder="1" applyAlignment="1">
      <alignment horizontal="center"/>
    </xf>
    <xf numFmtId="4" fontId="104" fillId="0" borderId="9" xfId="0" applyNumberFormat="1" applyFont="1" applyBorder="1" applyAlignment="1">
      <alignment horizontal="center"/>
    </xf>
    <xf numFmtId="4" fontId="104" fillId="0" borderId="11" xfId="0" applyNumberFormat="1" applyFont="1" applyBorder="1" applyAlignment="1">
      <alignment horizontal="center"/>
    </xf>
    <xf numFmtId="4" fontId="104" fillId="0" borderId="12" xfId="0" applyNumberFormat="1" applyFont="1" applyBorder="1" applyAlignment="1">
      <alignment horizontal="center"/>
    </xf>
    <xf numFmtId="4" fontId="104" fillId="0" borderId="13" xfId="0" applyNumberFormat="1" applyFont="1" applyBorder="1" applyAlignment="1">
      <alignment horizontal="center"/>
    </xf>
    <xf numFmtId="3" fontId="104" fillId="0" borderId="2" xfId="0" applyNumberFormat="1" applyFont="1" applyBorder="1" applyAlignment="1">
      <alignment horizontal="center"/>
    </xf>
    <xf numFmtId="3" fontId="104" fillId="0" borderId="3" xfId="0" applyNumberFormat="1" applyFont="1" applyBorder="1" applyAlignment="1">
      <alignment horizontal="center"/>
    </xf>
    <xf numFmtId="3" fontId="104" fillId="0" borderId="4" xfId="0" applyNumberFormat="1" applyFont="1" applyBorder="1" applyAlignment="1">
      <alignment horizontal="center"/>
    </xf>
    <xf numFmtId="3" fontId="104" fillId="0" borderId="5" xfId="0" applyNumberFormat="1" applyFont="1" applyBorder="1" applyAlignment="1">
      <alignment horizontal="center"/>
    </xf>
    <xf numFmtId="3" fontId="104" fillId="0" borderId="6" xfId="0" applyNumberFormat="1" applyFont="1" applyBorder="1" applyAlignment="1">
      <alignment horizontal="center"/>
    </xf>
    <xf numFmtId="3" fontId="104" fillId="0" borderId="7" xfId="0" applyNumberFormat="1" applyFont="1" applyBorder="1" applyAlignment="1">
      <alignment horizontal="center"/>
    </xf>
    <xf numFmtId="3" fontId="104" fillId="0" borderId="8" xfId="0" applyNumberFormat="1" applyFont="1" applyBorder="1" applyAlignment="1">
      <alignment horizontal="center"/>
    </xf>
    <xf numFmtId="3" fontId="104" fillId="0" borderId="9" xfId="0" applyNumberFormat="1" applyFont="1" applyBorder="1" applyAlignment="1">
      <alignment horizontal="center"/>
    </xf>
    <xf numFmtId="3" fontId="104" fillId="0" borderId="11" xfId="0" applyNumberFormat="1" applyFont="1" applyBorder="1" applyAlignment="1">
      <alignment horizontal="center"/>
    </xf>
    <xf numFmtId="3" fontId="104" fillId="0" borderId="12" xfId="0" applyNumberFormat="1" applyFont="1" applyBorder="1" applyAlignment="1">
      <alignment horizontal="center"/>
    </xf>
    <xf numFmtId="3" fontId="104" fillId="0" borderId="13" xfId="0" applyNumberFormat="1" applyFont="1" applyBorder="1" applyAlignment="1">
      <alignment horizontal="center"/>
    </xf>
    <xf numFmtId="0" fontId="51" fillId="0" borderId="0" xfId="0" quotePrefix="1" applyFont="1" applyAlignment="1">
      <alignment horizontal="left"/>
    </xf>
    <xf numFmtId="0" fontId="44" fillId="0" borderId="121" xfId="0" applyFont="1" applyBorder="1"/>
    <xf numFmtId="0" fontId="33" fillId="0" borderId="121" xfId="0" applyFont="1" applyBorder="1" applyAlignment="1">
      <alignment horizontal="center"/>
    </xf>
    <xf numFmtId="0" fontId="44" fillId="0" borderId="111" xfId="0" applyFont="1" applyBorder="1"/>
    <xf numFmtId="0" fontId="27" fillId="0" borderId="6" xfId="0" applyFont="1" applyBorder="1" applyAlignment="1">
      <alignment horizontal="right"/>
    </xf>
    <xf numFmtId="0" fontId="27" fillId="0" borderId="6" xfId="0" applyFont="1" applyBorder="1" applyAlignment="1">
      <alignment horizontal="right" vertical="center"/>
    </xf>
    <xf numFmtId="0" fontId="33" fillId="0" borderId="111" xfId="0" applyFont="1" applyBorder="1" applyAlignment="1">
      <alignment horizontal="right" vertical="center"/>
    </xf>
    <xf numFmtId="0" fontId="44" fillId="0" borderId="120" xfId="0" applyFont="1" applyBorder="1"/>
    <xf numFmtId="0" fontId="33" fillId="0" borderId="121" xfId="0" applyFont="1" applyBorder="1" applyAlignment="1">
      <alignment textRotation="90"/>
    </xf>
    <xf numFmtId="0" fontId="33" fillId="0" borderId="121" xfId="0" applyFont="1" applyBorder="1" applyAlignment="1">
      <alignment vertical="top" textRotation="90"/>
    </xf>
    <xf numFmtId="0" fontId="33" fillId="0" borderId="113" xfId="0" applyFont="1" applyBorder="1" applyAlignment="1">
      <alignment horizontal="right" vertical="center"/>
    </xf>
    <xf numFmtId="0" fontId="27" fillId="0" borderId="0" xfId="0" applyFont="1" applyAlignment="1">
      <alignment horizontal="right"/>
    </xf>
    <xf numFmtId="0" fontId="3" fillId="0" borderId="12" xfId="0" applyFont="1" applyBorder="1"/>
    <xf numFmtId="0" fontId="27" fillId="6" borderId="77" xfId="0" applyFont="1" applyFill="1" applyBorder="1" applyAlignment="1">
      <alignment horizontal="center"/>
    </xf>
    <xf numFmtId="0" fontId="27" fillId="6" borderId="78" xfId="0" quotePrefix="1" applyFont="1" applyFill="1" applyBorder="1" applyAlignment="1">
      <alignment horizontal="center" vertical="top"/>
    </xf>
    <xf numFmtId="3" fontId="25" fillId="6" borderId="0" xfId="0" applyNumberFormat="1" applyFont="1" applyFill="1" applyAlignment="1">
      <alignment horizontal="center"/>
    </xf>
    <xf numFmtId="4" fontId="25" fillId="6" borderId="6" xfId="0" applyNumberFormat="1" applyFont="1" applyFill="1" applyBorder="1" applyAlignment="1">
      <alignment horizontal="center"/>
    </xf>
    <xf numFmtId="3" fontId="43" fillId="6" borderId="6" xfId="0" applyNumberFormat="1" applyFont="1" applyFill="1" applyBorder="1" applyAlignment="1">
      <alignment horizontal="center"/>
    </xf>
    <xf numFmtId="3" fontId="43" fillId="6" borderId="0" xfId="0" applyNumberFormat="1" applyFont="1" applyFill="1" applyAlignment="1">
      <alignment horizontal="center"/>
    </xf>
    <xf numFmtId="3" fontId="43" fillId="6" borderId="5" xfId="0" applyNumberFormat="1" applyFont="1" applyFill="1" applyBorder="1" applyAlignment="1">
      <alignment horizontal="center"/>
    </xf>
    <xf numFmtId="4" fontId="70" fillId="6" borderId="30" xfId="0" applyNumberFormat="1" applyFont="1" applyFill="1" applyBorder="1" applyAlignment="1">
      <alignment horizontal="right"/>
    </xf>
    <xf numFmtId="9" fontId="69" fillId="6" borderId="1" xfId="1" applyFont="1" applyFill="1" applyBorder="1" applyAlignment="1">
      <alignment horizontal="center"/>
    </xf>
    <xf numFmtId="3" fontId="53" fillId="5" borderId="1" xfId="0" applyNumberFormat="1" applyFont="1" applyFill="1" applyBorder="1" applyAlignment="1">
      <alignment horizontal="center"/>
    </xf>
    <xf numFmtId="3" fontId="69" fillId="5" borderId="1" xfId="0" applyNumberFormat="1" applyFont="1" applyFill="1" applyBorder="1" applyAlignment="1">
      <alignment horizontal="center"/>
    </xf>
    <xf numFmtId="3" fontId="22" fillId="36" borderId="14" xfId="0" applyNumberFormat="1" applyFont="1" applyFill="1" applyBorder="1" applyAlignment="1">
      <alignment horizontal="center"/>
    </xf>
    <xf numFmtId="3" fontId="22" fillId="36" borderId="4" xfId="0" applyNumberFormat="1" applyFont="1" applyFill="1" applyBorder="1" applyAlignment="1">
      <alignment horizontal="center"/>
    </xf>
    <xf numFmtId="0" fontId="39" fillId="0" borderId="12" xfId="0" quotePrefix="1" applyFont="1" applyBorder="1"/>
    <xf numFmtId="0" fontId="39" fillId="0" borderId="12" xfId="0" applyFont="1" applyBorder="1"/>
    <xf numFmtId="0" fontId="39" fillId="0" borderId="12" xfId="0" applyFont="1" applyBorder="1" applyAlignment="1">
      <alignment horizontal="right"/>
    </xf>
    <xf numFmtId="0" fontId="39" fillId="0" borderId="24" xfId="0" quotePrefix="1" applyFont="1" applyBorder="1" applyAlignment="1">
      <alignment vertical="top" textRotation="255"/>
    </xf>
    <xf numFmtId="0" fontId="39" fillId="0" borderId="24" xfId="0" applyFont="1" applyBorder="1" applyAlignment="1">
      <alignment vertical="center" textRotation="90"/>
    </xf>
    <xf numFmtId="0" fontId="39" fillId="0" borderId="24" xfId="0" applyFont="1" applyBorder="1" applyAlignment="1">
      <alignment textRotation="255"/>
    </xf>
    <xf numFmtId="0" fontId="39" fillId="0" borderId="12" xfId="0" quotePrefix="1" applyFont="1" applyBorder="1" applyAlignment="1">
      <alignment horizontal="right"/>
    </xf>
    <xf numFmtId="0" fontId="39" fillId="0" borderId="24" xfId="0" quotePrefix="1" applyFont="1" applyBorder="1" applyAlignment="1">
      <alignment vertical="center" textRotation="255"/>
    </xf>
    <xf numFmtId="0" fontId="39" fillId="0" borderId="24" xfId="0" applyFont="1" applyBorder="1" applyAlignment="1">
      <alignment vertical="center" textRotation="255"/>
    </xf>
    <xf numFmtId="0" fontId="70" fillId="6" borderId="30" xfId="0" applyFont="1" applyFill="1" applyBorder="1" applyAlignment="1">
      <alignment horizontal="right"/>
    </xf>
    <xf numFmtId="3" fontId="69" fillId="6" borderId="1" xfId="0" applyNumberFormat="1" applyFont="1" applyFill="1" applyBorder="1" applyAlignment="1">
      <alignment horizontal="center"/>
    </xf>
    <xf numFmtId="3" fontId="9" fillId="6" borderId="7" xfId="0" applyNumberFormat="1" applyFont="1" applyFill="1" applyBorder="1" applyAlignment="1">
      <alignment horizontal="center"/>
    </xf>
    <xf numFmtId="0" fontId="68" fillId="6" borderId="30" xfId="0" applyFont="1" applyFill="1" applyBorder="1" applyAlignment="1">
      <alignment horizontal="left"/>
    </xf>
    <xf numFmtId="3" fontId="1" fillId="5" borderId="34" xfId="0" applyNumberFormat="1" applyFont="1" applyFill="1" applyBorder="1"/>
    <xf numFmtId="0" fontId="68" fillId="30" borderId="30" xfId="0" applyFont="1" applyFill="1" applyBorder="1" applyAlignment="1">
      <alignment horizontal="left"/>
    </xf>
    <xf numFmtId="3" fontId="3" fillId="5" borderId="99" xfId="0" applyNumberFormat="1" applyFont="1" applyFill="1" applyBorder="1"/>
    <xf numFmtId="3" fontId="3" fillId="14" borderId="0" xfId="0" applyNumberFormat="1" applyFont="1" applyFill="1"/>
    <xf numFmtId="3" fontId="3" fillId="14" borderId="9" xfId="0" applyNumberFormat="1" applyFont="1" applyFill="1" applyBorder="1"/>
    <xf numFmtId="0" fontId="68" fillId="26" borderId="30" xfId="0" applyFont="1" applyFill="1" applyBorder="1" applyAlignment="1">
      <alignment horizontal="left"/>
    </xf>
    <xf numFmtId="0" fontId="68" fillId="12" borderId="98" xfId="0" applyFont="1" applyFill="1" applyBorder="1" applyAlignment="1">
      <alignment horizontal="left"/>
    </xf>
    <xf numFmtId="3" fontId="60" fillId="12" borderId="9" xfId="0" applyNumberFormat="1" applyFont="1" applyFill="1" applyBorder="1"/>
    <xf numFmtId="3" fontId="17" fillId="2" borderId="3" xfId="0" applyNumberFormat="1" applyFont="1" applyFill="1" applyBorder="1"/>
    <xf numFmtId="3" fontId="5" fillId="2" borderId="14" xfId="0" applyNumberFormat="1" applyFont="1" applyFill="1" applyBorder="1" applyAlignment="1">
      <alignment horizontal="center"/>
    </xf>
    <xf numFmtId="3" fontId="5" fillId="2" borderId="9" xfId="0" applyNumberFormat="1" applyFont="1" applyFill="1" applyBorder="1" applyAlignment="1">
      <alignment vertical="center" textRotation="90"/>
    </xf>
    <xf numFmtId="3" fontId="25" fillId="25" borderId="24" xfId="0" applyNumberFormat="1" applyFont="1" applyFill="1" applyBorder="1" applyAlignment="1">
      <alignment horizontal="center"/>
    </xf>
    <xf numFmtId="3" fontId="22" fillId="0" borderId="8" xfId="0" applyNumberFormat="1" applyFont="1" applyBorder="1" applyAlignment="1">
      <alignment horizontal="center"/>
    </xf>
    <xf numFmtId="3" fontId="17" fillId="23" borderId="9" xfId="0" applyNumberFormat="1" applyFont="1" applyFill="1" applyBorder="1" applyAlignment="1">
      <alignment horizontal="center"/>
    </xf>
    <xf numFmtId="3" fontId="6" fillId="0" borderId="8" xfId="0" applyNumberFormat="1" applyFont="1" applyBorder="1"/>
    <xf numFmtId="3" fontId="22" fillId="0" borderId="0" xfId="0" quotePrefix="1" applyNumberFormat="1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3" fontId="22" fillId="36" borderId="2" xfId="0" applyNumberFormat="1" applyFont="1" applyFill="1" applyBorder="1" applyAlignment="1">
      <alignment horizontal="center"/>
    </xf>
    <xf numFmtId="165" fontId="17" fillId="0" borderId="7" xfId="0" applyNumberFormat="1" applyFont="1" applyBorder="1" applyAlignment="1">
      <alignment horizontal="center"/>
    </xf>
    <xf numFmtId="0" fontId="5" fillId="36" borderId="34" xfId="0" applyFont="1" applyFill="1" applyBorder="1"/>
    <xf numFmtId="0" fontId="5" fillId="36" borderId="35" xfId="0" applyFont="1" applyFill="1" applyBorder="1" applyAlignment="1">
      <alignment horizontal="center"/>
    </xf>
    <xf numFmtId="0" fontId="5" fillId="36" borderId="36" xfId="0" applyFont="1" applyFill="1" applyBorder="1"/>
    <xf numFmtId="0" fontId="5" fillId="37" borderId="34" xfId="0" applyFont="1" applyFill="1" applyBorder="1"/>
    <xf numFmtId="0" fontId="5" fillId="37" borderId="35" xfId="0" applyFont="1" applyFill="1" applyBorder="1" applyAlignment="1">
      <alignment horizontal="center"/>
    </xf>
    <xf numFmtId="0" fontId="5" fillId="37" borderId="36" xfId="0" applyFont="1" applyFill="1" applyBorder="1"/>
    <xf numFmtId="3" fontId="3" fillId="37" borderId="111" xfId="0" applyNumberFormat="1" applyFont="1" applyFill="1" applyBorder="1"/>
    <xf numFmtId="3" fontId="3" fillId="37" borderId="115" xfId="0" applyNumberFormat="1" applyFont="1" applyFill="1" applyBorder="1"/>
    <xf numFmtId="0" fontId="5" fillId="38" borderId="35" xfId="0" applyFont="1" applyFill="1" applyBorder="1" applyAlignment="1">
      <alignment horizontal="center"/>
    </xf>
    <xf numFmtId="0" fontId="5" fillId="38" borderId="34" xfId="0" applyFont="1" applyFill="1" applyBorder="1"/>
    <xf numFmtId="0" fontId="5" fillId="38" borderId="36" xfId="0" applyFont="1" applyFill="1" applyBorder="1"/>
    <xf numFmtId="0" fontId="5" fillId="39" borderId="34" xfId="0" applyFont="1" applyFill="1" applyBorder="1"/>
    <xf numFmtId="0" fontId="5" fillId="39" borderId="35" xfId="0" applyFont="1" applyFill="1" applyBorder="1" applyAlignment="1">
      <alignment horizontal="center"/>
    </xf>
    <xf numFmtId="0" fontId="5" fillId="39" borderId="36" xfId="0" applyFont="1" applyFill="1" applyBorder="1"/>
    <xf numFmtId="0" fontId="85" fillId="39" borderId="114" xfId="0" applyFont="1" applyFill="1" applyBorder="1" applyAlignment="1">
      <alignment horizontal="left"/>
    </xf>
    <xf numFmtId="3" fontId="9" fillId="39" borderId="111" xfId="0" applyNumberFormat="1" applyFont="1" applyFill="1" applyBorder="1"/>
    <xf numFmtId="3" fontId="3" fillId="39" borderId="111" xfId="0" applyNumberFormat="1" applyFont="1" applyFill="1" applyBorder="1"/>
    <xf numFmtId="0" fontId="85" fillId="38" borderId="114" xfId="0" applyFont="1" applyFill="1" applyBorder="1" applyAlignment="1">
      <alignment horizontal="left"/>
    </xf>
    <xf numFmtId="3" fontId="9" fillId="38" borderId="111" xfId="0" applyNumberFormat="1" applyFont="1" applyFill="1" applyBorder="1"/>
    <xf numFmtId="3" fontId="3" fillId="38" borderId="111" xfId="0" applyNumberFormat="1" applyFont="1" applyFill="1" applyBorder="1"/>
    <xf numFmtId="3" fontId="3" fillId="38" borderId="115" xfId="0" applyNumberFormat="1" applyFont="1" applyFill="1" applyBorder="1"/>
    <xf numFmtId="0" fontId="85" fillId="36" borderId="114" xfId="0" applyFont="1" applyFill="1" applyBorder="1" applyAlignment="1">
      <alignment horizontal="left"/>
    </xf>
    <xf numFmtId="3" fontId="9" fillId="36" borderId="111" xfId="0" applyNumberFormat="1" applyFont="1" applyFill="1" applyBorder="1"/>
    <xf numFmtId="3" fontId="3" fillId="36" borderId="111" xfId="0" applyNumberFormat="1" applyFont="1" applyFill="1" applyBorder="1" applyAlignment="1">
      <alignment horizontal="center"/>
    </xf>
    <xf numFmtId="3" fontId="3" fillId="36" borderId="115" xfId="0" applyNumberFormat="1" applyFont="1" applyFill="1" applyBorder="1"/>
    <xf numFmtId="0" fontId="2" fillId="36" borderId="1" xfId="0" applyFont="1" applyFill="1" applyBorder="1" applyAlignment="1">
      <alignment horizontal="center"/>
    </xf>
    <xf numFmtId="0" fontId="2" fillId="38" borderId="1" xfId="0" applyFont="1" applyFill="1" applyBorder="1" applyAlignment="1">
      <alignment horizontal="center"/>
    </xf>
    <xf numFmtId="0" fontId="2" fillId="39" borderId="1" xfId="0" applyFont="1" applyFill="1" applyBorder="1" applyAlignment="1">
      <alignment horizontal="center"/>
    </xf>
    <xf numFmtId="0" fontId="2" fillId="37" borderId="1" xfId="0" applyFont="1" applyFill="1" applyBorder="1" applyAlignment="1">
      <alignment horizontal="center"/>
    </xf>
    <xf numFmtId="20" fontId="9" fillId="33" borderId="54" xfId="0" applyNumberFormat="1" applyFont="1" applyFill="1" applyBorder="1"/>
    <xf numFmtId="20" fontId="9" fillId="33" borderId="0" xfId="0" applyNumberFormat="1" applyFont="1" applyFill="1"/>
    <xf numFmtId="20" fontId="3" fillId="33" borderId="54" xfId="0" applyNumberFormat="1" applyFont="1" applyFill="1" applyBorder="1"/>
    <xf numFmtId="20" fontId="3" fillId="33" borderId="0" xfId="0" applyNumberFormat="1" applyFont="1" applyFill="1"/>
    <xf numFmtId="20" fontId="3" fillId="33" borderId="58" xfId="0" applyNumberFormat="1" applyFont="1" applyFill="1" applyBorder="1"/>
    <xf numFmtId="20" fontId="3" fillId="33" borderId="9" xfId="0" applyNumberFormat="1" applyFont="1" applyFill="1" applyBorder="1"/>
    <xf numFmtId="20" fontId="35" fillId="0" borderId="3" xfId="0" applyNumberFormat="1" applyFont="1" applyBorder="1" applyAlignment="1">
      <alignment horizontal="left" vertical="center"/>
    </xf>
    <xf numFmtId="3" fontId="6" fillId="0" borderId="32" xfId="0" applyNumberFormat="1" applyFont="1" applyBorder="1" applyAlignment="1">
      <alignment horizontal="right"/>
    </xf>
    <xf numFmtId="0" fontId="3" fillId="33" borderId="1" xfId="0" applyFont="1" applyFill="1" applyBorder="1" applyAlignment="1">
      <alignment horizontal="center"/>
    </xf>
    <xf numFmtId="9" fontId="3" fillId="33" borderId="1" xfId="1" applyFont="1" applyFill="1" applyBorder="1" applyAlignment="1">
      <alignment horizontal="center"/>
    </xf>
    <xf numFmtId="0" fontId="1" fillId="33" borderId="1" xfId="0" applyFont="1" applyFill="1" applyBorder="1" applyAlignment="1">
      <alignment horizontal="center"/>
    </xf>
    <xf numFmtId="0" fontId="3" fillId="33" borderId="12" xfId="0" applyFont="1" applyFill="1" applyBorder="1" applyAlignment="1">
      <alignment horizontal="center"/>
    </xf>
    <xf numFmtId="3" fontId="46" fillId="33" borderId="112" xfId="0" applyNumberFormat="1" applyFont="1" applyFill="1" applyBorder="1" applyAlignment="1">
      <alignment horizontal="center" vertical="center"/>
    </xf>
    <xf numFmtId="165" fontId="44" fillId="33" borderId="112" xfId="0" applyNumberFormat="1" applyFont="1" applyFill="1" applyBorder="1" applyAlignment="1">
      <alignment horizontal="center" vertical="center"/>
    </xf>
    <xf numFmtId="3" fontId="71" fillId="33" borderId="112" xfId="0" applyNumberFormat="1" applyFont="1" applyFill="1" applyBorder="1" applyAlignment="1">
      <alignment horizontal="center" vertical="center"/>
    </xf>
    <xf numFmtId="0" fontId="3" fillId="33" borderId="24" xfId="0" applyFont="1" applyFill="1" applyBorder="1" applyAlignment="1">
      <alignment horizontal="center"/>
    </xf>
    <xf numFmtId="3" fontId="46" fillId="33" borderId="123" xfId="0" applyNumberFormat="1" applyFont="1" applyFill="1" applyBorder="1" applyAlignment="1">
      <alignment horizontal="center"/>
    </xf>
    <xf numFmtId="165" fontId="44" fillId="33" borderId="123" xfId="0" applyNumberFormat="1" applyFont="1" applyFill="1" applyBorder="1" applyAlignment="1">
      <alignment horizontal="center" vertical="center"/>
    </xf>
    <xf numFmtId="3" fontId="71" fillId="33" borderId="123" xfId="0" applyNumberFormat="1" applyFont="1" applyFill="1" applyBorder="1" applyAlignment="1">
      <alignment horizontal="center"/>
    </xf>
    <xf numFmtId="3" fontId="25" fillId="33" borderId="1" xfId="0" applyNumberFormat="1" applyFont="1" applyFill="1" applyBorder="1" applyAlignment="1">
      <alignment horizontal="center"/>
    </xf>
    <xf numFmtId="165" fontId="3" fillId="33" borderId="77" xfId="0" applyNumberFormat="1" applyFont="1" applyFill="1" applyBorder="1" applyAlignment="1">
      <alignment horizontal="center" vertical="center"/>
    </xf>
    <xf numFmtId="165" fontId="3" fillId="33" borderId="78" xfId="0" applyNumberFormat="1" applyFont="1" applyFill="1" applyBorder="1" applyAlignment="1">
      <alignment horizontal="center" vertical="center"/>
    </xf>
    <xf numFmtId="165" fontId="3" fillId="33" borderId="122" xfId="0" applyNumberFormat="1" applyFont="1" applyFill="1" applyBorder="1" applyAlignment="1">
      <alignment horizontal="center" vertical="center"/>
    </xf>
    <xf numFmtId="0" fontId="3" fillId="33" borderId="125" xfId="0" applyFont="1" applyFill="1" applyBorder="1" applyAlignment="1">
      <alignment horizontal="center"/>
    </xf>
    <xf numFmtId="9" fontId="9" fillId="33" borderId="1" xfId="1" applyFont="1" applyFill="1" applyBorder="1" applyAlignment="1">
      <alignment horizontal="center"/>
    </xf>
    <xf numFmtId="20" fontId="25" fillId="33" borderId="1" xfId="0" applyNumberFormat="1" applyFont="1" applyFill="1" applyBorder="1" applyAlignment="1">
      <alignment horizontal="center"/>
    </xf>
    <xf numFmtId="20" fontId="35" fillId="33" borderId="1" xfId="0" applyNumberFormat="1" applyFont="1" applyFill="1" applyBorder="1" applyAlignment="1">
      <alignment horizontal="right"/>
    </xf>
    <xf numFmtId="166" fontId="9" fillId="33" borderId="1" xfId="1" applyNumberFormat="1" applyFont="1" applyFill="1" applyBorder="1"/>
    <xf numFmtId="0" fontId="3" fillId="33" borderId="1" xfId="0" applyFont="1" applyFill="1" applyBorder="1"/>
    <xf numFmtId="9" fontId="25" fillId="33" borderId="100" xfId="1" applyFont="1" applyFill="1" applyBorder="1"/>
    <xf numFmtId="3" fontId="25" fillId="33" borderId="1" xfId="0" applyNumberFormat="1" applyFont="1" applyFill="1" applyBorder="1"/>
    <xf numFmtId="3" fontId="5" fillId="33" borderId="87" xfId="0" applyNumberFormat="1" applyFont="1" applyFill="1" applyBorder="1" applyAlignment="1">
      <alignment horizontal="center"/>
    </xf>
    <xf numFmtId="3" fontId="104" fillId="0" borderId="14" xfId="0" applyNumberFormat="1" applyFont="1" applyBorder="1" applyAlignment="1">
      <alignment horizontal="center"/>
    </xf>
    <xf numFmtId="3" fontId="104" fillId="0" borderId="24" xfId="0" applyNumberFormat="1" applyFont="1" applyBorder="1" applyAlignment="1">
      <alignment horizontal="center"/>
    </xf>
    <xf numFmtId="3" fontId="104" fillId="0" borderId="10" xfId="0" applyNumberFormat="1" applyFont="1" applyBorder="1" applyAlignment="1">
      <alignment horizontal="center"/>
    </xf>
    <xf numFmtId="3" fontId="104" fillId="0" borderId="1" xfId="0" applyNumberFormat="1" applyFont="1" applyBorder="1" applyAlignment="1">
      <alignment horizontal="center"/>
    </xf>
    <xf numFmtId="9" fontId="55" fillId="0" borderId="1" xfId="1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6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7" fillId="0" borderId="0" xfId="0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7" fillId="0" borderId="8" xfId="0" applyFont="1" applyBorder="1" applyAlignment="1">
      <alignment horizontal="center"/>
    </xf>
    <xf numFmtId="4" fontId="29" fillId="12" borderId="10" xfId="0" applyNumberFormat="1" applyFont="1" applyFill="1" applyBorder="1" applyAlignment="1">
      <alignment horizontal="center"/>
    </xf>
    <xf numFmtId="0" fontId="15" fillId="12" borderId="1" xfId="0" applyFont="1" applyFill="1" applyBorder="1" applyAlignment="1">
      <alignment horizontal="center" vertical="center"/>
    </xf>
    <xf numFmtId="0" fontId="15" fillId="19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108" fillId="0" borderId="1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/>
    </xf>
    <xf numFmtId="0" fontId="34" fillId="0" borderId="12" xfId="0" applyFont="1" applyBorder="1" applyAlignment="1">
      <alignment vertical="center"/>
    </xf>
    <xf numFmtId="0" fontId="34" fillId="0" borderId="13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27" borderId="1" xfId="0" applyFont="1" applyFill="1" applyBorder="1" applyAlignment="1">
      <alignment horizontal="center" vertical="center"/>
    </xf>
    <xf numFmtId="0" fontId="34" fillId="0" borderId="11" xfId="0" applyFont="1" applyBorder="1" applyAlignment="1">
      <alignment vertical="center"/>
    </xf>
    <xf numFmtId="0" fontId="9" fillId="24" borderId="11" xfId="0" applyFont="1" applyFill="1" applyBorder="1"/>
    <xf numFmtId="2" fontId="19" fillId="0" borderId="0" xfId="0" applyNumberFormat="1" applyFont="1" applyAlignment="1">
      <alignment horizontal="center"/>
    </xf>
    <xf numFmtId="2" fontId="109" fillId="0" borderId="0" xfId="1" applyNumberFormat="1" applyFont="1" applyAlignment="1">
      <alignment horizontal="center"/>
    </xf>
    <xf numFmtId="9" fontId="88" fillId="0" borderId="13" xfId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right" vertical="center"/>
    </xf>
    <xf numFmtId="0" fontId="75" fillId="0" borderId="1" xfId="0" applyFont="1" applyBorder="1" applyAlignment="1">
      <alignment horizontal="center" vertical="center"/>
    </xf>
    <xf numFmtId="0" fontId="76" fillId="0" borderId="1" xfId="0" applyFont="1" applyBorder="1" applyAlignment="1">
      <alignment horizontal="center" vertical="center"/>
    </xf>
    <xf numFmtId="0" fontId="66" fillId="0" borderId="1" xfId="0" applyFont="1" applyBorder="1" applyAlignment="1">
      <alignment horizontal="center" vertical="center"/>
    </xf>
    <xf numFmtId="3" fontId="1" fillId="33" borderId="1" xfId="0" applyNumberFormat="1" applyFont="1" applyFill="1" applyBorder="1" applyAlignment="1">
      <alignment horizontal="center"/>
    </xf>
    <xf numFmtId="0" fontId="10" fillId="0" borderId="13" xfId="0" applyFont="1" applyBorder="1" applyAlignment="1">
      <alignment horizontal="center"/>
    </xf>
    <xf numFmtId="3" fontId="9" fillId="0" borderId="13" xfId="0" applyNumberFormat="1" applyFont="1" applyBorder="1" applyAlignment="1">
      <alignment horizontal="center"/>
    </xf>
    <xf numFmtId="0" fontId="45" fillId="0" borderId="128" xfId="0" applyFont="1" applyBorder="1" applyAlignment="1">
      <alignment horizontal="center"/>
    </xf>
    <xf numFmtId="3" fontId="33" fillId="0" borderId="123" xfId="0" applyNumberFormat="1" applyFont="1" applyBorder="1" applyAlignment="1">
      <alignment horizontal="center"/>
    </xf>
    <xf numFmtId="3" fontId="33" fillId="0" borderId="129" xfId="0" applyNumberFormat="1" applyFont="1" applyBorder="1" applyAlignment="1">
      <alignment horizontal="center"/>
    </xf>
    <xf numFmtId="4" fontId="29" fillId="12" borderId="13" xfId="0" applyNumberFormat="1" applyFont="1" applyFill="1" applyBorder="1" applyAlignment="1">
      <alignment horizontal="center"/>
    </xf>
    <xf numFmtId="4" fontId="46" fillId="12" borderId="123" xfId="0" applyNumberFormat="1" applyFont="1" applyFill="1" applyBorder="1" applyAlignment="1">
      <alignment horizontal="center"/>
    </xf>
    <xf numFmtId="4" fontId="46" fillId="12" borderId="129" xfId="0" applyNumberFormat="1" applyFont="1" applyFill="1" applyBorder="1" applyAlignment="1">
      <alignment horizontal="center"/>
    </xf>
    <xf numFmtId="3" fontId="9" fillId="12" borderId="13" xfId="0" applyNumberFormat="1" applyFont="1" applyFill="1" applyBorder="1" applyAlignment="1">
      <alignment horizontal="center"/>
    </xf>
    <xf numFmtId="3" fontId="43" fillId="12" borderId="123" xfId="0" applyNumberFormat="1" applyFont="1" applyFill="1" applyBorder="1" applyAlignment="1">
      <alignment horizontal="center"/>
    </xf>
    <xf numFmtId="3" fontId="43" fillId="12" borderId="129" xfId="0" applyNumberFormat="1" applyFont="1" applyFill="1" applyBorder="1" applyAlignment="1">
      <alignment horizontal="center"/>
    </xf>
    <xf numFmtId="167" fontId="9" fillId="0" borderId="13" xfId="0" applyNumberFormat="1" applyFont="1" applyBorder="1" applyAlignment="1">
      <alignment horizontal="center"/>
    </xf>
    <xf numFmtId="167" fontId="43" fillId="0" borderId="123" xfId="0" applyNumberFormat="1" applyFont="1" applyBorder="1" applyAlignment="1">
      <alignment horizontal="center"/>
    </xf>
    <xf numFmtId="167" fontId="43" fillId="0" borderId="129" xfId="0" applyNumberFormat="1" applyFont="1" applyBorder="1" applyAlignment="1">
      <alignment horizontal="center"/>
    </xf>
    <xf numFmtId="167" fontId="43" fillId="0" borderId="130" xfId="0" applyNumberFormat="1" applyFont="1" applyBorder="1" applyAlignment="1">
      <alignment horizontal="center"/>
    </xf>
    <xf numFmtId="9" fontId="111" fillId="0" borderId="123" xfId="1" applyFont="1" applyBorder="1" applyAlignment="1">
      <alignment horizontal="center"/>
    </xf>
    <xf numFmtId="9" fontId="111" fillId="0" borderId="129" xfId="1" applyFont="1" applyBorder="1" applyAlignment="1">
      <alignment horizontal="center"/>
    </xf>
    <xf numFmtId="0" fontId="110" fillId="0" borderId="128" xfId="0" applyFont="1" applyBorder="1" applyAlignment="1">
      <alignment horizontal="center"/>
    </xf>
    <xf numFmtId="9" fontId="112" fillId="0" borderId="13" xfId="1" applyFont="1" applyBorder="1" applyAlignment="1">
      <alignment horizontal="center"/>
    </xf>
    <xf numFmtId="9" fontId="112" fillId="0" borderId="1" xfId="1" applyFont="1" applyBorder="1" applyAlignment="1">
      <alignment horizontal="center"/>
    </xf>
    <xf numFmtId="9" fontId="112" fillId="0" borderId="1" xfId="1" applyFont="1" applyFill="1" applyBorder="1" applyAlignment="1">
      <alignment horizontal="center"/>
    </xf>
    <xf numFmtId="166" fontId="9" fillId="33" borderId="1" xfId="1" applyNumberFormat="1" applyFont="1" applyFill="1" applyBorder="1" applyAlignment="1">
      <alignment horizontal="center"/>
    </xf>
    <xf numFmtId="4" fontId="3" fillId="5" borderId="0" xfId="0" applyNumberFormat="1" applyFont="1" applyFill="1" applyAlignment="1">
      <alignment horizontal="center"/>
    </xf>
    <xf numFmtId="2" fontId="9" fillId="0" borderId="3" xfId="0" applyNumberFormat="1" applyFont="1" applyBorder="1" applyAlignment="1">
      <alignment horizontal="center"/>
    </xf>
    <xf numFmtId="2" fontId="9" fillId="0" borderId="3" xfId="0" applyNumberFormat="1" applyFont="1" applyBorder="1"/>
    <xf numFmtId="2" fontId="9" fillId="0" borderId="4" xfId="0" applyNumberFormat="1" applyFont="1" applyBorder="1"/>
    <xf numFmtId="2" fontId="22" fillId="0" borderId="2" xfId="0" applyNumberFormat="1" applyFont="1" applyBorder="1"/>
    <xf numFmtId="2" fontId="33" fillId="0" borderId="14" xfId="0" applyNumberFormat="1" applyFont="1" applyBorder="1" applyAlignment="1">
      <alignment horizontal="center"/>
    </xf>
    <xf numFmtId="2" fontId="9" fillId="0" borderId="5" xfId="0" applyNumberFormat="1" applyFont="1" applyBorder="1" applyAlignment="1">
      <alignment horizontal="center"/>
    </xf>
    <xf numFmtId="2" fontId="9" fillId="0" borderId="0" xfId="0" applyNumberFormat="1" applyFont="1"/>
    <xf numFmtId="2" fontId="9" fillId="0" borderId="6" xfId="0" applyNumberFormat="1" applyFont="1" applyBorder="1"/>
    <xf numFmtId="2" fontId="9" fillId="0" borderId="6" xfId="0" applyNumberFormat="1" applyFont="1" applyBorder="1" applyAlignment="1">
      <alignment horizontal="center"/>
    </xf>
    <xf numFmtId="2" fontId="22" fillId="0" borderId="5" xfId="0" applyNumberFormat="1" applyFont="1" applyBorder="1"/>
    <xf numFmtId="2" fontId="9" fillId="0" borderId="8" xfId="0" applyNumberFormat="1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2" fontId="9" fillId="0" borderId="8" xfId="0" applyNumberFormat="1" applyFont="1" applyBorder="1"/>
    <xf numFmtId="2" fontId="9" fillId="0" borderId="9" xfId="0" applyNumberFormat="1" applyFont="1" applyBorder="1"/>
    <xf numFmtId="2" fontId="9" fillId="0" borderId="9" xfId="0" applyNumberFormat="1" applyFont="1" applyBorder="1" applyAlignment="1">
      <alignment horizontal="center"/>
    </xf>
    <xf numFmtId="2" fontId="22" fillId="0" borderId="7" xfId="0" applyNumberFormat="1" applyFont="1" applyBorder="1"/>
    <xf numFmtId="2" fontId="22" fillId="0" borderId="14" xfId="0" applyNumberFormat="1" applyFont="1" applyBorder="1"/>
    <xf numFmtId="2" fontId="22" fillId="0" borderId="24" xfId="0" applyNumberFormat="1" applyFont="1" applyBorder="1"/>
    <xf numFmtId="2" fontId="22" fillId="0" borderId="10" xfId="0" applyNumberFormat="1" applyFont="1" applyBorder="1"/>
    <xf numFmtId="2" fontId="33" fillId="0" borderId="1" xfId="0" applyNumberFormat="1" applyFont="1" applyBorder="1" applyAlignment="1">
      <alignment horizontal="center"/>
    </xf>
    <xf numFmtId="3" fontId="81" fillId="5" borderId="2" xfId="0" applyNumberFormat="1" applyFont="1" applyFill="1" applyBorder="1"/>
    <xf numFmtId="0" fontId="9" fillId="5" borderId="0" xfId="0" applyFont="1" applyFill="1"/>
    <xf numFmtId="0" fontId="9" fillId="5" borderId="0" xfId="0" applyFont="1" applyFill="1" applyAlignment="1">
      <alignment horizontal="center"/>
    </xf>
    <xf numFmtId="3" fontId="3" fillId="39" borderId="115" xfId="0" applyNumberFormat="1" applyFont="1" applyFill="1" applyBorder="1" applyAlignment="1">
      <alignment horizontal="center"/>
    </xf>
    <xf numFmtId="2" fontId="22" fillId="5" borderId="14" xfId="0" applyNumberFormat="1" applyFont="1" applyFill="1" applyBorder="1" applyAlignment="1">
      <alignment horizontal="right"/>
    </xf>
    <xf numFmtId="2" fontId="22" fillId="5" borderId="24" xfId="0" applyNumberFormat="1" applyFont="1" applyFill="1" applyBorder="1" applyAlignment="1">
      <alignment horizontal="right"/>
    </xf>
    <xf numFmtId="2" fontId="22" fillId="5" borderId="10" xfId="0" applyNumberFormat="1" applyFont="1" applyFill="1" applyBorder="1" applyAlignment="1">
      <alignment horizontal="right"/>
    </xf>
    <xf numFmtId="3" fontId="22" fillId="5" borderId="14" xfId="0" applyNumberFormat="1" applyFont="1" applyFill="1" applyBorder="1" applyAlignment="1">
      <alignment horizontal="right"/>
    </xf>
    <xf numFmtId="3" fontId="22" fillId="5" borderId="10" xfId="0" quotePrefix="1" applyNumberFormat="1" applyFont="1" applyFill="1" applyBorder="1" applyAlignment="1">
      <alignment horizontal="center" vertical="center" wrapText="1"/>
    </xf>
    <xf numFmtId="4" fontId="3" fillId="5" borderId="5" xfId="0" applyNumberFormat="1" applyFont="1" applyFill="1" applyBorder="1" applyAlignment="1">
      <alignment horizontal="center"/>
    </xf>
    <xf numFmtId="0" fontId="85" fillId="37" borderId="20" xfId="0" applyFont="1" applyFill="1" applyBorder="1" applyAlignment="1">
      <alignment horizontal="left"/>
    </xf>
    <xf numFmtId="3" fontId="3" fillId="37" borderId="25" xfId="0" applyNumberFormat="1" applyFont="1" applyFill="1" applyBorder="1"/>
    <xf numFmtId="4" fontId="3" fillId="5" borderId="6" xfId="0" applyNumberFormat="1" applyFont="1" applyFill="1" applyBorder="1" applyAlignment="1">
      <alignment horizontal="center"/>
    </xf>
    <xf numFmtId="168" fontId="33" fillId="0" borderId="5" xfId="0" applyNumberFormat="1" applyFont="1" applyBorder="1" applyAlignment="1">
      <alignment horizontal="center"/>
    </xf>
    <xf numFmtId="2" fontId="31" fillId="0" borderId="14" xfId="0" applyNumberFormat="1" applyFont="1" applyBorder="1"/>
    <xf numFmtId="2" fontId="31" fillId="0" borderId="24" xfId="0" applyNumberFormat="1" applyFont="1" applyBorder="1"/>
    <xf numFmtId="2" fontId="31" fillId="0" borderId="10" xfId="0" applyNumberFormat="1" applyFont="1" applyBorder="1"/>
    <xf numFmtId="2" fontId="9" fillId="0" borderId="0" xfId="0" applyNumberFormat="1" applyFont="1" applyAlignment="1">
      <alignment horizontal="center" vertical="center" wrapText="1"/>
    </xf>
    <xf numFmtId="2" fontId="22" fillId="0" borderId="2" xfId="0" quotePrefix="1" applyNumberFormat="1" applyFont="1" applyBorder="1" applyAlignment="1">
      <alignment horizontal="left"/>
    </xf>
    <xf numFmtId="2" fontId="9" fillId="0" borderId="5" xfId="0" applyNumberFormat="1" applyFont="1" applyBorder="1" applyAlignment="1">
      <alignment horizontal="center" vertical="center" wrapText="1"/>
    </xf>
    <xf numFmtId="2" fontId="9" fillId="0" borderId="6" xfId="0" applyNumberFormat="1" applyFont="1" applyBorder="1" applyAlignment="1">
      <alignment horizontal="center" vertical="center" wrapText="1"/>
    </xf>
    <xf numFmtId="2" fontId="33" fillId="0" borderId="24" xfId="0" applyNumberFormat="1" applyFont="1" applyBorder="1" applyAlignment="1">
      <alignment horizontal="center"/>
    </xf>
    <xf numFmtId="3" fontId="9" fillId="37" borderId="25" xfId="0" applyNumberFormat="1" applyFont="1" applyFill="1" applyBorder="1" applyAlignment="1">
      <alignment horizontal="center"/>
    </xf>
    <xf numFmtId="0" fontId="22" fillId="40" borderId="0" xfId="0" applyFont="1" applyFill="1" applyAlignment="1">
      <alignment horizontal="center"/>
    </xf>
    <xf numFmtId="4" fontId="5" fillId="40" borderId="2" xfId="0" applyNumberFormat="1" applyFont="1" applyFill="1" applyBorder="1" applyAlignment="1">
      <alignment horizontal="center"/>
    </xf>
    <xf numFmtId="4" fontId="5" fillId="40" borderId="3" xfId="0" applyNumberFormat="1" applyFont="1" applyFill="1" applyBorder="1" applyAlignment="1">
      <alignment horizontal="center"/>
    </xf>
    <xf numFmtId="4" fontId="5" fillId="40" borderId="4" xfId="0" applyNumberFormat="1" applyFont="1" applyFill="1" applyBorder="1" applyAlignment="1">
      <alignment horizontal="center"/>
    </xf>
    <xf numFmtId="0" fontId="9" fillId="35" borderId="0" xfId="0" applyFont="1" applyFill="1" applyAlignment="1">
      <alignment horizontal="center"/>
    </xf>
    <xf numFmtId="0" fontId="9" fillId="35" borderId="8" xfId="0" applyFont="1" applyFill="1" applyBorder="1" applyAlignment="1">
      <alignment horizontal="center"/>
    </xf>
    <xf numFmtId="0" fontId="22" fillId="35" borderId="0" xfId="0" applyFont="1" applyFill="1" applyAlignment="1">
      <alignment horizontal="center"/>
    </xf>
    <xf numFmtId="4" fontId="5" fillId="35" borderId="2" xfId="0" applyNumberFormat="1" applyFont="1" applyFill="1" applyBorder="1" applyAlignment="1">
      <alignment horizontal="center"/>
    </xf>
    <xf numFmtId="4" fontId="5" fillId="35" borderId="3" xfId="0" applyNumberFormat="1" applyFont="1" applyFill="1" applyBorder="1" applyAlignment="1">
      <alignment horizontal="center"/>
    </xf>
    <xf numFmtId="4" fontId="5" fillId="35" borderId="4" xfId="0" applyNumberFormat="1" applyFont="1" applyFill="1" applyBorder="1" applyAlignment="1">
      <alignment horizontal="center"/>
    </xf>
    <xf numFmtId="0" fontId="22" fillId="34" borderId="0" xfId="0" applyFont="1" applyFill="1" applyAlignment="1">
      <alignment horizontal="center"/>
    </xf>
    <xf numFmtId="0" fontId="9" fillId="34" borderId="0" xfId="0" applyFont="1" applyFill="1" applyAlignment="1">
      <alignment horizontal="center"/>
    </xf>
    <xf numFmtId="0" fontId="9" fillId="34" borderId="8" xfId="0" applyFont="1" applyFill="1" applyBorder="1" applyAlignment="1">
      <alignment horizontal="center"/>
    </xf>
    <xf numFmtId="4" fontId="5" fillId="34" borderId="2" xfId="0" applyNumberFormat="1" applyFont="1" applyFill="1" applyBorder="1" applyAlignment="1">
      <alignment horizontal="center"/>
    </xf>
    <xf numFmtId="4" fontId="5" fillId="34" borderId="3" xfId="0" applyNumberFormat="1" applyFont="1" applyFill="1" applyBorder="1" applyAlignment="1">
      <alignment horizontal="center"/>
    </xf>
    <xf numFmtId="4" fontId="5" fillId="34" borderId="4" xfId="0" applyNumberFormat="1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22" fillId="3" borderId="0" xfId="0" applyFont="1" applyFill="1" applyAlignment="1">
      <alignment horizontal="center"/>
    </xf>
    <xf numFmtId="4" fontId="5" fillId="3" borderId="2" xfId="0" applyNumberFormat="1" applyFont="1" applyFill="1" applyBorder="1" applyAlignment="1">
      <alignment horizontal="center"/>
    </xf>
    <xf numFmtId="4" fontId="5" fillId="3" borderId="3" xfId="0" applyNumberFormat="1" applyFont="1" applyFill="1" applyBorder="1" applyAlignment="1">
      <alignment horizontal="center"/>
    </xf>
    <xf numFmtId="4" fontId="5" fillId="3" borderId="4" xfId="0" applyNumberFormat="1" applyFont="1" applyFill="1" applyBorder="1" applyAlignment="1">
      <alignment horizontal="center"/>
    </xf>
    <xf numFmtId="0" fontId="22" fillId="23" borderId="5" xfId="0" applyFont="1" applyFill="1" applyBorder="1" applyAlignment="1">
      <alignment horizontal="left"/>
    </xf>
    <xf numFmtId="3" fontId="17" fillId="23" borderId="5" xfId="0" applyNumberFormat="1" applyFont="1" applyFill="1" applyBorder="1" applyAlignment="1">
      <alignment horizontal="center"/>
    </xf>
    <xf numFmtId="3" fontId="53" fillId="23" borderId="5" xfId="0" applyNumberFormat="1" applyFont="1" applyFill="1" applyBorder="1" applyAlignment="1">
      <alignment horizontal="center"/>
    </xf>
    <xf numFmtId="3" fontId="17" fillId="23" borderId="7" xfId="0" applyNumberFormat="1" applyFont="1" applyFill="1" applyBorder="1" applyAlignment="1">
      <alignment horizontal="center"/>
    </xf>
    <xf numFmtId="0" fontId="20" fillId="23" borderId="5" xfId="0" applyFont="1" applyFill="1" applyBorder="1" applyAlignment="1">
      <alignment horizontal="left"/>
    </xf>
    <xf numFmtId="3" fontId="20" fillId="23" borderId="5" xfId="0" applyNumberFormat="1" applyFont="1" applyFill="1" applyBorder="1" applyAlignment="1">
      <alignment horizontal="center"/>
    </xf>
    <xf numFmtId="3" fontId="5" fillId="23" borderId="5" xfId="0" applyNumberFormat="1" applyFont="1" applyFill="1" applyBorder="1"/>
    <xf numFmtId="3" fontId="3" fillId="23" borderId="5" xfId="0" applyNumberFormat="1" applyFont="1" applyFill="1" applyBorder="1"/>
    <xf numFmtId="3" fontId="3" fillId="23" borderId="7" xfId="0" applyNumberFormat="1" applyFont="1" applyFill="1" applyBorder="1"/>
    <xf numFmtId="3" fontId="58" fillId="23" borderId="5" xfId="0" applyNumberFormat="1" applyFont="1" applyFill="1" applyBorder="1"/>
    <xf numFmtId="0" fontId="62" fillId="23" borderId="5" xfId="0" quotePrefix="1" applyFont="1" applyFill="1" applyBorder="1" applyAlignment="1">
      <alignment horizontal="center"/>
    </xf>
    <xf numFmtId="0" fontId="62" fillId="23" borderId="7" xfId="0" quotePrefix="1" applyFont="1" applyFill="1" applyBorder="1" applyAlignment="1">
      <alignment horizontal="center"/>
    </xf>
    <xf numFmtId="3" fontId="9" fillId="26" borderId="5" xfId="0" applyNumberFormat="1" applyFont="1" applyFill="1" applyBorder="1"/>
    <xf numFmtId="3" fontId="22" fillId="23" borderId="5" xfId="0" applyNumberFormat="1" applyFont="1" applyFill="1" applyBorder="1" applyAlignment="1">
      <alignment horizontal="center"/>
    </xf>
    <xf numFmtId="3" fontId="22" fillId="23" borderId="5" xfId="0" applyNumberFormat="1" applyFont="1" applyFill="1" applyBorder="1"/>
    <xf numFmtId="3" fontId="9" fillId="23" borderId="5" xfId="0" applyNumberFormat="1" applyFont="1" applyFill="1" applyBorder="1"/>
    <xf numFmtId="3" fontId="9" fillId="23" borderId="7" xfId="0" applyNumberFormat="1" applyFont="1" applyFill="1" applyBorder="1"/>
    <xf numFmtId="3" fontId="9" fillId="12" borderId="5" xfId="0" applyNumberFormat="1" applyFont="1" applyFill="1" applyBorder="1"/>
    <xf numFmtId="3" fontId="5" fillId="23" borderId="7" xfId="0" applyNumberFormat="1" applyFont="1" applyFill="1" applyBorder="1"/>
    <xf numFmtId="3" fontId="9" fillId="2" borderId="5" xfId="0" applyNumberFormat="1" applyFont="1" applyFill="1" applyBorder="1"/>
    <xf numFmtId="3" fontId="22" fillId="23" borderId="7" xfId="0" applyNumberFormat="1" applyFont="1" applyFill="1" applyBorder="1" applyAlignment="1">
      <alignment horizontal="center"/>
    </xf>
    <xf numFmtId="3" fontId="20" fillId="25" borderId="6" xfId="0" applyNumberFormat="1" applyFont="1" applyFill="1" applyBorder="1" applyAlignment="1">
      <alignment horizontal="center"/>
    </xf>
    <xf numFmtId="0" fontId="58" fillId="14" borderId="6" xfId="0" applyFont="1" applyFill="1" applyBorder="1" applyAlignment="1">
      <alignment horizontal="center"/>
    </xf>
    <xf numFmtId="3" fontId="22" fillId="3" borderId="6" xfId="0" applyNumberFormat="1" applyFont="1" applyFill="1" applyBorder="1" applyAlignment="1">
      <alignment horizontal="center"/>
    </xf>
    <xf numFmtId="167" fontId="9" fillId="0" borderId="6" xfId="0" applyNumberFormat="1" applyFont="1" applyBorder="1" applyAlignment="1">
      <alignment horizontal="center"/>
    </xf>
    <xf numFmtId="3" fontId="22" fillId="0" borderId="6" xfId="0" applyNumberFormat="1" applyFont="1" applyBorder="1" applyAlignment="1">
      <alignment horizontal="center"/>
    </xf>
    <xf numFmtId="3" fontId="43" fillId="6" borderId="121" xfId="0" applyNumberFormat="1" applyFont="1" applyFill="1" applyBorder="1" applyAlignment="1">
      <alignment horizontal="center"/>
    </xf>
    <xf numFmtId="3" fontId="113" fillId="12" borderId="15" xfId="0" applyNumberFormat="1" applyFont="1" applyFill="1" applyBorder="1" applyAlignment="1">
      <alignment horizontal="center"/>
    </xf>
    <xf numFmtId="3" fontId="43" fillId="0" borderId="121" xfId="0" applyNumberFormat="1" applyFont="1" applyBorder="1" applyAlignment="1">
      <alignment horizontal="center"/>
    </xf>
    <xf numFmtId="3" fontId="33" fillId="0" borderId="121" xfId="0" applyNumberFormat="1" applyFont="1" applyBorder="1" applyAlignment="1">
      <alignment horizontal="center"/>
    </xf>
    <xf numFmtId="3" fontId="113" fillId="23" borderId="121" xfId="0" applyNumberFormat="1" applyFont="1" applyFill="1" applyBorder="1" applyAlignment="1">
      <alignment horizontal="center"/>
    </xf>
    <xf numFmtId="165" fontId="43" fillId="0" borderId="131" xfId="0" applyNumberFormat="1" applyFont="1" applyBorder="1" applyAlignment="1">
      <alignment horizontal="center"/>
    </xf>
    <xf numFmtId="167" fontId="43" fillId="0" borderId="131" xfId="0" applyNumberFormat="1" applyFont="1" applyBorder="1" applyAlignment="1">
      <alignment horizontal="center"/>
    </xf>
    <xf numFmtId="3" fontId="44" fillId="0" borderId="121" xfId="0" applyNumberFormat="1" applyFont="1" applyBorder="1" applyAlignment="1">
      <alignment horizontal="center"/>
    </xf>
    <xf numFmtId="3" fontId="114" fillId="0" borderId="121" xfId="0" applyNumberFormat="1" applyFont="1" applyBorder="1" applyAlignment="1">
      <alignment horizontal="center"/>
    </xf>
    <xf numFmtId="3" fontId="114" fillId="0" borderId="121" xfId="0" applyNumberFormat="1" applyFont="1" applyBorder="1"/>
    <xf numFmtId="3" fontId="44" fillId="0" borderId="121" xfId="0" applyNumberFormat="1" applyFont="1" applyBorder="1"/>
    <xf numFmtId="3" fontId="44" fillId="0" borderId="131" xfId="0" applyNumberFormat="1" applyFont="1" applyBorder="1" applyAlignment="1">
      <alignment horizontal="center"/>
    </xf>
    <xf numFmtId="0" fontId="62" fillId="14" borderId="121" xfId="0" applyFont="1" applyFill="1" applyBorder="1" applyAlignment="1">
      <alignment horizontal="center"/>
    </xf>
    <xf numFmtId="4" fontId="43" fillId="0" borderId="131" xfId="0" applyNumberFormat="1" applyFont="1" applyBorder="1" applyAlignment="1">
      <alignment horizontal="center"/>
    </xf>
    <xf numFmtId="3" fontId="44" fillId="26" borderId="121" xfId="0" applyNumberFormat="1" applyFont="1" applyFill="1" applyBorder="1" applyAlignment="1">
      <alignment horizontal="center"/>
    </xf>
    <xf numFmtId="3" fontId="43" fillId="0" borderId="131" xfId="0" applyNumberFormat="1" applyFont="1" applyBorder="1" applyAlignment="1">
      <alignment horizontal="center"/>
    </xf>
    <xf numFmtId="3" fontId="44" fillId="12" borderId="121" xfId="0" applyNumberFormat="1" applyFont="1" applyFill="1" applyBorder="1" applyAlignment="1">
      <alignment horizontal="center"/>
    </xf>
    <xf numFmtId="3" fontId="33" fillId="0" borderId="121" xfId="0" applyNumberFormat="1" applyFont="1" applyBorder="1"/>
    <xf numFmtId="3" fontId="33" fillId="0" borderId="131" xfId="0" applyNumberFormat="1" applyFont="1" applyBorder="1"/>
    <xf numFmtId="167" fontId="43" fillId="0" borderId="121" xfId="0" applyNumberFormat="1" applyFont="1" applyBorder="1" applyAlignment="1">
      <alignment horizontal="center"/>
    </xf>
    <xf numFmtId="3" fontId="114" fillId="26" borderId="121" xfId="0" applyNumberFormat="1" applyFont="1" applyFill="1" applyBorder="1" applyAlignment="1">
      <alignment horizontal="center"/>
    </xf>
    <xf numFmtId="3" fontId="44" fillId="2" borderId="121" xfId="0" applyNumberFormat="1" applyFont="1" applyFill="1" applyBorder="1" applyAlignment="1">
      <alignment horizontal="center"/>
    </xf>
    <xf numFmtId="3" fontId="43" fillId="0" borderId="16" xfId="0" applyNumberFormat="1" applyFont="1" applyBorder="1" applyAlignment="1">
      <alignment horizontal="center"/>
    </xf>
    <xf numFmtId="3" fontId="44" fillId="0" borderId="6" xfId="0" applyNumberFormat="1" applyFont="1" applyBorder="1" applyAlignment="1">
      <alignment horizontal="center"/>
    </xf>
    <xf numFmtId="0" fontId="20" fillId="30" borderId="5" xfId="0" applyFont="1" applyFill="1" applyBorder="1" applyAlignment="1">
      <alignment horizontal="left"/>
    </xf>
    <xf numFmtId="3" fontId="44" fillId="30" borderId="121" xfId="0" applyNumberFormat="1" applyFont="1" applyFill="1" applyBorder="1" applyAlignment="1">
      <alignment horizontal="center"/>
    </xf>
    <xf numFmtId="3" fontId="3" fillId="30" borderId="6" xfId="0" applyNumberFormat="1" applyFont="1" applyFill="1" applyBorder="1"/>
    <xf numFmtId="3" fontId="3" fillId="30" borderId="5" xfId="0" applyNumberFormat="1" applyFont="1" applyFill="1" applyBorder="1"/>
    <xf numFmtId="3" fontId="3" fillId="30" borderId="24" xfId="0" applyNumberFormat="1" applyFont="1" applyFill="1" applyBorder="1"/>
    <xf numFmtId="3" fontId="3" fillId="26" borderId="6" xfId="0" applyNumberFormat="1" applyFont="1" applyFill="1" applyBorder="1"/>
    <xf numFmtId="3" fontId="3" fillId="26" borderId="0" xfId="0" applyNumberFormat="1" applyFont="1" applyFill="1"/>
    <xf numFmtId="3" fontId="3" fillId="26" borderId="24" xfId="0" applyNumberFormat="1" applyFont="1" applyFill="1" applyBorder="1"/>
    <xf numFmtId="3" fontId="3" fillId="12" borderId="0" xfId="0" applyNumberFormat="1" applyFont="1" applyFill="1"/>
    <xf numFmtId="3" fontId="3" fillId="12" borderId="6" xfId="0" applyNumberFormat="1" applyFont="1" applyFill="1" applyBorder="1"/>
    <xf numFmtId="3" fontId="3" fillId="12" borderId="24" xfId="0" applyNumberFormat="1" applyFont="1" applyFill="1" applyBorder="1"/>
    <xf numFmtId="3" fontId="5" fillId="2" borderId="2" xfId="0" applyNumberFormat="1" applyFont="1" applyFill="1" applyBorder="1"/>
    <xf numFmtId="3" fontId="43" fillId="2" borderId="130" xfId="0" applyNumberFormat="1" applyFont="1" applyFill="1" applyBorder="1"/>
    <xf numFmtId="3" fontId="9" fillId="2" borderId="4" xfId="0" applyNumberFormat="1" applyFont="1" applyFill="1" applyBorder="1"/>
    <xf numFmtId="3" fontId="9" fillId="2" borderId="3" xfId="0" applyNumberFormat="1" applyFont="1" applyFill="1" applyBorder="1"/>
    <xf numFmtId="3" fontId="9" fillId="2" borderId="14" xfId="0" applyNumberFormat="1" applyFont="1" applyFill="1" applyBorder="1"/>
    <xf numFmtId="3" fontId="17" fillId="2" borderId="14" xfId="0" applyNumberFormat="1" applyFont="1" applyFill="1" applyBorder="1" applyAlignment="1">
      <alignment horizontal="center"/>
    </xf>
    <xf numFmtId="3" fontId="9" fillId="2" borderId="2" xfId="0" applyNumberFormat="1" applyFont="1" applyFill="1" applyBorder="1"/>
    <xf numFmtId="0" fontId="68" fillId="0" borderId="98" xfId="0" applyFont="1" applyBorder="1" applyAlignment="1">
      <alignment horizontal="left"/>
    </xf>
    <xf numFmtId="3" fontId="60" fillId="0" borderId="9" xfId="0" applyNumberFormat="1" applyFont="1" applyBorder="1"/>
    <xf numFmtId="3" fontId="53" fillId="12" borderId="24" xfId="0" applyNumberFormat="1" applyFont="1" applyFill="1" applyBorder="1" applyAlignment="1">
      <alignment horizontal="center"/>
    </xf>
    <xf numFmtId="0" fontId="22" fillId="12" borderId="5" xfId="0" applyFont="1" applyFill="1" applyBorder="1" applyAlignment="1">
      <alignment horizontal="left"/>
    </xf>
    <xf numFmtId="0" fontId="22" fillId="12" borderId="24" xfId="0" applyFont="1" applyFill="1" applyBorder="1" applyAlignment="1">
      <alignment horizontal="left"/>
    </xf>
    <xf numFmtId="3" fontId="10" fillId="0" borderId="7" xfId="0" applyNumberFormat="1" applyFont="1" applyBorder="1" applyAlignment="1">
      <alignment horizontal="center"/>
    </xf>
    <xf numFmtId="3" fontId="17" fillId="23" borderId="38" xfId="0" applyNumberFormat="1" applyFont="1" applyFill="1" applyBorder="1" applyAlignment="1">
      <alignment horizontal="center"/>
    </xf>
    <xf numFmtId="3" fontId="5" fillId="12" borderId="0" xfId="0" applyNumberFormat="1" applyFont="1" applyFill="1" applyAlignment="1">
      <alignment horizontal="center"/>
    </xf>
    <xf numFmtId="0" fontId="22" fillId="3" borderId="0" xfId="0" quotePrefix="1" applyFont="1" applyFill="1" applyAlignment="1">
      <alignment horizontal="center"/>
    </xf>
    <xf numFmtId="3" fontId="3" fillId="33" borderId="0" xfId="0" applyNumberFormat="1" applyFont="1" applyFill="1" applyAlignment="1">
      <alignment horizontal="center"/>
    </xf>
    <xf numFmtId="3" fontId="5" fillId="12" borderId="0" xfId="0" quotePrefix="1" applyNumberFormat="1" applyFont="1" applyFill="1" applyAlignment="1">
      <alignment horizontal="center"/>
    </xf>
    <xf numFmtId="0" fontId="3" fillId="37" borderId="55" xfId="0" applyFont="1" applyFill="1" applyBorder="1"/>
    <xf numFmtId="0" fontId="3" fillId="37" borderId="54" xfId="0" applyFont="1" applyFill="1" applyBorder="1"/>
    <xf numFmtId="0" fontId="3" fillId="36" borderId="58" xfId="0" applyFont="1" applyFill="1" applyBorder="1"/>
    <xf numFmtId="0" fontId="3" fillId="36" borderId="59" xfId="0" applyFont="1" applyFill="1" applyBorder="1"/>
    <xf numFmtId="0" fontId="81" fillId="0" borderId="54" xfId="0" applyFont="1" applyBorder="1"/>
    <xf numFmtId="167" fontId="17" fillId="6" borderId="1" xfId="0" applyNumberFormat="1" applyFont="1" applyFill="1" applyBorder="1" applyAlignment="1">
      <alignment horizontal="center"/>
    </xf>
    <xf numFmtId="167" fontId="17" fillId="6" borderId="11" xfId="0" applyNumberFormat="1" applyFont="1" applyFill="1" applyBorder="1" applyAlignment="1">
      <alignment horizontal="center"/>
    </xf>
    <xf numFmtId="167" fontId="17" fillId="6" borderId="13" xfId="0" applyNumberFormat="1" applyFont="1" applyFill="1" applyBorder="1" applyAlignment="1">
      <alignment horizontal="center"/>
    </xf>
    <xf numFmtId="3" fontId="33" fillId="37" borderId="1" xfId="0" applyNumberFormat="1" applyFont="1" applyFill="1" applyBorder="1" applyAlignment="1">
      <alignment horizontal="center"/>
    </xf>
    <xf numFmtId="0" fontId="1" fillId="37" borderId="1" xfId="0" applyFont="1" applyFill="1" applyBorder="1" applyAlignment="1">
      <alignment horizontal="center"/>
    </xf>
    <xf numFmtId="3" fontId="33" fillId="36" borderId="1" xfId="0" applyNumberFormat="1" applyFont="1" applyFill="1" applyBorder="1" applyAlignment="1">
      <alignment horizontal="center"/>
    </xf>
    <xf numFmtId="0" fontId="1" fillId="36" borderId="1" xfId="0" applyFont="1" applyFill="1" applyBorder="1" applyAlignment="1">
      <alignment horizontal="center"/>
    </xf>
    <xf numFmtId="3" fontId="33" fillId="38" borderId="1" xfId="0" applyNumberFormat="1" applyFont="1" applyFill="1" applyBorder="1" applyAlignment="1">
      <alignment horizontal="center"/>
    </xf>
    <xf numFmtId="0" fontId="1" fillId="38" borderId="1" xfId="0" applyFont="1" applyFill="1" applyBorder="1" applyAlignment="1">
      <alignment horizontal="center"/>
    </xf>
    <xf numFmtId="3" fontId="33" fillId="39" borderId="1" xfId="0" applyNumberFormat="1" applyFont="1" applyFill="1" applyBorder="1" applyAlignment="1">
      <alignment horizontal="center"/>
    </xf>
    <xf numFmtId="0" fontId="1" fillId="39" borderId="1" xfId="0" applyFont="1" applyFill="1" applyBorder="1" applyAlignment="1">
      <alignment horizontal="center"/>
    </xf>
    <xf numFmtId="2" fontId="22" fillId="0" borderId="3" xfId="0" quotePrefix="1" applyNumberFormat="1" applyFont="1" applyBorder="1" applyAlignment="1">
      <alignment horizontal="left"/>
    </xf>
    <xf numFmtId="0" fontId="22" fillId="0" borderId="2" xfId="0" applyFont="1" applyBorder="1" applyAlignment="1">
      <alignment horizontal="center" wrapText="1"/>
    </xf>
    <xf numFmtId="0" fontId="22" fillId="0" borderId="4" xfId="0" quotePrefix="1" applyFont="1" applyBorder="1" applyAlignment="1">
      <alignment horizontal="center" wrapText="1"/>
    </xf>
    <xf numFmtId="0" fontId="22" fillId="0" borderId="14" xfId="0" quotePrefix="1" applyFont="1" applyBorder="1" applyAlignment="1">
      <alignment horizontal="center" wrapText="1"/>
    </xf>
    <xf numFmtId="0" fontId="22" fillId="0" borderId="2" xfId="0" applyFont="1" applyBorder="1" applyAlignment="1">
      <alignment wrapText="1"/>
    </xf>
    <xf numFmtId="0" fontId="22" fillId="0" borderId="4" xfId="0" quotePrefix="1" applyFont="1" applyBorder="1" applyAlignment="1">
      <alignment wrapText="1"/>
    </xf>
    <xf numFmtId="0" fontId="22" fillId="0" borderId="14" xfId="0" quotePrefix="1" applyFont="1" applyBorder="1" applyAlignment="1">
      <alignment wrapText="1"/>
    </xf>
    <xf numFmtId="0" fontId="81" fillId="24" borderId="12" xfId="0" applyFont="1" applyFill="1" applyBorder="1"/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3" fontId="9" fillId="5" borderId="18" xfId="0" applyNumberFormat="1" applyFont="1" applyFill="1" applyBorder="1"/>
    <xf numFmtId="3" fontId="9" fillId="23" borderId="19" xfId="0" applyNumberFormat="1" applyFont="1" applyFill="1" applyBorder="1"/>
    <xf numFmtId="3" fontId="9" fillId="5" borderId="27" xfId="0" applyNumberFormat="1" applyFont="1" applyFill="1" applyBorder="1"/>
    <xf numFmtId="3" fontId="9" fillId="23" borderId="29" xfId="0" applyNumberFormat="1" applyFont="1" applyFill="1" applyBorder="1"/>
    <xf numFmtId="3" fontId="9" fillId="0" borderId="12" xfId="0" applyNumberFormat="1" applyFont="1" applyBorder="1"/>
    <xf numFmtId="0" fontId="1" fillId="0" borderId="13" xfId="0" applyFont="1" applyBorder="1" applyAlignment="1">
      <alignment horizontal="center"/>
    </xf>
    <xf numFmtId="0" fontId="1" fillId="37" borderId="12" xfId="0" applyFont="1" applyFill="1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36" borderId="12" xfId="0" applyFont="1" applyFill="1" applyBorder="1" applyAlignment="1">
      <alignment horizontal="center" wrapText="1"/>
    </xf>
    <xf numFmtId="0" fontId="1" fillId="38" borderId="12" xfId="0" applyFont="1" applyFill="1" applyBorder="1" applyAlignment="1">
      <alignment horizontal="center" wrapText="1"/>
    </xf>
    <xf numFmtId="0" fontId="1" fillId="39" borderId="13" xfId="0" applyFont="1" applyFill="1" applyBorder="1" applyAlignment="1">
      <alignment horizontal="center" wrapText="1"/>
    </xf>
    <xf numFmtId="3" fontId="9" fillId="0" borderId="126" xfId="0" applyNumberFormat="1" applyFont="1" applyBorder="1"/>
    <xf numFmtId="3" fontId="9" fillId="0" borderId="112" xfId="0" applyNumberFormat="1" applyFont="1" applyBorder="1"/>
    <xf numFmtId="3" fontId="9" fillId="0" borderId="127" xfId="0" applyNumberFormat="1" applyFont="1" applyBorder="1"/>
    <xf numFmtId="3" fontId="1" fillId="36" borderId="0" xfId="0" applyNumberFormat="1" applyFont="1" applyFill="1"/>
    <xf numFmtId="0" fontId="115" fillId="0" borderId="0" xfId="0" applyFont="1" applyAlignment="1">
      <alignment horizontal="left"/>
    </xf>
    <xf numFmtId="0" fontId="116" fillId="0" borderId="0" xfId="0" applyFont="1" applyAlignment="1">
      <alignment horizontal="left"/>
    </xf>
    <xf numFmtId="0" fontId="21" fillId="0" borderId="1" xfId="0" applyFont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3" fontId="48" fillId="10" borderId="1" xfId="0" applyNumberFormat="1" applyFont="1" applyFill="1" applyBorder="1" applyAlignment="1">
      <alignment horizontal="center" vertical="center"/>
    </xf>
    <xf numFmtId="3" fontId="48" fillId="2" borderId="1" xfId="0" applyNumberFormat="1" applyFont="1" applyFill="1" applyBorder="1" applyAlignment="1">
      <alignment horizontal="center" vertical="center"/>
    </xf>
    <xf numFmtId="3" fontId="34" fillId="31" borderId="1" xfId="0" applyNumberFormat="1" applyFont="1" applyFill="1" applyBorder="1" applyAlignment="1">
      <alignment horizontal="center" vertical="center"/>
    </xf>
    <xf numFmtId="0" fontId="6" fillId="0" borderId="54" xfId="0" applyFont="1" applyBorder="1"/>
    <xf numFmtId="0" fontId="52" fillId="0" borderId="1" xfId="0" applyFont="1" applyBorder="1" applyAlignment="1">
      <alignment horizontal="right" vertical="center"/>
    </xf>
    <xf numFmtId="0" fontId="15" fillId="36" borderId="1" xfId="0" applyFont="1" applyFill="1" applyBorder="1" applyAlignment="1">
      <alignment horizontal="center" vertical="center"/>
    </xf>
    <xf numFmtId="0" fontId="39" fillId="12" borderId="1" xfId="0" quotePrefix="1" applyFont="1" applyFill="1" applyBorder="1" applyAlignment="1">
      <alignment horizontal="center" vertical="center"/>
    </xf>
    <xf numFmtId="0" fontId="39" fillId="0" borderId="55" xfId="0" quotePrefix="1" applyFont="1" applyBorder="1" applyAlignment="1">
      <alignment horizontal="center"/>
    </xf>
    <xf numFmtId="0" fontId="74" fillId="0" borderId="1" xfId="0" applyFont="1" applyBorder="1" applyAlignment="1">
      <alignment horizontal="center" vertical="center"/>
    </xf>
    <xf numFmtId="0" fontId="117" fillId="0" borderId="17" xfId="0" applyFont="1" applyBorder="1" applyAlignment="1">
      <alignment horizontal="center"/>
    </xf>
    <xf numFmtId="0" fontId="105" fillId="36" borderId="133" xfId="2" applyFont="1" applyFill="1" applyBorder="1" applyAlignment="1">
      <alignment horizontal="center"/>
    </xf>
    <xf numFmtId="9" fontId="48" fillId="0" borderId="132" xfId="1" applyFont="1" applyFill="1" applyBorder="1" applyAlignment="1">
      <alignment horizontal="center"/>
    </xf>
    <xf numFmtId="0" fontId="117" fillId="0" borderId="27" xfId="0" applyFont="1" applyBorder="1" applyAlignment="1">
      <alignment horizontal="center"/>
    </xf>
    <xf numFmtId="0" fontId="105" fillId="36" borderId="28" xfId="2" applyFont="1" applyFill="1" applyBorder="1" applyAlignment="1">
      <alignment horizontal="center"/>
    </xf>
    <xf numFmtId="9" fontId="48" fillId="0" borderId="29" xfId="1" applyFont="1" applyFill="1" applyBorder="1" applyAlignment="1">
      <alignment horizontal="center"/>
    </xf>
    <xf numFmtId="4" fontId="104" fillId="0" borderId="101" xfId="0" applyNumberFormat="1" applyFont="1" applyBorder="1" applyAlignment="1">
      <alignment horizontal="center"/>
    </xf>
    <xf numFmtId="4" fontId="104" fillId="0" borderId="32" xfId="0" applyNumberFormat="1" applyFont="1" applyBorder="1" applyAlignment="1">
      <alignment horizontal="center"/>
    </xf>
    <xf numFmtId="4" fontId="104" fillId="0" borderId="22" xfId="0" applyNumberFormat="1" applyFont="1" applyBorder="1" applyAlignment="1">
      <alignment horizontal="center"/>
    </xf>
    <xf numFmtId="3" fontId="104" fillId="0" borderId="101" xfId="0" applyNumberFormat="1" applyFont="1" applyBorder="1" applyAlignment="1">
      <alignment horizontal="center"/>
    </xf>
    <xf numFmtId="3" fontId="104" fillId="0" borderId="32" xfId="0" applyNumberFormat="1" applyFont="1" applyBorder="1" applyAlignment="1">
      <alignment horizontal="center"/>
    </xf>
    <xf numFmtId="3" fontId="104" fillId="0" borderId="22" xfId="0" applyNumberFormat="1" applyFont="1" applyBorder="1" applyAlignment="1">
      <alignment horizontal="center"/>
    </xf>
    <xf numFmtId="3" fontId="104" fillId="0" borderId="16" xfId="0" applyNumberFormat="1" applyFont="1" applyBorder="1" applyAlignment="1">
      <alignment horizontal="center"/>
    </xf>
    <xf numFmtId="4" fontId="104" fillId="0" borderId="34" xfId="0" applyNumberFormat="1" applyFont="1" applyBorder="1" applyAlignment="1">
      <alignment horizontal="center"/>
    </xf>
    <xf numFmtId="4" fontId="104" fillId="0" borderId="35" xfId="0" applyNumberFormat="1" applyFont="1" applyBorder="1" applyAlignment="1">
      <alignment horizontal="center"/>
    </xf>
    <xf numFmtId="4" fontId="104" fillId="0" borderId="36" xfId="0" applyNumberFormat="1" applyFont="1" applyBorder="1" applyAlignment="1">
      <alignment horizontal="center"/>
    </xf>
    <xf numFmtId="3" fontId="104" fillId="0" borderId="34" xfId="0" applyNumberFormat="1" applyFont="1" applyBorder="1" applyAlignment="1">
      <alignment horizontal="center"/>
    </xf>
    <xf numFmtId="3" fontId="104" fillId="0" borderId="35" xfId="0" applyNumberFormat="1" applyFont="1" applyBorder="1" applyAlignment="1">
      <alignment horizontal="center"/>
    </xf>
    <xf numFmtId="3" fontId="104" fillId="0" borderId="36" xfId="0" applyNumberFormat="1" applyFont="1" applyBorder="1" applyAlignment="1">
      <alignment horizontal="center"/>
    </xf>
    <xf numFmtId="3" fontId="104" fillId="0" borderId="128" xfId="0" applyNumberFormat="1" applyFont="1" applyBorder="1" applyAlignment="1">
      <alignment horizontal="center"/>
    </xf>
    <xf numFmtId="3" fontId="9" fillId="5" borderId="0" xfId="0" applyNumberFormat="1" applyFont="1" applyFill="1"/>
    <xf numFmtId="0" fontId="0" fillId="0" borderId="0" xfId="0" applyAlignment="1">
      <alignment horizontal="center"/>
    </xf>
    <xf numFmtId="3" fontId="1" fillId="0" borderId="0" xfId="0" applyNumberFormat="1" applyFont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21" fillId="0" borderId="0" xfId="0" quotePrefix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3" fontId="21" fillId="0" borderId="0" xfId="0" quotePrefix="1" applyNumberFormat="1" applyFont="1" applyAlignment="1">
      <alignment horizontal="left" vertical="center"/>
    </xf>
    <xf numFmtId="3" fontId="21" fillId="0" borderId="0" xfId="0" quotePrefix="1" applyNumberFormat="1" applyFont="1" applyAlignment="1">
      <alignment horizontal="right" vertical="center"/>
    </xf>
    <xf numFmtId="3" fontId="16" fillId="0" borderId="0" xfId="0" quotePrefix="1" applyNumberFormat="1" applyFont="1" applyAlignment="1">
      <alignment horizontal="right" vertical="center"/>
    </xf>
    <xf numFmtId="3" fontId="1" fillId="8" borderId="0" xfId="0" applyNumberFormat="1" applyFont="1" applyFill="1" applyAlignment="1">
      <alignment horizontal="center" vertical="center"/>
    </xf>
    <xf numFmtId="3" fontId="21" fillId="0" borderId="0" xfId="0" quotePrefix="1" applyNumberFormat="1" applyFont="1" applyAlignment="1">
      <alignment horizontal="center"/>
    </xf>
    <xf numFmtId="4" fontId="21" fillId="0" borderId="0" xfId="0" quotePrefix="1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166" fontId="1" fillId="0" borderId="0" xfId="1" applyNumberFormat="1" applyFont="1" applyBorder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20" fontId="25" fillId="0" borderId="0" xfId="0" applyNumberFormat="1" applyFont="1" applyAlignment="1">
      <alignment horizontal="center" vertical="center"/>
    </xf>
    <xf numFmtId="3" fontId="1" fillId="0" borderId="1" xfId="0" applyNumberFormat="1" applyFont="1" applyBorder="1" applyAlignment="1">
      <alignment vertical="center"/>
    </xf>
    <xf numFmtId="3" fontId="1" fillId="0" borderId="0" xfId="0" applyNumberFormat="1" applyFont="1" applyAlignment="1">
      <alignment vertical="center"/>
    </xf>
    <xf numFmtId="0" fontId="27" fillId="0" borderId="3" xfId="0" quotePrefix="1" applyFont="1" applyBorder="1" applyAlignment="1">
      <alignment horizontal="center"/>
    </xf>
    <xf numFmtId="0" fontId="75" fillId="0" borderId="3" xfId="0" applyFont="1" applyBorder="1" applyAlignment="1">
      <alignment horizontal="center"/>
    </xf>
    <xf numFmtId="0" fontId="76" fillId="0" borderId="3" xfId="0" applyFont="1" applyBorder="1" applyAlignment="1">
      <alignment horizontal="center"/>
    </xf>
    <xf numFmtId="0" fontId="66" fillId="0" borderId="3" xfId="0" applyFont="1" applyBorder="1" applyAlignment="1">
      <alignment horizontal="center"/>
    </xf>
    <xf numFmtId="0" fontId="0" fillId="0" borderId="0" xfId="0" quotePrefix="1"/>
    <xf numFmtId="3" fontId="1" fillId="15" borderId="1" xfId="0" applyNumberFormat="1" applyFont="1" applyFill="1" applyBorder="1" applyAlignment="1">
      <alignment horizontal="left" vertical="center"/>
    </xf>
    <xf numFmtId="3" fontId="5" fillId="5" borderId="1" xfId="0" applyNumberFormat="1" applyFont="1" applyFill="1" applyBorder="1" applyAlignment="1">
      <alignment horizontal="center" vertical="center"/>
    </xf>
    <xf numFmtId="3" fontId="5" fillId="5" borderId="13" xfId="0" applyNumberFormat="1" applyFont="1" applyFill="1" applyBorder="1" applyAlignment="1">
      <alignment horizontal="center" vertical="center"/>
    </xf>
    <xf numFmtId="3" fontId="1" fillId="15" borderId="0" xfId="0" applyNumberFormat="1" applyFont="1" applyFill="1" applyAlignment="1">
      <alignment horizontal="right" vertical="center"/>
    </xf>
    <xf numFmtId="3" fontId="1" fillId="23" borderId="1" xfId="0" applyNumberFormat="1" applyFont="1" applyFill="1" applyBorder="1" applyAlignment="1">
      <alignment horizontal="center" vertical="center"/>
    </xf>
    <xf numFmtId="3" fontId="1" fillId="23" borderId="13" xfId="0" applyNumberFormat="1" applyFont="1" applyFill="1" applyBorder="1" applyAlignment="1">
      <alignment horizontal="center" vertical="center"/>
    </xf>
    <xf numFmtId="166" fontId="33" fillId="0" borderId="0" xfId="1" applyNumberFormat="1" applyFont="1" applyBorder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2" fontId="17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3" fontId="51" fillId="0" borderId="0" xfId="0" applyNumberFormat="1" applyFont="1" applyAlignment="1">
      <alignment horizontal="center" vertical="center"/>
    </xf>
    <xf numFmtId="0" fontId="39" fillId="0" borderId="0" xfId="0" quotePrefix="1" applyFont="1" applyAlignment="1">
      <alignment horizontal="center" vertical="center"/>
    </xf>
    <xf numFmtId="4" fontId="50" fillId="0" borderId="0" xfId="0" applyNumberFormat="1" applyFont="1" applyAlignment="1">
      <alignment horizontal="center"/>
    </xf>
    <xf numFmtId="4" fontId="104" fillId="0" borderId="0" xfId="0" applyNumberFormat="1" applyFont="1" applyAlignment="1">
      <alignment horizontal="center"/>
    </xf>
    <xf numFmtId="3" fontId="104" fillId="0" borderId="0" xfId="0" applyNumberFormat="1" applyFont="1" applyAlignment="1">
      <alignment horizontal="center"/>
    </xf>
    <xf numFmtId="0" fontId="6" fillId="0" borderId="61" xfId="0" applyFont="1" applyBorder="1"/>
    <xf numFmtId="0" fontId="6" fillId="0" borderId="62" xfId="0" applyFont="1" applyBorder="1"/>
    <xf numFmtId="0" fontId="39" fillId="0" borderId="62" xfId="0" quotePrefix="1" applyFont="1" applyBorder="1" applyAlignment="1">
      <alignment horizontal="center" vertical="center"/>
    </xf>
    <xf numFmtId="0" fontId="39" fillId="0" borderId="63" xfId="0" quotePrefix="1" applyFont="1" applyBorder="1" applyAlignment="1">
      <alignment horizontal="center"/>
    </xf>
    <xf numFmtId="0" fontId="41" fillId="0" borderId="54" xfId="0" applyFont="1" applyBorder="1"/>
    <xf numFmtId="0" fontId="41" fillId="0" borderId="0" xfId="0" applyFont="1"/>
    <xf numFmtId="0" fontId="41" fillId="0" borderId="0" xfId="0" quotePrefix="1" applyFont="1" applyAlignment="1">
      <alignment horizontal="center" vertical="center"/>
    </xf>
    <xf numFmtId="0" fontId="41" fillId="0" borderId="55" xfId="0" quotePrefix="1" applyFont="1" applyBorder="1" applyAlignment="1">
      <alignment horizontal="center"/>
    </xf>
    <xf numFmtId="14" fontId="1" fillId="0" borderId="40" xfId="0" applyNumberFormat="1" applyFont="1" applyBorder="1" applyAlignment="1">
      <alignment horizontal="center"/>
    </xf>
    <xf numFmtId="14" fontId="1" fillId="0" borderId="108" xfId="0" applyNumberFormat="1" applyFont="1" applyBorder="1" applyAlignment="1">
      <alignment horizontal="center"/>
    </xf>
    <xf numFmtId="0" fontId="1" fillId="0" borderId="96" xfId="0" applyFont="1" applyBorder="1" applyAlignment="1">
      <alignment horizontal="center"/>
    </xf>
    <xf numFmtId="0" fontId="39" fillId="0" borderId="95" xfId="0" applyFont="1" applyBorder="1" applyAlignment="1">
      <alignment horizontal="center"/>
    </xf>
    <xf numFmtId="0" fontId="11" fillId="0" borderId="95" xfId="0" applyFont="1" applyBorder="1" applyAlignment="1">
      <alignment horizontal="center"/>
    </xf>
    <xf numFmtId="0" fontId="11" fillId="0" borderId="94" xfId="0" applyFont="1" applyBorder="1" applyAlignment="1">
      <alignment horizontal="center"/>
    </xf>
    <xf numFmtId="0" fontId="81" fillId="24" borderId="11" xfId="0" applyFont="1" applyFill="1" applyBorder="1" applyAlignment="1">
      <alignment horizontal="center"/>
    </xf>
    <xf numFmtId="0" fontId="81" fillId="24" borderId="13" xfId="0" applyFont="1" applyFill="1" applyBorder="1" applyAlignment="1">
      <alignment horizontal="center"/>
    </xf>
    <xf numFmtId="0" fontId="3" fillId="37" borderId="12" xfId="0" applyFont="1" applyFill="1" applyBorder="1" applyAlignment="1">
      <alignment horizontal="center"/>
    </xf>
    <xf numFmtId="0" fontId="3" fillId="39" borderId="109" xfId="0" applyFont="1" applyFill="1" applyBorder="1" applyAlignment="1">
      <alignment horizontal="center" vertical="center" textRotation="90"/>
    </xf>
    <xf numFmtId="0" fontId="3" fillId="36" borderId="8" xfId="0" applyFont="1" applyFill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60" xfId="0" applyFont="1" applyBorder="1" applyAlignment="1">
      <alignment horizontal="center"/>
    </xf>
    <xf numFmtId="14" fontId="77" fillId="0" borderId="68" xfId="0" applyNumberFormat="1" applyFont="1" applyBorder="1" applyAlignment="1">
      <alignment horizontal="center"/>
    </xf>
    <xf numFmtId="0" fontId="77" fillId="0" borderId="69" xfId="0" applyFont="1" applyBorder="1" applyAlignment="1">
      <alignment horizontal="center"/>
    </xf>
    <xf numFmtId="0" fontId="16" fillId="0" borderId="67" xfId="0" applyFont="1" applyBorder="1" applyAlignment="1">
      <alignment horizontal="center"/>
    </xf>
    <xf numFmtId="0" fontId="16" fillId="0" borderId="68" xfId="0" applyFont="1" applyBorder="1" applyAlignment="1">
      <alignment horizontal="center"/>
    </xf>
    <xf numFmtId="14" fontId="16" fillId="0" borderId="68" xfId="0" applyNumberFormat="1" applyFont="1" applyBorder="1" applyAlignment="1">
      <alignment horizontal="center"/>
    </xf>
    <xf numFmtId="0" fontId="16" fillId="0" borderId="71" xfId="0" applyFont="1" applyBorder="1" applyAlignment="1">
      <alignment horizontal="center"/>
    </xf>
    <xf numFmtId="0" fontId="16" fillId="0" borderId="70" xfId="0" applyFont="1" applyBorder="1" applyAlignment="1">
      <alignment horizontal="center"/>
    </xf>
    <xf numFmtId="0" fontId="3" fillId="38" borderId="54" xfId="0" applyFont="1" applyFill="1" applyBorder="1" applyAlignment="1">
      <alignment horizontal="center" vertical="center" textRotation="90"/>
    </xf>
    <xf numFmtId="0" fontId="15" fillId="0" borderId="64" xfId="0" applyFont="1" applyBorder="1" applyAlignment="1">
      <alignment horizontal="center"/>
    </xf>
    <xf numFmtId="0" fontId="15" fillId="0" borderId="49" xfId="0" applyFont="1" applyBorder="1" applyAlignment="1">
      <alignment horizontal="center"/>
    </xf>
    <xf numFmtId="0" fontId="15" fillId="0" borderId="50" xfId="0" applyFont="1" applyBorder="1" applyAlignment="1">
      <alignment horizontal="center"/>
    </xf>
    <xf numFmtId="0" fontId="15" fillId="0" borderId="66" xfId="0" applyFont="1" applyBorder="1" applyAlignment="1">
      <alignment horizontal="center"/>
    </xf>
    <xf numFmtId="0" fontId="15" fillId="0" borderId="43" xfId="0" applyFont="1" applyBorder="1" applyAlignment="1">
      <alignment horizontal="center"/>
    </xf>
    <xf numFmtId="0" fontId="15" fillId="0" borderId="41" xfId="0" applyFont="1" applyBorder="1" applyAlignment="1">
      <alignment horizontal="center"/>
    </xf>
    <xf numFmtId="0" fontId="15" fillId="0" borderId="48" xfId="0" applyFont="1" applyBorder="1" applyAlignment="1">
      <alignment horizontal="center"/>
    </xf>
    <xf numFmtId="0" fontId="15" fillId="0" borderId="65" xfId="0" applyFont="1" applyBorder="1" applyAlignment="1">
      <alignment horizontal="center"/>
    </xf>
    <xf numFmtId="0" fontId="82" fillId="24" borderId="11" xfId="0" applyFont="1" applyFill="1" applyBorder="1" applyAlignment="1">
      <alignment horizontal="center" vertical="center"/>
    </xf>
    <xf numFmtId="0" fontId="82" fillId="24" borderId="12" xfId="0" applyFont="1" applyFill="1" applyBorder="1" applyAlignment="1">
      <alignment horizontal="center" vertical="center"/>
    </xf>
    <xf numFmtId="0" fontId="82" fillId="24" borderId="13" xfId="0" applyFont="1" applyFill="1" applyBorder="1" applyAlignment="1">
      <alignment horizontal="center" vertical="center"/>
    </xf>
    <xf numFmtId="0" fontId="3" fillId="39" borderId="55" xfId="0" applyFont="1" applyFill="1" applyBorder="1" applyAlignment="1">
      <alignment horizontal="center" vertical="center" textRotation="90"/>
    </xf>
    <xf numFmtId="14" fontId="3" fillId="5" borderId="5" xfId="0" applyNumberFormat="1" applyFont="1" applyFill="1" applyBorder="1" applyAlignment="1">
      <alignment horizontal="center"/>
    </xf>
    <xf numFmtId="14" fontId="3" fillId="5" borderId="6" xfId="0" applyNumberFormat="1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3" fontId="22" fillId="0" borderId="20" xfId="0" applyNumberFormat="1" applyFont="1" applyBorder="1" applyAlignment="1">
      <alignment horizontal="center"/>
    </xf>
    <xf numFmtId="3" fontId="22" fillId="0" borderId="85" xfId="0" applyNumberFormat="1" applyFont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169" fontId="25" fillId="3" borderId="80" xfId="0" applyNumberFormat="1" applyFont="1" applyFill="1" applyBorder="1" applyAlignment="1">
      <alignment horizontal="center"/>
    </xf>
    <xf numFmtId="169" fontId="25" fillId="3" borderId="13" xfId="0" applyNumberFormat="1" applyFont="1" applyFill="1" applyBorder="1" applyAlignment="1">
      <alignment horizontal="center"/>
    </xf>
    <xf numFmtId="0" fontId="5" fillId="37" borderId="34" xfId="0" applyFont="1" applyFill="1" applyBorder="1" applyAlignment="1">
      <alignment horizontal="center"/>
    </xf>
    <xf numFmtId="0" fontId="5" fillId="37" borderId="35" xfId="0" applyFont="1" applyFill="1" applyBorder="1" applyAlignment="1">
      <alignment horizontal="center"/>
    </xf>
    <xf numFmtId="0" fontId="5" fillId="37" borderId="36" xfId="0" applyFont="1" applyFill="1" applyBorder="1" applyAlignment="1">
      <alignment horizontal="center"/>
    </xf>
    <xf numFmtId="0" fontId="5" fillId="36" borderId="34" xfId="0" applyFont="1" applyFill="1" applyBorder="1" applyAlignment="1">
      <alignment horizontal="center"/>
    </xf>
    <xf numFmtId="0" fontId="5" fillId="36" borderId="35" xfId="0" applyFont="1" applyFill="1" applyBorder="1" applyAlignment="1">
      <alignment horizontal="center"/>
    </xf>
    <xf numFmtId="0" fontId="5" fillId="36" borderId="36" xfId="0" applyFont="1" applyFill="1" applyBorder="1" applyAlignment="1">
      <alignment horizontal="center"/>
    </xf>
    <xf numFmtId="0" fontId="5" fillId="38" borderId="34" xfId="0" applyFont="1" applyFill="1" applyBorder="1" applyAlignment="1">
      <alignment horizontal="center"/>
    </xf>
    <xf numFmtId="0" fontId="5" fillId="38" borderId="35" xfId="0" applyFont="1" applyFill="1" applyBorder="1" applyAlignment="1">
      <alignment horizontal="center"/>
    </xf>
    <xf numFmtId="0" fontId="5" fillId="38" borderId="36" xfId="0" applyFont="1" applyFill="1" applyBorder="1" applyAlignment="1">
      <alignment horizontal="center"/>
    </xf>
    <xf numFmtId="0" fontId="5" fillId="39" borderId="34" xfId="0" applyFont="1" applyFill="1" applyBorder="1" applyAlignment="1">
      <alignment horizontal="center"/>
    </xf>
    <xf numFmtId="0" fontId="5" fillId="39" borderId="35" xfId="0" applyFont="1" applyFill="1" applyBorder="1" applyAlignment="1">
      <alignment horizontal="center"/>
    </xf>
    <xf numFmtId="0" fontId="5" fillId="39" borderId="36" xfId="0" applyFont="1" applyFill="1" applyBorder="1" applyAlignment="1">
      <alignment horizontal="center"/>
    </xf>
    <xf numFmtId="0" fontId="1" fillId="39" borderId="17" xfId="0" applyFont="1" applyFill="1" applyBorder="1" applyAlignment="1">
      <alignment horizontal="center" wrapText="1"/>
    </xf>
    <xf numFmtId="0" fontId="1" fillId="39" borderId="132" xfId="0" applyFont="1" applyFill="1" applyBorder="1" applyAlignment="1">
      <alignment horizontal="center" wrapText="1"/>
    </xf>
    <xf numFmtId="14" fontId="25" fillId="33" borderId="80" xfId="0" applyNumberFormat="1" applyFont="1" applyFill="1" applyBorder="1" applyAlignment="1">
      <alignment horizontal="center"/>
    </xf>
    <xf numFmtId="14" fontId="25" fillId="33" borderId="13" xfId="0" applyNumberFormat="1" applyFont="1" applyFill="1" applyBorder="1" applyAlignment="1">
      <alignment horizontal="center"/>
    </xf>
    <xf numFmtId="0" fontId="1" fillId="37" borderId="17" xfId="0" applyFont="1" applyFill="1" applyBorder="1" applyAlignment="1">
      <alignment horizontal="center" wrapText="1"/>
    </xf>
    <xf numFmtId="0" fontId="1" fillId="37" borderId="132" xfId="0" applyFont="1" applyFill="1" applyBorder="1" applyAlignment="1">
      <alignment horizontal="center" wrapText="1"/>
    </xf>
    <xf numFmtId="0" fontId="1" fillId="36" borderId="17" xfId="0" applyFont="1" applyFill="1" applyBorder="1" applyAlignment="1">
      <alignment horizontal="center" wrapText="1"/>
    </xf>
    <xf numFmtId="0" fontId="1" fillId="36" borderId="132" xfId="0" applyFont="1" applyFill="1" applyBorder="1" applyAlignment="1">
      <alignment horizontal="center" wrapText="1"/>
    </xf>
    <xf numFmtId="0" fontId="1" fillId="38" borderId="17" xfId="0" applyFont="1" applyFill="1" applyBorder="1" applyAlignment="1">
      <alignment horizontal="center" wrapText="1"/>
    </xf>
    <xf numFmtId="0" fontId="1" fillId="38" borderId="132" xfId="0" applyFont="1" applyFill="1" applyBorder="1" applyAlignment="1">
      <alignment horizontal="center" wrapText="1"/>
    </xf>
    <xf numFmtId="3" fontId="49" fillId="33" borderId="1" xfId="0" applyNumberFormat="1" applyFont="1" applyFill="1" applyBorder="1" applyAlignment="1">
      <alignment horizontal="center" vertical="center"/>
    </xf>
    <xf numFmtId="0" fontId="29" fillId="0" borderId="6" xfId="0" applyFont="1" applyBorder="1" applyAlignment="1">
      <alignment horizontal="center" vertical="center" textRotation="90" wrapText="1"/>
    </xf>
    <xf numFmtId="0" fontId="29" fillId="0" borderId="0" xfId="0" applyFont="1" applyAlignment="1">
      <alignment horizontal="center" vertical="center" textRotation="90" wrapText="1"/>
    </xf>
    <xf numFmtId="3" fontId="48" fillId="12" borderId="11" xfId="0" applyNumberFormat="1" applyFont="1" applyFill="1" applyBorder="1" applyAlignment="1">
      <alignment horizontal="center" vertical="center"/>
    </xf>
    <xf numFmtId="3" fontId="48" fillId="12" borderId="13" xfId="0" applyNumberFormat="1" applyFont="1" applyFill="1" applyBorder="1" applyAlignment="1">
      <alignment horizontal="center" vertical="center"/>
    </xf>
    <xf numFmtId="3" fontId="48" fillId="12" borderId="1" xfId="0" applyNumberFormat="1" applyFont="1" applyFill="1" applyBorder="1" applyAlignment="1">
      <alignment horizontal="center" vertical="center"/>
    </xf>
    <xf numFmtId="3" fontId="48" fillId="12" borderId="14" xfId="0" applyNumberFormat="1" applyFont="1" applyFill="1" applyBorder="1" applyAlignment="1">
      <alignment horizontal="center" vertical="center"/>
    </xf>
    <xf numFmtId="3" fontId="48" fillId="12" borderId="10" xfId="0" applyNumberFormat="1" applyFont="1" applyFill="1" applyBorder="1" applyAlignment="1">
      <alignment horizontal="center" vertical="center"/>
    </xf>
    <xf numFmtId="0" fontId="49" fillId="33" borderId="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3" fontId="10" fillId="0" borderId="7" xfId="0" applyNumberFormat="1" applyFont="1" applyBorder="1" applyAlignment="1">
      <alignment horizontal="center" vertical="center"/>
    </xf>
    <xf numFmtId="3" fontId="10" fillId="0" borderId="8" xfId="0" applyNumberFormat="1" applyFont="1" applyBorder="1" applyAlignment="1">
      <alignment horizontal="center" vertical="center"/>
    </xf>
    <xf numFmtId="0" fontId="81" fillId="5" borderId="11" xfId="0" applyFont="1" applyFill="1" applyBorder="1" applyAlignment="1">
      <alignment horizontal="center"/>
    </xf>
    <xf numFmtId="0" fontId="81" fillId="5" borderId="13" xfId="0" applyFont="1" applyFill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3" fontId="48" fillId="33" borderId="1" xfId="0" applyNumberFormat="1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3" fontId="10" fillId="0" borderId="4" xfId="0" applyNumberFormat="1" applyFont="1" applyBorder="1" applyAlignment="1">
      <alignment horizontal="center" vertical="center"/>
    </xf>
    <xf numFmtId="3" fontId="10" fillId="0" borderId="6" xfId="0" applyNumberFormat="1" applyFont="1" applyBorder="1" applyAlignment="1">
      <alignment horizontal="center" vertical="center"/>
    </xf>
    <xf numFmtId="3" fontId="10" fillId="0" borderId="9" xfId="0" applyNumberFormat="1" applyFont="1" applyBorder="1" applyAlignment="1">
      <alignment horizontal="center" vertical="center"/>
    </xf>
    <xf numFmtId="0" fontId="81" fillId="12" borderId="11" xfId="0" applyFont="1" applyFill="1" applyBorder="1" applyAlignment="1">
      <alignment horizontal="center"/>
    </xf>
    <xf numFmtId="0" fontId="81" fillId="12" borderId="13" xfId="0" applyFont="1" applyFill="1" applyBorder="1" applyAlignment="1">
      <alignment horizontal="center"/>
    </xf>
    <xf numFmtId="0" fontId="81" fillId="0" borderId="11" xfId="0" applyFont="1" applyBorder="1" applyAlignment="1">
      <alignment horizontal="center"/>
    </xf>
    <xf numFmtId="0" fontId="81" fillId="0" borderId="13" xfId="0" applyFont="1" applyBorder="1" applyAlignment="1">
      <alignment horizontal="center"/>
    </xf>
    <xf numFmtId="0" fontId="81" fillId="2" borderId="11" xfId="0" applyFont="1" applyFill="1" applyBorder="1" applyAlignment="1">
      <alignment horizontal="center"/>
    </xf>
    <xf numFmtId="0" fontId="81" fillId="2" borderId="13" xfId="0" applyFont="1" applyFill="1" applyBorder="1" applyAlignment="1">
      <alignment horizontal="center"/>
    </xf>
    <xf numFmtId="3" fontId="1" fillId="0" borderId="0" xfId="0" applyNumberFormat="1" applyFont="1" applyAlignment="1">
      <alignment horizontal="right" vertical="center"/>
    </xf>
    <xf numFmtId="3" fontId="1" fillId="0" borderId="0" xfId="0" applyNumberFormat="1" applyFont="1" applyAlignment="1">
      <alignment horizontal="left" vertical="center"/>
    </xf>
    <xf numFmtId="0" fontId="3" fillId="33" borderId="14" xfId="0" applyFont="1" applyFill="1" applyBorder="1" applyAlignment="1">
      <alignment horizontal="center" vertical="center"/>
    </xf>
    <xf numFmtId="0" fontId="3" fillId="33" borderId="24" xfId="0" applyFont="1" applyFill="1" applyBorder="1" applyAlignment="1">
      <alignment horizontal="center" vertical="center"/>
    </xf>
    <xf numFmtId="1" fontId="19" fillId="0" borderId="8" xfId="0" applyNumberFormat="1" applyFont="1" applyBorder="1" applyAlignment="1">
      <alignment horizontal="center"/>
    </xf>
    <xf numFmtId="1" fontId="19" fillId="0" borderId="6" xfId="0" applyNumberFormat="1" applyFont="1" applyBorder="1" applyAlignment="1">
      <alignment horizontal="center"/>
    </xf>
    <xf numFmtId="0" fontId="27" fillId="6" borderId="76" xfId="0" quotePrefix="1" applyFont="1" applyFill="1" applyBorder="1" applyAlignment="1">
      <alignment horizontal="left"/>
    </xf>
    <xf numFmtId="0" fontId="27" fillId="6" borderId="76" xfId="0" applyFont="1" applyFill="1" applyBorder="1" applyAlignment="1">
      <alignment horizontal="left"/>
    </xf>
    <xf numFmtId="0" fontId="3" fillId="33" borderId="10" xfId="0" applyFont="1" applyFill="1" applyBorder="1" applyAlignment="1">
      <alignment horizontal="center" vertical="center"/>
    </xf>
    <xf numFmtId="1" fontId="19" fillId="0" borderId="5" xfId="0" applyNumberFormat="1" applyFont="1" applyBorder="1" applyAlignment="1">
      <alignment horizontal="center"/>
    </xf>
    <xf numFmtId="0" fontId="3" fillId="33" borderId="12" xfId="0" applyFont="1" applyFill="1" applyBorder="1" applyAlignment="1">
      <alignment horizontal="center"/>
    </xf>
    <xf numFmtId="0" fontId="3" fillId="33" borderId="13" xfId="0" applyFont="1" applyFill="1" applyBorder="1" applyAlignment="1">
      <alignment horizontal="center"/>
    </xf>
    <xf numFmtId="0" fontId="30" fillId="0" borderId="55" xfId="0" applyFont="1" applyBorder="1" applyAlignment="1">
      <alignment horizontal="center" vertical="center" textRotation="90"/>
    </xf>
    <xf numFmtId="0" fontId="3" fillId="33" borderId="11" xfId="0" applyFont="1" applyFill="1" applyBorder="1" applyAlignment="1">
      <alignment horizontal="center"/>
    </xf>
    <xf numFmtId="0" fontId="27" fillId="6" borderId="76" xfId="0" applyFont="1" applyFill="1" applyBorder="1" applyAlignment="1">
      <alignment horizontal="right"/>
    </xf>
    <xf numFmtId="1" fontId="19" fillId="0" borderId="3" xfId="0" applyNumberFormat="1" applyFont="1" applyBorder="1" applyAlignment="1">
      <alignment horizontal="center"/>
    </xf>
    <xf numFmtId="0" fontId="30" fillId="0" borderId="54" xfId="0" applyFont="1" applyBorder="1" applyAlignment="1">
      <alignment horizontal="center" vertical="center" textRotation="90"/>
    </xf>
    <xf numFmtId="0" fontId="85" fillId="24" borderId="11" xfId="0" applyFont="1" applyFill="1" applyBorder="1" applyAlignment="1">
      <alignment horizontal="center"/>
    </xf>
    <xf numFmtId="0" fontId="85" fillId="24" borderId="12" xfId="0" applyFont="1" applyFill="1" applyBorder="1" applyAlignment="1">
      <alignment horizontal="center"/>
    </xf>
    <xf numFmtId="0" fontId="85" fillId="24" borderId="13" xfId="0" applyFont="1" applyFill="1" applyBorder="1" applyAlignment="1">
      <alignment horizontal="center"/>
    </xf>
    <xf numFmtId="0" fontId="3" fillId="12" borderId="20" xfId="0" applyFont="1" applyFill="1" applyBorder="1" applyAlignment="1">
      <alignment horizontal="center"/>
    </xf>
    <xf numFmtId="0" fontId="3" fillId="12" borderId="25" xfId="0" applyFont="1" applyFill="1" applyBorder="1" applyAlignment="1">
      <alignment horizontal="center"/>
    </xf>
    <xf numFmtId="0" fontId="3" fillId="12" borderId="21" xfId="0" applyFont="1" applyFill="1" applyBorder="1" applyAlignment="1">
      <alignment horizontal="center"/>
    </xf>
    <xf numFmtId="0" fontId="3" fillId="24" borderId="20" xfId="0" applyFont="1" applyFill="1" applyBorder="1" applyAlignment="1">
      <alignment horizontal="center"/>
    </xf>
    <xf numFmtId="0" fontId="3" fillId="24" borderId="25" xfId="0" applyFont="1" applyFill="1" applyBorder="1" applyAlignment="1">
      <alignment horizontal="center"/>
    </xf>
    <xf numFmtId="0" fontId="3" fillId="24" borderId="21" xfId="0" applyFont="1" applyFill="1" applyBorder="1" applyAlignment="1">
      <alignment horizontal="center"/>
    </xf>
    <xf numFmtId="0" fontId="3" fillId="13" borderId="20" xfId="0" applyFont="1" applyFill="1" applyBorder="1" applyAlignment="1">
      <alignment horizontal="center"/>
    </xf>
    <xf numFmtId="0" fontId="3" fillId="13" borderId="25" xfId="0" applyFont="1" applyFill="1" applyBorder="1" applyAlignment="1">
      <alignment horizontal="center"/>
    </xf>
    <xf numFmtId="0" fontId="3" fillId="13" borderId="21" xfId="0" applyFont="1" applyFill="1" applyBorder="1" applyAlignment="1">
      <alignment horizontal="center"/>
    </xf>
    <xf numFmtId="3" fontId="5" fillId="38" borderId="7" xfId="0" applyNumberFormat="1" applyFont="1" applyFill="1" applyBorder="1" applyAlignment="1">
      <alignment horizontal="center"/>
    </xf>
    <xf numFmtId="3" fontId="5" fillId="38" borderId="8" xfId="0" applyNumberFormat="1" applyFont="1" applyFill="1" applyBorder="1" applyAlignment="1">
      <alignment horizontal="center"/>
    </xf>
    <xf numFmtId="3" fontId="5" fillId="38" borderId="9" xfId="0" applyNumberFormat="1" applyFont="1" applyFill="1" applyBorder="1" applyAlignment="1">
      <alignment horizontal="center"/>
    </xf>
    <xf numFmtId="3" fontId="5" fillId="39" borderId="7" xfId="0" applyNumberFormat="1" applyFont="1" applyFill="1" applyBorder="1" applyAlignment="1">
      <alignment horizontal="center"/>
    </xf>
    <xf numFmtId="3" fontId="5" fillId="39" borderId="8" xfId="0" applyNumberFormat="1" applyFont="1" applyFill="1" applyBorder="1" applyAlignment="1">
      <alignment horizontal="center"/>
    </xf>
    <xf numFmtId="3" fontId="5" fillId="39" borderId="9" xfId="0" applyNumberFormat="1" applyFont="1" applyFill="1" applyBorder="1" applyAlignment="1">
      <alignment horizontal="center"/>
    </xf>
    <xf numFmtId="3" fontId="9" fillId="12" borderId="24" xfId="0" applyNumberFormat="1" applyFont="1" applyFill="1" applyBorder="1" applyAlignment="1">
      <alignment horizontal="center" vertical="center" textRotation="90"/>
    </xf>
    <xf numFmtId="3" fontId="9" fillId="12" borderId="10" xfId="0" applyNumberFormat="1" applyFont="1" applyFill="1" applyBorder="1" applyAlignment="1">
      <alignment horizontal="center" vertical="center" textRotation="90"/>
    </xf>
    <xf numFmtId="3" fontId="9" fillId="26" borderId="24" xfId="0" applyNumberFormat="1" applyFont="1" applyFill="1" applyBorder="1" applyAlignment="1">
      <alignment horizontal="center" vertical="center" textRotation="90"/>
    </xf>
    <xf numFmtId="3" fontId="9" fillId="26" borderId="10" xfId="0" applyNumberFormat="1" applyFont="1" applyFill="1" applyBorder="1" applyAlignment="1">
      <alignment horizontal="center" vertical="center" textRotation="90"/>
    </xf>
    <xf numFmtId="3" fontId="9" fillId="25" borderId="24" xfId="0" applyNumberFormat="1" applyFont="1" applyFill="1" applyBorder="1" applyAlignment="1">
      <alignment horizontal="center" vertical="center" textRotation="90"/>
    </xf>
    <xf numFmtId="3" fontId="9" fillId="25" borderId="10" xfId="0" applyNumberFormat="1" applyFont="1" applyFill="1" applyBorder="1" applyAlignment="1">
      <alignment horizontal="center" vertical="center" textRotation="90"/>
    </xf>
    <xf numFmtId="3" fontId="5" fillId="37" borderId="5" xfId="0" applyNumberFormat="1" applyFont="1" applyFill="1" applyBorder="1" applyAlignment="1">
      <alignment horizontal="center"/>
    </xf>
    <xf numFmtId="3" fontId="5" fillId="37" borderId="8" xfId="0" applyNumberFormat="1" applyFont="1" applyFill="1" applyBorder="1" applyAlignment="1">
      <alignment horizontal="center"/>
    </xf>
    <xf numFmtId="3" fontId="5" fillId="37" borderId="9" xfId="0" applyNumberFormat="1" applyFont="1" applyFill="1" applyBorder="1" applyAlignment="1">
      <alignment horizontal="center"/>
    </xf>
    <xf numFmtId="3" fontId="5" fillId="36" borderId="7" xfId="0" applyNumberFormat="1" applyFont="1" applyFill="1" applyBorder="1" applyAlignment="1">
      <alignment horizontal="center"/>
    </xf>
    <xf numFmtId="3" fontId="5" fillId="36" borderId="8" xfId="0" applyNumberFormat="1" applyFont="1" applyFill="1" applyBorder="1" applyAlignment="1">
      <alignment horizontal="center"/>
    </xf>
    <xf numFmtId="3" fontId="5" fillId="36" borderId="9" xfId="0" applyNumberFormat="1" applyFont="1" applyFill="1" applyBorder="1" applyAlignment="1">
      <alignment horizontal="center"/>
    </xf>
    <xf numFmtId="0" fontId="22" fillId="0" borderId="2" xfId="0" quotePrefix="1" applyFont="1" applyBorder="1" applyAlignment="1">
      <alignment horizontal="center"/>
    </xf>
    <xf numFmtId="0" fontId="22" fillId="0" borderId="3" xfId="0" quotePrefix="1" applyFont="1" applyBorder="1" applyAlignment="1">
      <alignment horizontal="center"/>
    </xf>
    <xf numFmtId="0" fontId="22" fillId="0" borderId="4" xfId="0" quotePrefix="1" applyFont="1" applyBorder="1" applyAlignment="1">
      <alignment horizontal="center"/>
    </xf>
    <xf numFmtId="0" fontId="31" fillId="0" borderId="14" xfId="0" quotePrefix="1" applyFont="1" applyBorder="1" applyAlignment="1">
      <alignment horizontal="center" wrapText="1"/>
    </xf>
    <xf numFmtId="0" fontId="31" fillId="0" borderId="24" xfId="0" quotePrefix="1" applyFont="1" applyBorder="1" applyAlignment="1">
      <alignment horizontal="center" wrapText="1"/>
    </xf>
    <xf numFmtId="0" fontId="49" fillId="10" borderId="11" xfId="0" applyFont="1" applyFill="1" applyBorder="1" applyAlignment="1">
      <alignment horizontal="center" vertical="center"/>
    </xf>
    <xf numFmtId="0" fontId="49" fillId="10" borderId="12" xfId="0" applyFont="1" applyFill="1" applyBorder="1" applyAlignment="1">
      <alignment horizontal="center" vertical="center"/>
    </xf>
    <xf numFmtId="0" fontId="49" fillId="10" borderId="13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20" fontId="87" fillId="0" borderId="11" xfId="0" applyNumberFormat="1" applyFont="1" applyBorder="1" applyAlignment="1">
      <alignment horizontal="center" vertical="center"/>
    </xf>
    <xf numFmtId="20" fontId="87" fillId="0" borderId="13" xfId="0" applyNumberFormat="1" applyFont="1" applyBorder="1" applyAlignment="1">
      <alignment horizontal="center" vertical="center"/>
    </xf>
    <xf numFmtId="0" fontId="106" fillId="0" borderId="2" xfId="0" applyFont="1" applyBorder="1" applyAlignment="1">
      <alignment horizontal="center"/>
    </xf>
    <xf numFmtId="0" fontId="106" fillId="0" borderId="12" xfId="0" applyFont="1" applyBorder="1" applyAlignment="1">
      <alignment horizontal="center"/>
    </xf>
    <xf numFmtId="0" fontId="106" fillId="0" borderId="13" xfId="0" applyFont="1" applyBorder="1" applyAlignment="1">
      <alignment horizontal="center"/>
    </xf>
    <xf numFmtId="3" fontId="82" fillId="24" borderId="118" xfId="0" applyNumberFormat="1" applyFont="1" applyFill="1" applyBorder="1" applyAlignment="1">
      <alignment horizontal="center"/>
    </xf>
    <xf numFmtId="3" fontId="82" fillId="24" borderId="119" xfId="0" applyNumberFormat="1" applyFont="1" applyFill="1" applyBorder="1" applyAlignment="1">
      <alignment horizontal="center"/>
    </xf>
    <xf numFmtId="0" fontId="82" fillId="24" borderId="118" xfId="0" applyFont="1" applyFill="1" applyBorder="1" applyAlignment="1">
      <alignment horizontal="center"/>
    </xf>
    <xf numFmtId="0" fontId="82" fillId="24" borderId="39" xfId="0" applyFont="1" applyFill="1" applyBorder="1" applyAlignment="1">
      <alignment horizontal="center"/>
    </xf>
    <xf numFmtId="0" fontId="82" fillId="24" borderId="119" xfId="0" applyFont="1" applyFill="1" applyBorder="1" applyAlignment="1">
      <alignment horizontal="center"/>
    </xf>
    <xf numFmtId="0" fontId="107" fillId="0" borderId="2" xfId="0" applyFont="1" applyBorder="1" applyAlignment="1">
      <alignment horizontal="center"/>
    </xf>
    <xf numFmtId="0" fontId="107" fillId="0" borderId="12" xfId="0" applyFont="1" applyBorder="1" applyAlignment="1">
      <alignment horizontal="center"/>
    </xf>
    <xf numFmtId="0" fontId="107" fillId="0" borderId="13" xfId="0" applyFont="1" applyBorder="1" applyAlignment="1">
      <alignment horizontal="center"/>
    </xf>
    <xf numFmtId="0" fontId="77" fillId="0" borderId="40" xfId="0" applyFont="1" applyBorder="1" applyAlignment="1">
      <alignment horizontal="center" vertical="center"/>
    </xf>
    <xf numFmtId="0" fontId="77" fillId="0" borderId="43" xfId="0" applyFont="1" applyBorder="1" applyAlignment="1">
      <alignment horizontal="center" vertical="center"/>
    </xf>
    <xf numFmtId="0" fontId="77" fillId="0" borderId="60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6" fillId="0" borderId="60" xfId="0" applyFont="1" applyBorder="1" applyAlignment="1">
      <alignment horizontal="center" vertical="center"/>
    </xf>
    <xf numFmtId="0" fontId="16" fillId="0" borderId="44" xfId="0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0" fontId="16" fillId="0" borderId="92" xfId="0" applyFont="1" applyBorder="1" applyAlignment="1">
      <alignment horizontal="center" vertical="center"/>
    </xf>
    <xf numFmtId="0" fontId="77" fillId="0" borderId="45" xfId="0" applyFont="1" applyBorder="1" applyAlignment="1">
      <alignment horizontal="center" vertical="center"/>
    </xf>
    <xf numFmtId="0" fontId="77" fillId="0" borderId="3" xfId="0" applyFont="1" applyBorder="1" applyAlignment="1">
      <alignment horizontal="center" vertical="center"/>
    </xf>
    <xf numFmtId="0" fontId="77" fillId="0" borderId="57" xfId="0" applyFont="1" applyBorder="1" applyAlignment="1">
      <alignment horizontal="center" vertical="center"/>
    </xf>
    <xf numFmtId="0" fontId="77" fillId="0" borderId="44" xfId="0" applyFont="1" applyBorder="1" applyAlignment="1">
      <alignment horizontal="center" vertical="center"/>
    </xf>
    <xf numFmtId="0" fontId="77" fillId="0" borderId="42" xfId="0" applyFont="1" applyBorder="1" applyAlignment="1">
      <alignment horizontal="center" vertical="center"/>
    </xf>
    <xf numFmtId="0" fontId="77" fillId="0" borderId="92" xfId="0" applyFont="1" applyBorder="1" applyAlignment="1">
      <alignment horizontal="center" vertical="center"/>
    </xf>
    <xf numFmtId="0" fontId="77" fillId="0" borderId="46" xfId="0" applyFont="1" applyBorder="1" applyAlignment="1">
      <alignment horizontal="center" vertical="center"/>
    </xf>
    <xf numFmtId="0" fontId="77" fillId="0" borderId="47" xfId="0" applyFont="1" applyBorder="1" applyAlignment="1">
      <alignment horizontal="center" vertical="center"/>
    </xf>
    <xf numFmtId="0" fontId="77" fillId="0" borderId="93" xfId="0" applyFont="1" applyBorder="1" applyAlignment="1">
      <alignment horizontal="center" vertical="center"/>
    </xf>
    <xf numFmtId="0" fontId="21" fillId="0" borderId="2" xfId="0" quotePrefix="1" applyFont="1" applyBorder="1" applyAlignment="1">
      <alignment horizontal="center"/>
    </xf>
    <xf numFmtId="0" fontId="21" fillId="0" borderId="57" xfId="0" quotePrefix="1" applyFont="1" applyBorder="1" applyAlignment="1">
      <alignment horizontal="center"/>
    </xf>
    <xf numFmtId="3" fontId="81" fillId="24" borderId="88" xfId="0" quotePrefix="1" applyNumberFormat="1" applyFont="1" applyFill="1" applyBorder="1" applyAlignment="1">
      <alignment horizontal="center"/>
    </xf>
    <xf numFmtId="3" fontId="81" fillId="24" borderId="90" xfId="0" quotePrefix="1" applyNumberFormat="1" applyFont="1" applyFill="1" applyBorder="1" applyAlignment="1">
      <alignment horizontal="center"/>
    </xf>
    <xf numFmtId="14" fontId="9" fillId="5" borderId="11" xfId="0" applyNumberFormat="1" applyFont="1" applyFill="1" applyBorder="1" applyAlignment="1">
      <alignment horizontal="center"/>
    </xf>
    <xf numFmtId="14" fontId="9" fillId="5" borderId="73" xfId="0" applyNumberFormat="1" applyFont="1" applyFill="1" applyBorder="1" applyAlignment="1">
      <alignment horizontal="center"/>
    </xf>
    <xf numFmtId="0" fontId="85" fillId="24" borderId="88" xfId="0" applyFont="1" applyFill="1" applyBorder="1" applyAlignment="1">
      <alignment horizontal="center"/>
    </xf>
    <xf numFmtId="0" fontId="85" fillId="24" borderId="89" xfId="0" applyFont="1" applyFill="1" applyBorder="1" applyAlignment="1">
      <alignment horizontal="center"/>
    </xf>
    <xf numFmtId="0" fontId="85" fillId="24" borderId="90" xfId="0" applyFont="1" applyFill="1" applyBorder="1" applyAlignment="1">
      <alignment horizontal="center"/>
    </xf>
    <xf numFmtId="0" fontId="82" fillId="24" borderId="88" xfId="0" applyFont="1" applyFill="1" applyBorder="1" applyAlignment="1">
      <alignment horizontal="center"/>
    </xf>
    <xf numFmtId="0" fontId="82" fillId="24" borderId="89" xfId="0" applyFont="1" applyFill="1" applyBorder="1" applyAlignment="1">
      <alignment horizontal="center"/>
    </xf>
    <xf numFmtId="0" fontId="82" fillId="24" borderId="91" xfId="0" applyFont="1" applyFill="1" applyBorder="1" applyAlignment="1">
      <alignment horizontal="center"/>
    </xf>
    <xf numFmtId="0" fontId="21" fillId="0" borderId="4" xfId="0" quotePrefix="1" applyFont="1" applyBorder="1" applyAlignment="1">
      <alignment horizontal="center"/>
    </xf>
  </cellXfs>
  <cellStyles count="3">
    <cellStyle name="Good" xfId="2" builtinId="26"/>
    <cellStyle name="Normal" xfId="0" builtinId="0"/>
    <cellStyle name="Percent" xfId="1" builtinId="5"/>
  </cellStyles>
  <dxfs count="148"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ont>
        <color theme="3" tint="-0.24994659260841701"/>
      </font>
      <fill>
        <patternFill>
          <bgColor theme="4" tint="0.59996337778862885"/>
        </patternFill>
      </fill>
    </dxf>
    <dxf>
      <font>
        <color theme="3" tint="-0.24994659260841701"/>
      </font>
      <fill>
        <patternFill>
          <bgColor theme="9" tint="0.39994506668294322"/>
        </patternFill>
      </fill>
    </dxf>
    <dxf>
      <font>
        <color theme="3" tint="-0.24994659260841701"/>
      </font>
      <fill>
        <patternFill>
          <bgColor rgb="FFEE9992"/>
        </patternFill>
      </fill>
    </dxf>
    <dxf>
      <font>
        <color theme="3" tint="-0.24994659260841701"/>
      </font>
      <fill>
        <patternFill>
          <bgColor theme="4" tint="0.59996337778862885"/>
        </patternFill>
      </fill>
    </dxf>
    <dxf>
      <font>
        <color theme="3" tint="-0.24994659260841701"/>
      </font>
      <fill>
        <patternFill>
          <bgColor theme="9" tint="0.39994506668294322"/>
        </patternFill>
      </fill>
    </dxf>
    <dxf>
      <font>
        <color theme="3" tint="-0.24994659260841701"/>
      </font>
      <fill>
        <patternFill>
          <bgColor rgb="FFEE9992"/>
        </patternFill>
      </fill>
    </dxf>
    <dxf>
      <font>
        <color theme="3" tint="-0.24994659260841701"/>
      </font>
      <fill>
        <patternFill>
          <bgColor theme="4" tint="0.59996337778862885"/>
        </patternFill>
      </fill>
    </dxf>
    <dxf>
      <font>
        <color theme="3" tint="-0.24994659260841701"/>
      </font>
      <fill>
        <patternFill>
          <bgColor theme="9" tint="0.39994506668294322"/>
        </patternFill>
      </fill>
    </dxf>
    <dxf>
      <font>
        <color theme="3" tint="-0.24994659260841701"/>
      </font>
      <fill>
        <patternFill>
          <bgColor rgb="FFEE9992"/>
        </patternFill>
      </fill>
    </dxf>
    <dxf>
      <font>
        <color theme="3" tint="-0.24994659260841701"/>
      </font>
      <fill>
        <patternFill>
          <bgColor theme="4" tint="0.59996337778862885"/>
        </patternFill>
      </fill>
    </dxf>
    <dxf>
      <font>
        <color theme="3" tint="-0.24994659260841701"/>
      </font>
      <fill>
        <patternFill>
          <bgColor theme="9" tint="0.39994506668294322"/>
        </patternFill>
      </fill>
    </dxf>
    <dxf>
      <font>
        <color theme="3" tint="-0.24994659260841701"/>
      </font>
      <fill>
        <patternFill>
          <bgColor rgb="FFEE9992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EE9992"/>
        </patternFill>
      </fill>
    </dxf>
    <dxf>
      <font>
        <color theme="3" tint="-0.24994659260841701"/>
      </font>
      <fill>
        <patternFill>
          <bgColor theme="4" tint="0.59996337778862885"/>
        </patternFill>
      </fill>
    </dxf>
    <dxf>
      <font>
        <color theme="3" tint="-0.24994659260841701"/>
      </font>
      <fill>
        <patternFill>
          <bgColor theme="9" tint="0.39994506668294322"/>
        </patternFill>
      </fill>
    </dxf>
    <dxf>
      <font>
        <color theme="3" tint="-0.24994659260841701"/>
      </font>
      <fill>
        <patternFill>
          <bgColor rgb="FFEE9992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bgColor auto="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EE9992"/>
        </patternFill>
      </fill>
    </dxf>
    <dxf>
      <font>
        <color theme="3" tint="-0.24994659260841701"/>
      </font>
      <fill>
        <patternFill>
          <bgColor theme="4" tint="0.59996337778862885"/>
        </patternFill>
      </fill>
    </dxf>
    <dxf>
      <font>
        <color theme="3" tint="-0.24994659260841701"/>
      </font>
      <fill>
        <patternFill>
          <bgColor theme="9" tint="0.39994506668294322"/>
        </patternFill>
      </fill>
    </dxf>
    <dxf>
      <font>
        <color theme="3" tint="-0.24994659260841701"/>
      </font>
      <fill>
        <patternFill>
          <bgColor rgb="FFEE9992"/>
        </patternFill>
      </fill>
    </dxf>
    <dxf>
      <fill>
        <patternFill>
          <bgColor rgb="FFCCFF99"/>
        </patternFill>
      </fill>
    </dxf>
    <dxf>
      <fill>
        <patternFill>
          <bgColor rgb="FF00FF00"/>
        </patternFill>
      </fill>
    </dxf>
    <dxf>
      <fill>
        <patternFill>
          <bgColor rgb="FFCCFF99"/>
        </patternFill>
      </fill>
    </dxf>
    <dxf>
      <fill>
        <patternFill>
          <bgColor rgb="FF00FF00"/>
        </patternFill>
      </fill>
    </dxf>
    <dxf>
      <font>
        <color rgb="FFC00000"/>
      </font>
    </dxf>
    <dxf>
      <fill>
        <patternFill>
          <bgColor rgb="FFCCFF99"/>
        </patternFill>
      </fill>
    </dxf>
    <dxf>
      <fill>
        <patternFill>
          <bgColor rgb="FF00FF00"/>
        </patternFill>
      </fill>
    </dxf>
    <dxf>
      <font>
        <color theme="3" tint="-0.24994659260841701"/>
      </font>
    </dxf>
    <dxf>
      <font>
        <color theme="9" tint="-0.24994659260841701"/>
      </font>
    </dxf>
    <dxf>
      <font>
        <color rgb="FFC00000"/>
      </font>
    </dxf>
    <dxf>
      <font>
        <color theme="3" tint="-0.24994659260841701"/>
      </font>
    </dxf>
    <dxf>
      <font>
        <color theme="9" tint="-0.24994659260841701"/>
      </font>
    </dxf>
    <dxf>
      <fill>
        <patternFill>
          <bgColor rgb="FFCCFF99"/>
        </patternFill>
      </fill>
    </dxf>
    <dxf>
      <fill>
        <patternFill>
          <bgColor rgb="FF00FF00"/>
        </patternFill>
      </fill>
    </dxf>
    <dxf>
      <font>
        <color theme="3" tint="-0.24994659260841701"/>
      </font>
    </dxf>
    <dxf>
      <font>
        <color theme="9" tint="-0.24994659260841701"/>
      </font>
    </dxf>
    <dxf>
      <font>
        <color rgb="FFC00000"/>
      </font>
    </dxf>
    <dxf>
      <font>
        <color theme="3" tint="-0.24994659260841701"/>
      </font>
    </dxf>
    <dxf>
      <font>
        <color theme="9" tint="-0.24994659260841701"/>
      </font>
    </dxf>
    <dxf>
      <font>
        <color rgb="FFC00000"/>
      </font>
    </dxf>
    <dxf>
      <fill>
        <patternFill>
          <bgColor rgb="FFCCFF99"/>
        </patternFill>
      </fill>
    </dxf>
    <dxf>
      <fill>
        <patternFill>
          <bgColor rgb="FF00FF00"/>
        </patternFill>
      </fill>
    </dxf>
    <dxf>
      <font>
        <color theme="3" tint="-0.24994659260841701"/>
      </font>
    </dxf>
    <dxf>
      <font>
        <color theme="9" tint="-0.24994659260841701"/>
      </font>
    </dxf>
    <dxf>
      <font>
        <color rgb="FFC00000"/>
      </font>
    </dxf>
    <dxf>
      <fill>
        <patternFill>
          <bgColor rgb="FFCCFF99"/>
        </patternFill>
      </fill>
    </dxf>
    <dxf>
      <fill>
        <patternFill>
          <bgColor rgb="FF00FF00"/>
        </patternFill>
      </fill>
    </dxf>
    <dxf>
      <font>
        <color rgb="FFFFCCCC"/>
      </font>
    </dxf>
    <dxf>
      <fill>
        <patternFill>
          <bgColor theme="4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EE9992"/>
        </patternFill>
      </fill>
    </dxf>
    <dxf>
      <font>
        <color theme="3" tint="-0.24994659260841701"/>
      </font>
    </dxf>
    <dxf>
      <font>
        <color theme="9" tint="-0.24994659260841701"/>
      </font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EE9992"/>
        </patternFill>
      </fill>
    </dxf>
    <dxf>
      <font>
        <color theme="3" tint="-0.24994659260841701"/>
      </font>
    </dxf>
    <dxf>
      <font>
        <color theme="9" tint="-0.24994659260841701"/>
      </font>
    </dxf>
    <dxf>
      <font>
        <color rgb="FFC00000"/>
      </font>
    </dxf>
    <dxf>
      <fill>
        <patternFill>
          <bgColor theme="4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EE9992"/>
        </patternFill>
      </fill>
    </dxf>
    <dxf>
      <font>
        <color theme="3" tint="-0.24994659260841701"/>
      </font>
    </dxf>
    <dxf>
      <font>
        <color theme="9" tint="-0.24994659260841701"/>
      </font>
    </dxf>
    <dxf>
      <font>
        <color rgb="FFC0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CECFF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CFF99"/>
      <color rgb="FFFFFFCC"/>
      <color rgb="FFF0FFDD"/>
      <color rgb="FF00FF00"/>
      <color rgb="FFFDDDC3"/>
      <color rgb="FFFFDDFF"/>
      <color rgb="FFCCECFF"/>
      <color rgb="FFFFC000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230639311678963E-2"/>
          <c:y val="2.3202757962464723E-2"/>
          <c:w val="0.93262417669489439"/>
          <c:h val="0.90197664947054035"/>
        </c:manualLayout>
      </c:layout>
      <c:lineChart>
        <c:grouping val="standard"/>
        <c:varyColors val="0"/>
        <c:ser>
          <c:idx val="0"/>
          <c:order val="0"/>
          <c:tx>
            <c:strRef>
              <c:f>qtr!$C$7</c:f>
              <c:strCache>
                <c:ptCount val="1"/>
                <c:pt idx="0">
                  <c:v>nL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qtr!$B$8:$B$63</c:f>
              <c:numCache>
                <c:formatCode>h:mm</c:formatCode>
                <c:ptCount val="56"/>
                <c:pt idx="0">
                  <c:v>0.21875</c:v>
                </c:pt>
                <c:pt idx="1">
                  <c:v>0.22916666666666699</c:v>
                </c:pt>
                <c:pt idx="2">
                  <c:v>0.23958333333333301</c:v>
                </c:pt>
                <c:pt idx="3">
                  <c:v>0.25</c:v>
                </c:pt>
                <c:pt idx="4">
                  <c:v>0.26041666666666669</c:v>
                </c:pt>
                <c:pt idx="5">
                  <c:v>0.27083333333333337</c:v>
                </c:pt>
                <c:pt idx="6">
                  <c:v>0.28125000000000006</c:v>
                </c:pt>
                <c:pt idx="7">
                  <c:v>0.29166666666666674</c:v>
                </c:pt>
                <c:pt idx="8">
                  <c:v>0.30208333333333343</c:v>
                </c:pt>
                <c:pt idx="9">
                  <c:v>0.31250000000000011</c:v>
                </c:pt>
                <c:pt idx="10">
                  <c:v>0.3229166666666668</c:v>
                </c:pt>
                <c:pt idx="11">
                  <c:v>0.33333333333333348</c:v>
                </c:pt>
                <c:pt idx="12">
                  <c:v>0.34375000000000017</c:v>
                </c:pt>
                <c:pt idx="13">
                  <c:v>0.35416666666666685</c:v>
                </c:pt>
                <c:pt idx="14">
                  <c:v>0.36458333333333354</c:v>
                </c:pt>
                <c:pt idx="15">
                  <c:v>0.37500000000000022</c:v>
                </c:pt>
                <c:pt idx="16">
                  <c:v>0.38541666666666691</c:v>
                </c:pt>
                <c:pt idx="17">
                  <c:v>0.39583333333333359</c:v>
                </c:pt>
                <c:pt idx="18">
                  <c:v>0.40625000000000028</c:v>
                </c:pt>
                <c:pt idx="19">
                  <c:v>0.41666666666666696</c:v>
                </c:pt>
                <c:pt idx="20">
                  <c:v>0.42708333333333365</c:v>
                </c:pt>
                <c:pt idx="21">
                  <c:v>0.43750000000000033</c:v>
                </c:pt>
                <c:pt idx="22">
                  <c:v>0.44791666666666702</c:v>
                </c:pt>
                <c:pt idx="23">
                  <c:v>0.4583333333333337</c:v>
                </c:pt>
                <c:pt idx="24">
                  <c:v>0.46875000000000039</c:v>
                </c:pt>
                <c:pt idx="25">
                  <c:v>0.47916666666666707</c:v>
                </c:pt>
                <c:pt idx="26">
                  <c:v>0.48958333333333376</c:v>
                </c:pt>
                <c:pt idx="27">
                  <c:v>0.50000000000000044</c:v>
                </c:pt>
                <c:pt idx="28">
                  <c:v>0.51041666666666707</c:v>
                </c:pt>
                <c:pt idx="29">
                  <c:v>0.5208333333333337</c:v>
                </c:pt>
                <c:pt idx="30">
                  <c:v>0.53125000000000033</c:v>
                </c:pt>
                <c:pt idx="31">
                  <c:v>0.54166666666666696</c:v>
                </c:pt>
                <c:pt idx="32">
                  <c:v>0.55208333333333359</c:v>
                </c:pt>
                <c:pt idx="33">
                  <c:v>0.56250000000000022</c:v>
                </c:pt>
                <c:pt idx="34">
                  <c:v>0.57291666666666685</c:v>
                </c:pt>
                <c:pt idx="35">
                  <c:v>0.58333333333333348</c:v>
                </c:pt>
                <c:pt idx="36">
                  <c:v>0.59375000000000011</c:v>
                </c:pt>
                <c:pt idx="37">
                  <c:v>0.60416666666666674</c:v>
                </c:pt>
                <c:pt idx="38">
                  <c:v>0.61458333333333337</c:v>
                </c:pt>
                <c:pt idx="39">
                  <c:v>0.625</c:v>
                </c:pt>
                <c:pt idx="40">
                  <c:v>0.63541666666666663</c:v>
                </c:pt>
                <c:pt idx="41">
                  <c:v>0.64583333333333326</c:v>
                </c:pt>
                <c:pt idx="42">
                  <c:v>0.65624999999999989</c:v>
                </c:pt>
                <c:pt idx="43">
                  <c:v>0.66666666666666652</c:v>
                </c:pt>
                <c:pt idx="44">
                  <c:v>0.67708333333333315</c:v>
                </c:pt>
                <c:pt idx="45">
                  <c:v>0.68749999999999978</c:v>
                </c:pt>
                <c:pt idx="46">
                  <c:v>0.69791666666666641</c:v>
                </c:pt>
                <c:pt idx="47">
                  <c:v>0.70833333333333304</c:v>
                </c:pt>
                <c:pt idx="48">
                  <c:v>0.71874999999999967</c:v>
                </c:pt>
                <c:pt idx="49">
                  <c:v>0.7291666666666663</c:v>
                </c:pt>
                <c:pt idx="50">
                  <c:v>0.73958333333333293</c:v>
                </c:pt>
                <c:pt idx="51">
                  <c:v>0.74999999999999956</c:v>
                </c:pt>
                <c:pt idx="52">
                  <c:v>0.76041666666666596</c:v>
                </c:pt>
                <c:pt idx="53">
                  <c:v>0.77083333333333304</c:v>
                </c:pt>
                <c:pt idx="54">
                  <c:v>0.781249999999999</c:v>
                </c:pt>
                <c:pt idx="55">
                  <c:v>0.79166666666666596</c:v>
                </c:pt>
              </c:numCache>
            </c:numRef>
          </c:cat>
          <c:val>
            <c:numRef>
              <c:f>qtr!$C$8:$C$63</c:f>
              <c:numCache>
                <c:formatCode>#,##0</c:formatCode>
                <c:ptCount val="56"/>
                <c:pt idx="4">
                  <c:v>8</c:v>
                </c:pt>
                <c:pt idx="5">
                  <c:v>13</c:v>
                </c:pt>
                <c:pt idx="6">
                  <c:v>20</c:v>
                </c:pt>
                <c:pt idx="7">
                  <c:v>12</c:v>
                </c:pt>
                <c:pt idx="8">
                  <c:v>18</c:v>
                </c:pt>
                <c:pt idx="9">
                  <c:v>20</c:v>
                </c:pt>
                <c:pt idx="10">
                  <c:v>27</c:v>
                </c:pt>
                <c:pt idx="11">
                  <c:v>18</c:v>
                </c:pt>
                <c:pt idx="12">
                  <c:v>19</c:v>
                </c:pt>
                <c:pt idx="13">
                  <c:v>22</c:v>
                </c:pt>
                <c:pt idx="14">
                  <c:v>31</c:v>
                </c:pt>
                <c:pt idx="15">
                  <c:v>36</c:v>
                </c:pt>
                <c:pt idx="24">
                  <c:v>11</c:v>
                </c:pt>
                <c:pt idx="25">
                  <c:v>19</c:v>
                </c:pt>
                <c:pt idx="26">
                  <c:v>12</c:v>
                </c:pt>
                <c:pt idx="27">
                  <c:v>14</c:v>
                </c:pt>
                <c:pt idx="28">
                  <c:v>16</c:v>
                </c:pt>
                <c:pt idx="29">
                  <c:v>24</c:v>
                </c:pt>
                <c:pt idx="30">
                  <c:v>20</c:v>
                </c:pt>
                <c:pt idx="31">
                  <c:v>15</c:v>
                </c:pt>
                <c:pt idx="32">
                  <c:v>22</c:v>
                </c:pt>
                <c:pt idx="33">
                  <c:v>11</c:v>
                </c:pt>
                <c:pt idx="34">
                  <c:v>16</c:v>
                </c:pt>
                <c:pt idx="35">
                  <c:v>13</c:v>
                </c:pt>
                <c:pt idx="40">
                  <c:v>19</c:v>
                </c:pt>
                <c:pt idx="41">
                  <c:v>23</c:v>
                </c:pt>
                <c:pt idx="42">
                  <c:v>30</c:v>
                </c:pt>
                <c:pt idx="43">
                  <c:v>21</c:v>
                </c:pt>
                <c:pt idx="44">
                  <c:v>26</c:v>
                </c:pt>
                <c:pt idx="45">
                  <c:v>33</c:v>
                </c:pt>
                <c:pt idx="46">
                  <c:v>56</c:v>
                </c:pt>
                <c:pt idx="47">
                  <c:v>72</c:v>
                </c:pt>
                <c:pt idx="48">
                  <c:v>71</c:v>
                </c:pt>
                <c:pt idx="49">
                  <c:v>86</c:v>
                </c:pt>
                <c:pt idx="50">
                  <c:v>73</c:v>
                </c:pt>
                <c:pt idx="5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F-40B5-9CDF-C51852AECDF5}"/>
            </c:ext>
          </c:extLst>
        </c:ser>
        <c:ser>
          <c:idx val="1"/>
          <c:order val="1"/>
          <c:tx>
            <c:strRef>
              <c:f>qtr!$D$7</c:f>
              <c:strCache>
                <c:ptCount val="1"/>
                <c:pt idx="0">
                  <c:v>nS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qtr!$B$8:$B$63</c:f>
              <c:numCache>
                <c:formatCode>h:mm</c:formatCode>
                <c:ptCount val="56"/>
                <c:pt idx="0">
                  <c:v>0.21875</c:v>
                </c:pt>
                <c:pt idx="1">
                  <c:v>0.22916666666666699</c:v>
                </c:pt>
                <c:pt idx="2">
                  <c:v>0.23958333333333301</c:v>
                </c:pt>
                <c:pt idx="3">
                  <c:v>0.25</c:v>
                </c:pt>
                <c:pt idx="4">
                  <c:v>0.26041666666666669</c:v>
                </c:pt>
                <c:pt idx="5">
                  <c:v>0.27083333333333337</c:v>
                </c:pt>
                <c:pt idx="6">
                  <c:v>0.28125000000000006</c:v>
                </c:pt>
                <c:pt idx="7">
                  <c:v>0.29166666666666674</c:v>
                </c:pt>
                <c:pt idx="8">
                  <c:v>0.30208333333333343</c:v>
                </c:pt>
                <c:pt idx="9">
                  <c:v>0.31250000000000011</c:v>
                </c:pt>
                <c:pt idx="10">
                  <c:v>0.3229166666666668</c:v>
                </c:pt>
                <c:pt idx="11">
                  <c:v>0.33333333333333348</c:v>
                </c:pt>
                <c:pt idx="12">
                  <c:v>0.34375000000000017</c:v>
                </c:pt>
                <c:pt idx="13">
                  <c:v>0.35416666666666685</c:v>
                </c:pt>
                <c:pt idx="14">
                  <c:v>0.36458333333333354</c:v>
                </c:pt>
                <c:pt idx="15">
                  <c:v>0.37500000000000022</c:v>
                </c:pt>
                <c:pt idx="16">
                  <c:v>0.38541666666666691</c:v>
                </c:pt>
                <c:pt idx="17">
                  <c:v>0.39583333333333359</c:v>
                </c:pt>
                <c:pt idx="18">
                  <c:v>0.40625000000000028</c:v>
                </c:pt>
                <c:pt idx="19">
                  <c:v>0.41666666666666696</c:v>
                </c:pt>
                <c:pt idx="20">
                  <c:v>0.42708333333333365</c:v>
                </c:pt>
                <c:pt idx="21">
                  <c:v>0.43750000000000033</c:v>
                </c:pt>
                <c:pt idx="22">
                  <c:v>0.44791666666666702</c:v>
                </c:pt>
                <c:pt idx="23">
                  <c:v>0.4583333333333337</c:v>
                </c:pt>
                <c:pt idx="24">
                  <c:v>0.46875000000000039</c:v>
                </c:pt>
                <c:pt idx="25">
                  <c:v>0.47916666666666707</c:v>
                </c:pt>
                <c:pt idx="26">
                  <c:v>0.48958333333333376</c:v>
                </c:pt>
                <c:pt idx="27">
                  <c:v>0.50000000000000044</c:v>
                </c:pt>
                <c:pt idx="28">
                  <c:v>0.51041666666666707</c:v>
                </c:pt>
                <c:pt idx="29">
                  <c:v>0.5208333333333337</c:v>
                </c:pt>
                <c:pt idx="30">
                  <c:v>0.53125000000000033</c:v>
                </c:pt>
                <c:pt idx="31">
                  <c:v>0.54166666666666696</c:v>
                </c:pt>
                <c:pt idx="32">
                  <c:v>0.55208333333333359</c:v>
                </c:pt>
                <c:pt idx="33">
                  <c:v>0.56250000000000022</c:v>
                </c:pt>
                <c:pt idx="34">
                  <c:v>0.57291666666666685</c:v>
                </c:pt>
                <c:pt idx="35">
                  <c:v>0.58333333333333348</c:v>
                </c:pt>
                <c:pt idx="36">
                  <c:v>0.59375000000000011</c:v>
                </c:pt>
                <c:pt idx="37">
                  <c:v>0.60416666666666674</c:v>
                </c:pt>
                <c:pt idx="38">
                  <c:v>0.61458333333333337</c:v>
                </c:pt>
                <c:pt idx="39">
                  <c:v>0.625</c:v>
                </c:pt>
                <c:pt idx="40">
                  <c:v>0.63541666666666663</c:v>
                </c:pt>
                <c:pt idx="41">
                  <c:v>0.64583333333333326</c:v>
                </c:pt>
                <c:pt idx="42">
                  <c:v>0.65624999999999989</c:v>
                </c:pt>
                <c:pt idx="43">
                  <c:v>0.66666666666666652</c:v>
                </c:pt>
                <c:pt idx="44">
                  <c:v>0.67708333333333315</c:v>
                </c:pt>
                <c:pt idx="45">
                  <c:v>0.68749999999999978</c:v>
                </c:pt>
                <c:pt idx="46">
                  <c:v>0.69791666666666641</c:v>
                </c:pt>
                <c:pt idx="47">
                  <c:v>0.70833333333333304</c:v>
                </c:pt>
                <c:pt idx="48">
                  <c:v>0.71874999999999967</c:v>
                </c:pt>
                <c:pt idx="49">
                  <c:v>0.7291666666666663</c:v>
                </c:pt>
                <c:pt idx="50">
                  <c:v>0.73958333333333293</c:v>
                </c:pt>
                <c:pt idx="51">
                  <c:v>0.74999999999999956</c:v>
                </c:pt>
                <c:pt idx="52">
                  <c:v>0.76041666666666596</c:v>
                </c:pt>
                <c:pt idx="53">
                  <c:v>0.77083333333333304</c:v>
                </c:pt>
                <c:pt idx="54">
                  <c:v>0.781249999999999</c:v>
                </c:pt>
                <c:pt idx="55">
                  <c:v>0.79166666666666596</c:v>
                </c:pt>
              </c:numCache>
            </c:numRef>
          </c:cat>
          <c:val>
            <c:numRef>
              <c:f>qtr!$D$8:$D$63</c:f>
              <c:numCache>
                <c:formatCode>#,##0</c:formatCode>
                <c:ptCount val="56"/>
                <c:pt idx="4">
                  <c:v>24</c:v>
                </c:pt>
                <c:pt idx="5">
                  <c:v>23</c:v>
                </c:pt>
                <c:pt idx="6">
                  <c:v>43</c:v>
                </c:pt>
                <c:pt idx="7">
                  <c:v>61</c:v>
                </c:pt>
                <c:pt idx="8">
                  <c:v>93</c:v>
                </c:pt>
                <c:pt idx="9">
                  <c:v>103</c:v>
                </c:pt>
                <c:pt idx="10">
                  <c:v>105</c:v>
                </c:pt>
                <c:pt idx="11">
                  <c:v>111</c:v>
                </c:pt>
                <c:pt idx="12">
                  <c:v>113</c:v>
                </c:pt>
                <c:pt idx="13">
                  <c:v>121</c:v>
                </c:pt>
                <c:pt idx="14">
                  <c:v>91</c:v>
                </c:pt>
                <c:pt idx="15">
                  <c:v>81</c:v>
                </c:pt>
                <c:pt idx="24">
                  <c:v>61</c:v>
                </c:pt>
                <c:pt idx="25">
                  <c:v>73</c:v>
                </c:pt>
                <c:pt idx="26">
                  <c:v>71</c:v>
                </c:pt>
                <c:pt idx="27">
                  <c:v>80</c:v>
                </c:pt>
                <c:pt idx="28">
                  <c:v>81</c:v>
                </c:pt>
                <c:pt idx="29">
                  <c:v>72</c:v>
                </c:pt>
                <c:pt idx="30">
                  <c:v>69</c:v>
                </c:pt>
                <c:pt idx="31">
                  <c:v>62</c:v>
                </c:pt>
                <c:pt idx="32">
                  <c:v>59</c:v>
                </c:pt>
                <c:pt idx="33">
                  <c:v>61</c:v>
                </c:pt>
                <c:pt idx="34">
                  <c:v>58</c:v>
                </c:pt>
                <c:pt idx="35">
                  <c:v>67</c:v>
                </c:pt>
                <c:pt idx="40">
                  <c:v>67</c:v>
                </c:pt>
                <c:pt idx="41">
                  <c:v>79</c:v>
                </c:pt>
                <c:pt idx="42">
                  <c:v>84</c:v>
                </c:pt>
                <c:pt idx="43">
                  <c:v>99</c:v>
                </c:pt>
                <c:pt idx="44">
                  <c:v>104</c:v>
                </c:pt>
                <c:pt idx="45">
                  <c:v>110</c:v>
                </c:pt>
                <c:pt idx="46">
                  <c:v>109</c:v>
                </c:pt>
                <c:pt idx="47">
                  <c:v>123</c:v>
                </c:pt>
                <c:pt idx="48">
                  <c:v>147</c:v>
                </c:pt>
                <c:pt idx="49">
                  <c:v>159</c:v>
                </c:pt>
                <c:pt idx="50">
                  <c:v>154</c:v>
                </c:pt>
                <c:pt idx="51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F-40B5-9CDF-C51852AECDF5}"/>
            </c:ext>
          </c:extLst>
        </c:ser>
        <c:ser>
          <c:idx val="2"/>
          <c:order val="2"/>
          <c:tx>
            <c:strRef>
              <c:f>qtr!$E$7</c:f>
              <c:strCache>
                <c:ptCount val="1"/>
                <c:pt idx="0">
                  <c:v>nR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qtr!$B$8:$B$63</c:f>
              <c:numCache>
                <c:formatCode>h:mm</c:formatCode>
                <c:ptCount val="56"/>
                <c:pt idx="0">
                  <c:v>0.21875</c:v>
                </c:pt>
                <c:pt idx="1">
                  <c:v>0.22916666666666699</c:v>
                </c:pt>
                <c:pt idx="2">
                  <c:v>0.23958333333333301</c:v>
                </c:pt>
                <c:pt idx="3">
                  <c:v>0.25</c:v>
                </c:pt>
                <c:pt idx="4">
                  <c:v>0.26041666666666669</c:v>
                </c:pt>
                <c:pt idx="5">
                  <c:v>0.27083333333333337</c:v>
                </c:pt>
                <c:pt idx="6">
                  <c:v>0.28125000000000006</c:v>
                </c:pt>
                <c:pt idx="7">
                  <c:v>0.29166666666666674</c:v>
                </c:pt>
                <c:pt idx="8">
                  <c:v>0.30208333333333343</c:v>
                </c:pt>
                <c:pt idx="9">
                  <c:v>0.31250000000000011</c:v>
                </c:pt>
                <c:pt idx="10">
                  <c:v>0.3229166666666668</c:v>
                </c:pt>
                <c:pt idx="11">
                  <c:v>0.33333333333333348</c:v>
                </c:pt>
                <c:pt idx="12">
                  <c:v>0.34375000000000017</c:v>
                </c:pt>
                <c:pt idx="13">
                  <c:v>0.35416666666666685</c:v>
                </c:pt>
                <c:pt idx="14">
                  <c:v>0.36458333333333354</c:v>
                </c:pt>
                <c:pt idx="15">
                  <c:v>0.37500000000000022</c:v>
                </c:pt>
                <c:pt idx="16">
                  <c:v>0.38541666666666691</c:v>
                </c:pt>
                <c:pt idx="17">
                  <c:v>0.39583333333333359</c:v>
                </c:pt>
                <c:pt idx="18">
                  <c:v>0.40625000000000028</c:v>
                </c:pt>
                <c:pt idx="19">
                  <c:v>0.41666666666666696</c:v>
                </c:pt>
                <c:pt idx="20">
                  <c:v>0.42708333333333365</c:v>
                </c:pt>
                <c:pt idx="21">
                  <c:v>0.43750000000000033</c:v>
                </c:pt>
                <c:pt idx="22">
                  <c:v>0.44791666666666702</c:v>
                </c:pt>
                <c:pt idx="23">
                  <c:v>0.4583333333333337</c:v>
                </c:pt>
                <c:pt idx="24">
                  <c:v>0.46875000000000039</c:v>
                </c:pt>
                <c:pt idx="25">
                  <c:v>0.47916666666666707</c:v>
                </c:pt>
                <c:pt idx="26">
                  <c:v>0.48958333333333376</c:v>
                </c:pt>
                <c:pt idx="27">
                  <c:v>0.50000000000000044</c:v>
                </c:pt>
                <c:pt idx="28">
                  <c:v>0.51041666666666707</c:v>
                </c:pt>
                <c:pt idx="29">
                  <c:v>0.5208333333333337</c:v>
                </c:pt>
                <c:pt idx="30">
                  <c:v>0.53125000000000033</c:v>
                </c:pt>
                <c:pt idx="31">
                  <c:v>0.54166666666666696</c:v>
                </c:pt>
                <c:pt idx="32">
                  <c:v>0.55208333333333359</c:v>
                </c:pt>
                <c:pt idx="33">
                  <c:v>0.56250000000000022</c:v>
                </c:pt>
                <c:pt idx="34">
                  <c:v>0.57291666666666685</c:v>
                </c:pt>
                <c:pt idx="35">
                  <c:v>0.58333333333333348</c:v>
                </c:pt>
                <c:pt idx="36">
                  <c:v>0.59375000000000011</c:v>
                </c:pt>
                <c:pt idx="37">
                  <c:v>0.60416666666666674</c:v>
                </c:pt>
                <c:pt idx="38">
                  <c:v>0.61458333333333337</c:v>
                </c:pt>
                <c:pt idx="39">
                  <c:v>0.625</c:v>
                </c:pt>
                <c:pt idx="40">
                  <c:v>0.63541666666666663</c:v>
                </c:pt>
                <c:pt idx="41">
                  <c:v>0.64583333333333326</c:v>
                </c:pt>
                <c:pt idx="42">
                  <c:v>0.65624999999999989</c:v>
                </c:pt>
                <c:pt idx="43">
                  <c:v>0.66666666666666652</c:v>
                </c:pt>
                <c:pt idx="44">
                  <c:v>0.67708333333333315</c:v>
                </c:pt>
                <c:pt idx="45">
                  <c:v>0.68749999999999978</c:v>
                </c:pt>
                <c:pt idx="46">
                  <c:v>0.69791666666666641</c:v>
                </c:pt>
                <c:pt idx="47">
                  <c:v>0.70833333333333304</c:v>
                </c:pt>
                <c:pt idx="48">
                  <c:v>0.71874999999999967</c:v>
                </c:pt>
                <c:pt idx="49">
                  <c:v>0.7291666666666663</c:v>
                </c:pt>
                <c:pt idx="50">
                  <c:v>0.73958333333333293</c:v>
                </c:pt>
                <c:pt idx="51">
                  <c:v>0.74999999999999956</c:v>
                </c:pt>
                <c:pt idx="52">
                  <c:v>0.76041666666666596</c:v>
                </c:pt>
                <c:pt idx="53">
                  <c:v>0.77083333333333304</c:v>
                </c:pt>
                <c:pt idx="54">
                  <c:v>0.781249999999999</c:v>
                </c:pt>
                <c:pt idx="55">
                  <c:v>0.79166666666666596</c:v>
                </c:pt>
              </c:numCache>
            </c:numRef>
          </c:cat>
          <c:val>
            <c:numRef>
              <c:f>qtr!$E$8:$E$63</c:f>
              <c:numCache>
                <c:formatCode>#,##0</c:formatCode>
                <c:ptCount val="56"/>
                <c:pt idx="4">
                  <c:v>5</c:v>
                </c:pt>
                <c:pt idx="5">
                  <c:v>10</c:v>
                </c:pt>
                <c:pt idx="6">
                  <c:v>12</c:v>
                </c:pt>
                <c:pt idx="7">
                  <c:v>18</c:v>
                </c:pt>
                <c:pt idx="8">
                  <c:v>11</c:v>
                </c:pt>
                <c:pt idx="9">
                  <c:v>13</c:v>
                </c:pt>
                <c:pt idx="10">
                  <c:v>16</c:v>
                </c:pt>
                <c:pt idx="11">
                  <c:v>17</c:v>
                </c:pt>
                <c:pt idx="12">
                  <c:v>11</c:v>
                </c:pt>
                <c:pt idx="13">
                  <c:v>19</c:v>
                </c:pt>
                <c:pt idx="14">
                  <c:v>15</c:v>
                </c:pt>
                <c:pt idx="15">
                  <c:v>10</c:v>
                </c:pt>
                <c:pt idx="24">
                  <c:v>22</c:v>
                </c:pt>
                <c:pt idx="25">
                  <c:v>26</c:v>
                </c:pt>
                <c:pt idx="26">
                  <c:v>22</c:v>
                </c:pt>
                <c:pt idx="27">
                  <c:v>27</c:v>
                </c:pt>
                <c:pt idx="28">
                  <c:v>31</c:v>
                </c:pt>
                <c:pt idx="29">
                  <c:v>29</c:v>
                </c:pt>
                <c:pt idx="30">
                  <c:v>31</c:v>
                </c:pt>
                <c:pt idx="31">
                  <c:v>27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25</c:v>
                </c:pt>
                <c:pt idx="40">
                  <c:v>19</c:v>
                </c:pt>
                <c:pt idx="41">
                  <c:v>27</c:v>
                </c:pt>
                <c:pt idx="42">
                  <c:v>33</c:v>
                </c:pt>
                <c:pt idx="43">
                  <c:v>21</c:v>
                </c:pt>
                <c:pt idx="44">
                  <c:v>23</c:v>
                </c:pt>
                <c:pt idx="45">
                  <c:v>29</c:v>
                </c:pt>
                <c:pt idx="46">
                  <c:v>12</c:v>
                </c:pt>
                <c:pt idx="47">
                  <c:v>17</c:v>
                </c:pt>
                <c:pt idx="48">
                  <c:v>12</c:v>
                </c:pt>
                <c:pt idx="49">
                  <c:v>14</c:v>
                </c:pt>
                <c:pt idx="50">
                  <c:v>16</c:v>
                </c:pt>
                <c:pt idx="5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F-40B5-9CDF-C51852AECDF5}"/>
            </c:ext>
          </c:extLst>
        </c:ser>
        <c:ser>
          <c:idx val="3"/>
          <c:order val="3"/>
          <c:tx>
            <c:strRef>
              <c:f>qtr!$F$7</c:f>
              <c:strCache>
                <c:ptCount val="1"/>
                <c:pt idx="0">
                  <c:v>sL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qtr!$B$8:$B$63</c:f>
              <c:numCache>
                <c:formatCode>h:mm</c:formatCode>
                <c:ptCount val="56"/>
                <c:pt idx="0">
                  <c:v>0.21875</c:v>
                </c:pt>
                <c:pt idx="1">
                  <c:v>0.22916666666666699</c:v>
                </c:pt>
                <c:pt idx="2">
                  <c:v>0.23958333333333301</c:v>
                </c:pt>
                <c:pt idx="3">
                  <c:v>0.25</c:v>
                </c:pt>
                <c:pt idx="4">
                  <c:v>0.26041666666666669</c:v>
                </c:pt>
                <c:pt idx="5">
                  <c:v>0.27083333333333337</c:v>
                </c:pt>
                <c:pt idx="6">
                  <c:v>0.28125000000000006</c:v>
                </c:pt>
                <c:pt idx="7">
                  <c:v>0.29166666666666674</c:v>
                </c:pt>
                <c:pt idx="8">
                  <c:v>0.30208333333333343</c:v>
                </c:pt>
                <c:pt idx="9">
                  <c:v>0.31250000000000011</c:v>
                </c:pt>
                <c:pt idx="10">
                  <c:v>0.3229166666666668</c:v>
                </c:pt>
                <c:pt idx="11">
                  <c:v>0.33333333333333348</c:v>
                </c:pt>
                <c:pt idx="12">
                  <c:v>0.34375000000000017</c:v>
                </c:pt>
                <c:pt idx="13">
                  <c:v>0.35416666666666685</c:v>
                </c:pt>
                <c:pt idx="14">
                  <c:v>0.36458333333333354</c:v>
                </c:pt>
                <c:pt idx="15">
                  <c:v>0.37500000000000022</c:v>
                </c:pt>
                <c:pt idx="16">
                  <c:v>0.38541666666666691</c:v>
                </c:pt>
                <c:pt idx="17">
                  <c:v>0.39583333333333359</c:v>
                </c:pt>
                <c:pt idx="18">
                  <c:v>0.40625000000000028</c:v>
                </c:pt>
                <c:pt idx="19">
                  <c:v>0.41666666666666696</c:v>
                </c:pt>
                <c:pt idx="20">
                  <c:v>0.42708333333333365</c:v>
                </c:pt>
                <c:pt idx="21">
                  <c:v>0.43750000000000033</c:v>
                </c:pt>
                <c:pt idx="22">
                  <c:v>0.44791666666666702</c:v>
                </c:pt>
                <c:pt idx="23">
                  <c:v>0.4583333333333337</c:v>
                </c:pt>
                <c:pt idx="24">
                  <c:v>0.46875000000000039</c:v>
                </c:pt>
                <c:pt idx="25">
                  <c:v>0.47916666666666707</c:v>
                </c:pt>
                <c:pt idx="26">
                  <c:v>0.48958333333333376</c:v>
                </c:pt>
                <c:pt idx="27">
                  <c:v>0.50000000000000044</c:v>
                </c:pt>
                <c:pt idx="28">
                  <c:v>0.51041666666666707</c:v>
                </c:pt>
                <c:pt idx="29">
                  <c:v>0.5208333333333337</c:v>
                </c:pt>
                <c:pt idx="30">
                  <c:v>0.53125000000000033</c:v>
                </c:pt>
                <c:pt idx="31">
                  <c:v>0.54166666666666696</c:v>
                </c:pt>
                <c:pt idx="32">
                  <c:v>0.55208333333333359</c:v>
                </c:pt>
                <c:pt idx="33">
                  <c:v>0.56250000000000022</c:v>
                </c:pt>
                <c:pt idx="34">
                  <c:v>0.57291666666666685</c:v>
                </c:pt>
                <c:pt idx="35">
                  <c:v>0.58333333333333348</c:v>
                </c:pt>
                <c:pt idx="36">
                  <c:v>0.59375000000000011</c:v>
                </c:pt>
                <c:pt idx="37">
                  <c:v>0.60416666666666674</c:v>
                </c:pt>
                <c:pt idx="38">
                  <c:v>0.61458333333333337</c:v>
                </c:pt>
                <c:pt idx="39">
                  <c:v>0.625</c:v>
                </c:pt>
                <c:pt idx="40">
                  <c:v>0.63541666666666663</c:v>
                </c:pt>
                <c:pt idx="41">
                  <c:v>0.64583333333333326</c:v>
                </c:pt>
                <c:pt idx="42">
                  <c:v>0.65624999999999989</c:v>
                </c:pt>
                <c:pt idx="43">
                  <c:v>0.66666666666666652</c:v>
                </c:pt>
                <c:pt idx="44">
                  <c:v>0.67708333333333315</c:v>
                </c:pt>
                <c:pt idx="45">
                  <c:v>0.68749999999999978</c:v>
                </c:pt>
                <c:pt idx="46">
                  <c:v>0.69791666666666641</c:v>
                </c:pt>
                <c:pt idx="47">
                  <c:v>0.70833333333333304</c:v>
                </c:pt>
                <c:pt idx="48">
                  <c:v>0.71874999999999967</c:v>
                </c:pt>
                <c:pt idx="49">
                  <c:v>0.7291666666666663</c:v>
                </c:pt>
                <c:pt idx="50">
                  <c:v>0.73958333333333293</c:v>
                </c:pt>
                <c:pt idx="51">
                  <c:v>0.74999999999999956</c:v>
                </c:pt>
                <c:pt idx="52">
                  <c:v>0.76041666666666596</c:v>
                </c:pt>
                <c:pt idx="53">
                  <c:v>0.77083333333333304</c:v>
                </c:pt>
                <c:pt idx="54">
                  <c:v>0.781249999999999</c:v>
                </c:pt>
                <c:pt idx="55">
                  <c:v>0.79166666666666596</c:v>
                </c:pt>
              </c:numCache>
            </c:numRef>
          </c:cat>
          <c:val>
            <c:numRef>
              <c:f>qtr!$F$8:$F$63</c:f>
              <c:numCache>
                <c:formatCode>#,##0</c:formatCode>
                <c:ptCount val="56"/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16</c:v>
                </c:pt>
                <c:pt idx="9">
                  <c:v>18</c:v>
                </c:pt>
                <c:pt idx="10">
                  <c:v>6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10</c:v>
                </c:pt>
                <c:pt idx="15">
                  <c:v>15</c:v>
                </c:pt>
                <c:pt idx="24">
                  <c:v>11</c:v>
                </c:pt>
                <c:pt idx="25">
                  <c:v>11</c:v>
                </c:pt>
                <c:pt idx="26">
                  <c:v>9</c:v>
                </c:pt>
                <c:pt idx="27">
                  <c:v>7</c:v>
                </c:pt>
                <c:pt idx="28">
                  <c:v>5</c:v>
                </c:pt>
                <c:pt idx="29">
                  <c:v>6</c:v>
                </c:pt>
                <c:pt idx="30">
                  <c:v>8</c:v>
                </c:pt>
                <c:pt idx="31">
                  <c:v>6</c:v>
                </c:pt>
                <c:pt idx="32">
                  <c:v>8</c:v>
                </c:pt>
                <c:pt idx="33">
                  <c:v>7</c:v>
                </c:pt>
                <c:pt idx="34">
                  <c:v>12</c:v>
                </c:pt>
                <c:pt idx="35">
                  <c:v>15</c:v>
                </c:pt>
                <c:pt idx="40">
                  <c:v>23</c:v>
                </c:pt>
                <c:pt idx="41">
                  <c:v>38</c:v>
                </c:pt>
                <c:pt idx="42">
                  <c:v>42</c:v>
                </c:pt>
                <c:pt idx="43">
                  <c:v>54</c:v>
                </c:pt>
                <c:pt idx="44">
                  <c:v>66</c:v>
                </c:pt>
                <c:pt idx="45">
                  <c:v>69</c:v>
                </c:pt>
                <c:pt idx="46">
                  <c:v>61</c:v>
                </c:pt>
                <c:pt idx="47">
                  <c:v>59</c:v>
                </c:pt>
                <c:pt idx="48">
                  <c:v>64</c:v>
                </c:pt>
                <c:pt idx="49">
                  <c:v>61</c:v>
                </c:pt>
                <c:pt idx="50">
                  <c:v>67</c:v>
                </c:pt>
                <c:pt idx="51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3F-40B5-9CDF-C51852AECDF5}"/>
            </c:ext>
          </c:extLst>
        </c:ser>
        <c:ser>
          <c:idx val="4"/>
          <c:order val="4"/>
          <c:tx>
            <c:strRef>
              <c:f>qtr!$G$7</c:f>
              <c:strCache>
                <c:ptCount val="1"/>
                <c:pt idx="0">
                  <c:v>sS</c:v>
                </c:pt>
              </c:strCache>
            </c:strRef>
          </c:tx>
          <c:marker>
            <c:symbol val="none"/>
          </c:marker>
          <c:cat>
            <c:numRef>
              <c:f>qtr!$B$8:$B$63</c:f>
              <c:numCache>
                <c:formatCode>h:mm</c:formatCode>
                <c:ptCount val="56"/>
                <c:pt idx="0">
                  <c:v>0.21875</c:v>
                </c:pt>
                <c:pt idx="1">
                  <c:v>0.22916666666666699</c:v>
                </c:pt>
                <c:pt idx="2">
                  <c:v>0.23958333333333301</c:v>
                </c:pt>
                <c:pt idx="3">
                  <c:v>0.25</c:v>
                </c:pt>
                <c:pt idx="4">
                  <c:v>0.26041666666666669</c:v>
                </c:pt>
                <c:pt idx="5">
                  <c:v>0.27083333333333337</c:v>
                </c:pt>
                <c:pt idx="6">
                  <c:v>0.28125000000000006</c:v>
                </c:pt>
                <c:pt idx="7">
                  <c:v>0.29166666666666674</c:v>
                </c:pt>
                <c:pt idx="8">
                  <c:v>0.30208333333333343</c:v>
                </c:pt>
                <c:pt idx="9">
                  <c:v>0.31250000000000011</c:v>
                </c:pt>
                <c:pt idx="10">
                  <c:v>0.3229166666666668</c:v>
                </c:pt>
                <c:pt idx="11">
                  <c:v>0.33333333333333348</c:v>
                </c:pt>
                <c:pt idx="12">
                  <c:v>0.34375000000000017</c:v>
                </c:pt>
                <c:pt idx="13">
                  <c:v>0.35416666666666685</c:v>
                </c:pt>
                <c:pt idx="14">
                  <c:v>0.36458333333333354</c:v>
                </c:pt>
                <c:pt idx="15">
                  <c:v>0.37500000000000022</c:v>
                </c:pt>
                <c:pt idx="16">
                  <c:v>0.38541666666666691</c:v>
                </c:pt>
                <c:pt idx="17">
                  <c:v>0.39583333333333359</c:v>
                </c:pt>
                <c:pt idx="18">
                  <c:v>0.40625000000000028</c:v>
                </c:pt>
                <c:pt idx="19">
                  <c:v>0.41666666666666696</c:v>
                </c:pt>
                <c:pt idx="20">
                  <c:v>0.42708333333333365</c:v>
                </c:pt>
                <c:pt idx="21">
                  <c:v>0.43750000000000033</c:v>
                </c:pt>
                <c:pt idx="22">
                  <c:v>0.44791666666666702</c:v>
                </c:pt>
                <c:pt idx="23">
                  <c:v>0.4583333333333337</c:v>
                </c:pt>
                <c:pt idx="24">
                  <c:v>0.46875000000000039</c:v>
                </c:pt>
                <c:pt idx="25">
                  <c:v>0.47916666666666707</c:v>
                </c:pt>
                <c:pt idx="26">
                  <c:v>0.48958333333333376</c:v>
                </c:pt>
                <c:pt idx="27">
                  <c:v>0.50000000000000044</c:v>
                </c:pt>
                <c:pt idx="28">
                  <c:v>0.51041666666666707</c:v>
                </c:pt>
                <c:pt idx="29">
                  <c:v>0.5208333333333337</c:v>
                </c:pt>
                <c:pt idx="30">
                  <c:v>0.53125000000000033</c:v>
                </c:pt>
                <c:pt idx="31">
                  <c:v>0.54166666666666696</c:v>
                </c:pt>
                <c:pt idx="32">
                  <c:v>0.55208333333333359</c:v>
                </c:pt>
                <c:pt idx="33">
                  <c:v>0.56250000000000022</c:v>
                </c:pt>
                <c:pt idx="34">
                  <c:v>0.57291666666666685</c:v>
                </c:pt>
                <c:pt idx="35">
                  <c:v>0.58333333333333348</c:v>
                </c:pt>
                <c:pt idx="36">
                  <c:v>0.59375000000000011</c:v>
                </c:pt>
                <c:pt idx="37">
                  <c:v>0.60416666666666674</c:v>
                </c:pt>
                <c:pt idx="38">
                  <c:v>0.61458333333333337</c:v>
                </c:pt>
                <c:pt idx="39">
                  <c:v>0.625</c:v>
                </c:pt>
                <c:pt idx="40">
                  <c:v>0.63541666666666663</c:v>
                </c:pt>
                <c:pt idx="41">
                  <c:v>0.64583333333333326</c:v>
                </c:pt>
                <c:pt idx="42">
                  <c:v>0.65624999999999989</c:v>
                </c:pt>
                <c:pt idx="43">
                  <c:v>0.66666666666666652</c:v>
                </c:pt>
                <c:pt idx="44">
                  <c:v>0.67708333333333315</c:v>
                </c:pt>
                <c:pt idx="45">
                  <c:v>0.68749999999999978</c:v>
                </c:pt>
                <c:pt idx="46">
                  <c:v>0.69791666666666641</c:v>
                </c:pt>
                <c:pt idx="47">
                  <c:v>0.70833333333333304</c:v>
                </c:pt>
                <c:pt idx="48">
                  <c:v>0.71874999999999967</c:v>
                </c:pt>
                <c:pt idx="49">
                  <c:v>0.7291666666666663</c:v>
                </c:pt>
                <c:pt idx="50">
                  <c:v>0.73958333333333293</c:v>
                </c:pt>
                <c:pt idx="51">
                  <c:v>0.74999999999999956</c:v>
                </c:pt>
                <c:pt idx="52">
                  <c:v>0.76041666666666596</c:v>
                </c:pt>
                <c:pt idx="53">
                  <c:v>0.77083333333333304</c:v>
                </c:pt>
                <c:pt idx="54">
                  <c:v>0.781249999999999</c:v>
                </c:pt>
                <c:pt idx="55">
                  <c:v>0.79166666666666596</c:v>
                </c:pt>
              </c:numCache>
            </c:numRef>
          </c:cat>
          <c:val>
            <c:numRef>
              <c:f>qtr!$G$8:$G$63</c:f>
              <c:numCache>
                <c:formatCode>#,##0</c:formatCode>
                <c:ptCount val="56"/>
                <c:pt idx="4">
                  <c:v>38</c:v>
                </c:pt>
                <c:pt idx="5">
                  <c:v>75</c:v>
                </c:pt>
                <c:pt idx="6">
                  <c:v>100</c:v>
                </c:pt>
                <c:pt idx="7">
                  <c:v>132</c:v>
                </c:pt>
                <c:pt idx="8">
                  <c:v>129</c:v>
                </c:pt>
                <c:pt idx="9">
                  <c:v>198</c:v>
                </c:pt>
                <c:pt idx="10">
                  <c:v>183</c:v>
                </c:pt>
                <c:pt idx="11">
                  <c:v>164</c:v>
                </c:pt>
                <c:pt idx="12">
                  <c:v>150</c:v>
                </c:pt>
                <c:pt idx="13">
                  <c:v>158</c:v>
                </c:pt>
                <c:pt idx="14">
                  <c:v>143</c:v>
                </c:pt>
                <c:pt idx="15">
                  <c:v>149</c:v>
                </c:pt>
                <c:pt idx="24">
                  <c:v>86</c:v>
                </c:pt>
                <c:pt idx="25">
                  <c:v>98</c:v>
                </c:pt>
                <c:pt idx="26">
                  <c:v>90</c:v>
                </c:pt>
                <c:pt idx="27">
                  <c:v>82</c:v>
                </c:pt>
                <c:pt idx="28">
                  <c:v>100</c:v>
                </c:pt>
                <c:pt idx="29">
                  <c:v>89</c:v>
                </c:pt>
                <c:pt idx="30">
                  <c:v>79</c:v>
                </c:pt>
                <c:pt idx="31">
                  <c:v>76</c:v>
                </c:pt>
                <c:pt idx="32">
                  <c:v>71</c:v>
                </c:pt>
                <c:pt idx="33">
                  <c:v>69</c:v>
                </c:pt>
                <c:pt idx="34">
                  <c:v>80</c:v>
                </c:pt>
                <c:pt idx="35">
                  <c:v>82</c:v>
                </c:pt>
                <c:pt idx="40">
                  <c:v>61</c:v>
                </c:pt>
                <c:pt idx="41">
                  <c:v>78</c:v>
                </c:pt>
                <c:pt idx="42">
                  <c:v>69</c:v>
                </c:pt>
                <c:pt idx="43">
                  <c:v>75</c:v>
                </c:pt>
                <c:pt idx="44">
                  <c:v>82</c:v>
                </c:pt>
                <c:pt idx="45">
                  <c:v>90</c:v>
                </c:pt>
                <c:pt idx="46">
                  <c:v>72</c:v>
                </c:pt>
                <c:pt idx="47">
                  <c:v>64</c:v>
                </c:pt>
                <c:pt idx="48">
                  <c:v>88</c:v>
                </c:pt>
                <c:pt idx="49">
                  <c:v>63</c:v>
                </c:pt>
                <c:pt idx="50">
                  <c:v>82</c:v>
                </c:pt>
                <c:pt idx="51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1-40CA-ACEB-467E908C01ED}"/>
            </c:ext>
          </c:extLst>
        </c:ser>
        <c:ser>
          <c:idx val="5"/>
          <c:order val="5"/>
          <c:tx>
            <c:strRef>
              <c:f>qtr!$H$7</c:f>
              <c:strCache>
                <c:ptCount val="1"/>
                <c:pt idx="0">
                  <c:v>sR</c:v>
                </c:pt>
              </c:strCache>
            </c:strRef>
          </c:tx>
          <c:marker>
            <c:symbol val="none"/>
          </c:marker>
          <c:cat>
            <c:numRef>
              <c:f>qtr!$B$8:$B$63</c:f>
              <c:numCache>
                <c:formatCode>h:mm</c:formatCode>
                <c:ptCount val="56"/>
                <c:pt idx="0">
                  <c:v>0.21875</c:v>
                </c:pt>
                <c:pt idx="1">
                  <c:v>0.22916666666666699</c:v>
                </c:pt>
                <c:pt idx="2">
                  <c:v>0.23958333333333301</c:v>
                </c:pt>
                <c:pt idx="3">
                  <c:v>0.25</c:v>
                </c:pt>
                <c:pt idx="4">
                  <c:v>0.26041666666666669</c:v>
                </c:pt>
                <c:pt idx="5">
                  <c:v>0.27083333333333337</c:v>
                </c:pt>
                <c:pt idx="6">
                  <c:v>0.28125000000000006</c:v>
                </c:pt>
                <c:pt idx="7">
                  <c:v>0.29166666666666674</c:v>
                </c:pt>
                <c:pt idx="8">
                  <c:v>0.30208333333333343</c:v>
                </c:pt>
                <c:pt idx="9">
                  <c:v>0.31250000000000011</c:v>
                </c:pt>
                <c:pt idx="10">
                  <c:v>0.3229166666666668</c:v>
                </c:pt>
                <c:pt idx="11">
                  <c:v>0.33333333333333348</c:v>
                </c:pt>
                <c:pt idx="12">
                  <c:v>0.34375000000000017</c:v>
                </c:pt>
                <c:pt idx="13">
                  <c:v>0.35416666666666685</c:v>
                </c:pt>
                <c:pt idx="14">
                  <c:v>0.36458333333333354</c:v>
                </c:pt>
                <c:pt idx="15">
                  <c:v>0.37500000000000022</c:v>
                </c:pt>
                <c:pt idx="16">
                  <c:v>0.38541666666666691</c:v>
                </c:pt>
                <c:pt idx="17">
                  <c:v>0.39583333333333359</c:v>
                </c:pt>
                <c:pt idx="18">
                  <c:v>0.40625000000000028</c:v>
                </c:pt>
                <c:pt idx="19">
                  <c:v>0.41666666666666696</c:v>
                </c:pt>
                <c:pt idx="20">
                  <c:v>0.42708333333333365</c:v>
                </c:pt>
                <c:pt idx="21">
                  <c:v>0.43750000000000033</c:v>
                </c:pt>
                <c:pt idx="22">
                  <c:v>0.44791666666666702</c:v>
                </c:pt>
                <c:pt idx="23">
                  <c:v>0.4583333333333337</c:v>
                </c:pt>
                <c:pt idx="24">
                  <c:v>0.46875000000000039</c:v>
                </c:pt>
                <c:pt idx="25">
                  <c:v>0.47916666666666707</c:v>
                </c:pt>
                <c:pt idx="26">
                  <c:v>0.48958333333333376</c:v>
                </c:pt>
                <c:pt idx="27">
                  <c:v>0.50000000000000044</c:v>
                </c:pt>
                <c:pt idx="28">
                  <c:v>0.51041666666666707</c:v>
                </c:pt>
                <c:pt idx="29">
                  <c:v>0.5208333333333337</c:v>
                </c:pt>
                <c:pt idx="30">
                  <c:v>0.53125000000000033</c:v>
                </c:pt>
                <c:pt idx="31">
                  <c:v>0.54166666666666696</c:v>
                </c:pt>
                <c:pt idx="32">
                  <c:v>0.55208333333333359</c:v>
                </c:pt>
                <c:pt idx="33">
                  <c:v>0.56250000000000022</c:v>
                </c:pt>
                <c:pt idx="34">
                  <c:v>0.57291666666666685</c:v>
                </c:pt>
                <c:pt idx="35">
                  <c:v>0.58333333333333348</c:v>
                </c:pt>
                <c:pt idx="36">
                  <c:v>0.59375000000000011</c:v>
                </c:pt>
                <c:pt idx="37">
                  <c:v>0.60416666666666674</c:v>
                </c:pt>
                <c:pt idx="38">
                  <c:v>0.61458333333333337</c:v>
                </c:pt>
                <c:pt idx="39">
                  <c:v>0.625</c:v>
                </c:pt>
                <c:pt idx="40">
                  <c:v>0.63541666666666663</c:v>
                </c:pt>
                <c:pt idx="41">
                  <c:v>0.64583333333333326</c:v>
                </c:pt>
                <c:pt idx="42">
                  <c:v>0.65624999999999989</c:v>
                </c:pt>
                <c:pt idx="43">
                  <c:v>0.66666666666666652</c:v>
                </c:pt>
                <c:pt idx="44">
                  <c:v>0.67708333333333315</c:v>
                </c:pt>
                <c:pt idx="45">
                  <c:v>0.68749999999999978</c:v>
                </c:pt>
                <c:pt idx="46">
                  <c:v>0.69791666666666641</c:v>
                </c:pt>
                <c:pt idx="47">
                  <c:v>0.70833333333333304</c:v>
                </c:pt>
                <c:pt idx="48">
                  <c:v>0.71874999999999967</c:v>
                </c:pt>
                <c:pt idx="49">
                  <c:v>0.7291666666666663</c:v>
                </c:pt>
                <c:pt idx="50">
                  <c:v>0.73958333333333293</c:v>
                </c:pt>
                <c:pt idx="51">
                  <c:v>0.74999999999999956</c:v>
                </c:pt>
                <c:pt idx="52">
                  <c:v>0.76041666666666596</c:v>
                </c:pt>
                <c:pt idx="53">
                  <c:v>0.77083333333333304</c:v>
                </c:pt>
                <c:pt idx="54">
                  <c:v>0.781249999999999</c:v>
                </c:pt>
                <c:pt idx="55">
                  <c:v>0.79166666666666596</c:v>
                </c:pt>
              </c:numCache>
            </c:numRef>
          </c:cat>
          <c:val>
            <c:numRef>
              <c:f>qtr!$H$8:$H$63</c:f>
              <c:numCache>
                <c:formatCode>#,##0</c:formatCode>
                <c:ptCount val="56"/>
                <c:pt idx="4">
                  <c:v>7</c:v>
                </c:pt>
                <c:pt idx="5">
                  <c:v>18</c:v>
                </c:pt>
                <c:pt idx="6">
                  <c:v>17</c:v>
                </c:pt>
                <c:pt idx="7">
                  <c:v>26</c:v>
                </c:pt>
                <c:pt idx="8">
                  <c:v>50</c:v>
                </c:pt>
                <c:pt idx="9">
                  <c:v>54</c:v>
                </c:pt>
                <c:pt idx="10">
                  <c:v>67</c:v>
                </c:pt>
                <c:pt idx="11">
                  <c:v>60</c:v>
                </c:pt>
                <c:pt idx="12">
                  <c:v>51</c:v>
                </c:pt>
                <c:pt idx="13">
                  <c:v>48</c:v>
                </c:pt>
                <c:pt idx="14">
                  <c:v>43</c:v>
                </c:pt>
                <c:pt idx="15">
                  <c:v>37</c:v>
                </c:pt>
                <c:pt idx="24">
                  <c:v>23</c:v>
                </c:pt>
                <c:pt idx="25">
                  <c:v>21</c:v>
                </c:pt>
                <c:pt idx="26">
                  <c:v>19</c:v>
                </c:pt>
                <c:pt idx="27">
                  <c:v>17</c:v>
                </c:pt>
                <c:pt idx="28">
                  <c:v>19</c:v>
                </c:pt>
                <c:pt idx="29">
                  <c:v>18</c:v>
                </c:pt>
                <c:pt idx="30">
                  <c:v>16</c:v>
                </c:pt>
                <c:pt idx="31">
                  <c:v>14</c:v>
                </c:pt>
                <c:pt idx="32">
                  <c:v>16</c:v>
                </c:pt>
                <c:pt idx="33">
                  <c:v>15</c:v>
                </c:pt>
                <c:pt idx="34">
                  <c:v>22</c:v>
                </c:pt>
                <c:pt idx="35">
                  <c:v>26</c:v>
                </c:pt>
                <c:pt idx="40">
                  <c:v>32</c:v>
                </c:pt>
                <c:pt idx="41">
                  <c:v>43</c:v>
                </c:pt>
                <c:pt idx="42">
                  <c:v>52</c:v>
                </c:pt>
                <c:pt idx="43">
                  <c:v>64</c:v>
                </c:pt>
                <c:pt idx="44">
                  <c:v>73</c:v>
                </c:pt>
                <c:pt idx="45">
                  <c:v>82</c:v>
                </c:pt>
                <c:pt idx="46">
                  <c:v>85</c:v>
                </c:pt>
                <c:pt idx="47">
                  <c:v>70</c:v>
                </c:pt>
                <c:pt idx="48">
                  <c:v>76</c:v>
                </c:pt>
                <c:pt idx="49">
                  <c:v>66</c:v>
                </c:pt>
                <c:pt idx="50">
                  <c:v>67</c:v>
                </c:pt>
                <c:pt idx="51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1-40CA-ACEB-467E908C01ED}"/>
            </c:ext>
          </c:extLst>
        </c:ser>
        <c:ser>
          <c:idx val="6"/>
          <c:order val="6"/>
          <c:tx>
            <c:strRef>
              <c:f>qtr!$I$7</c:f>
              <c:strCache>
                <c:ptCount val="1"/>
                <c:pt idx="0">
                  <c:v>wL</c:v>
                </c:pt>
              </c:strCache>
            </c:strRef>
          </c:tx>
          <c:marker>
            <c:symbol val="none"/>
          </c:marker>
          <c:cat>
            <c:numRef>
              <c:f>qtr!$B$8:$B$63</c:f>
              <c:numCache>
                <c:formatCode>h:mm</c:formatCode>
                <c:ptCount val="56"/>
                <c:pt idx="0">
                  <c:v>0.21875</c:v>
                </c:pt>
                <c:pt idx="1">
                  <c:v>0.22916666666666699</c:v>
                </c:pt>
                <c:pt idx="2">
                  <c:v>0.23958333333333301</c:v>
                </c:pt>
                <c:pt idx="3">
                  <c:v>0.25</c:v>
                </c:pt>
                <c:pt idx="4">
                  <c:v>0.26041666666666669</c:v>
                </c:pt>
                <c:pt idx="5">
                  <c:v>0.27083333333333337</c:v>
                </c:pt>
                <c:pt idx="6">
                  <c:v>0.28125000000000006</c:v>
                </c:pt>
                <c:pt idx="7">
                  <c:v>0.29166666666666674</c:v>
                </c:pt>
                <c:pt idx="8">
                  <c:v>0.30208333333333343</c:v>
                </c:pt>
                <c:pt idx="9">
                  <c:v>0.31250000000000011</c:v>
                </c:pt>
                <c:pt idx="10">
                  <c:v>0.3229166666666668</c:v>
                </c:pt>
                <c:pt idx="11">
                  <c:v>0.33333333333333348</c:v>
                </c:pt>
                <c:pt idx="12">
                  <c:v>0.34375000000000017</c:v>
                </c:pt>
                <c:pt idx="13">
                  <c:v>0.35416666666666685</c:v>
                </c:pt>
                <c:pt idx="14">
                  <c:v>0.36458333333333354</c:v>
                </c:pt>
                <c:pt idx="15">
                  <c:v>0.37500000000000022</c:v>
                </c:pt>
                <c:pt idx="16">
                  <c:v>0.38541666666666691</c:v>
                </c:pt>
                <c:pt idx="17">
                  <c:v>0.39583333333333359</c:v>
                </c:pt>
                <c:pt idx="18">
                  <c:v>0.40625000000000028</c:v>
                </c:pt>
                <c:pt idx="19">
                  <c:v>0.41666666666666696</c:v>
                </c:pt>
                <c:pt idx="20">
                  <c:v>0.42708333333333365</c:v>
                </c:pt>
                <c:pt idx="21">
                  <c:v>0.43750000000000033</c:v>
                </c:pt>
                <c:pt idx="22">
                  <c:v>0.44791666666666702</c:v>
                </c:pt>
                <c:pt idx="23">
                  <c:v>0.4583333333333337</c:v>
                </c:pt>
                <c:pt idx="24">
                  <c:v>0.46875000000000039</c:v>
                </c:pt>
                <c:pt idx="25">
                  <c:v>0.47916666666666707</c:v>
                </c:pt>
                <c:pt idx="26">
                  <c:v>0.48958333333333376</c:v>
                </c:pt>
                <c:pt idx="27">
                  <c:v>0.50000000000000044</c:v>
                </c:pt>
                <c:pt idx="28">
                  <c:v>0.51041666666666707</c:v>
                </c:pt>
                <c:pt idx="29">
                  <c:v>0.5208333333333337</c:v>
                </c:pt>
                <c:pt idx="30">
                  <c:v>0.53125000000000033</c:v>
                </c:pt>
                <c:pt idx="31">
                  <c:v>0.54166666666666696</c:v>
                </c:pt>
                <c:pt idx="32">
                  <c:v>0.55208333333333359</c:v>
                </c:pt>
                <c:pt idx="33">
                  <c:v>0.56250000000000022</c:v>
                </c:pt>
                <c:pt idx="34">
                  <c:v>0.57291666666666685</c:v>
                </c:pt>
                <c:pt idx="35">
                  <c:v>0.58333333333333348</c:v>
                </c:pt>
                <c:pt idx="36">
                  <c:v>0.59375000000000011</c:v>
                </c:pt>
                <c:pt idx="37">
                  <c:v>0.60416666666666674</c:v>
                </c:pt>
                <c:pt idx="38">
                  <c:v>0.61458333333333337</c:v>
                </c:pt>
                <c:pt idx="39">
                  <c:v>0.625</c:v>
                </c:pt>
                <c:pt idx="40">
                  <c:v>0.63541666666666663</c:v>
                </c:pt>
                <c:pt idx="41">
                  <c:v>0.64583333333333326</c:v>
                </c:pt>
                <c:pt idx="42">
                  <c:v>0.65624999999999989</c:v>
                </c:pt>
                <c:pt idx="43">
                  <c:v>0.66666666666666652</c:v>
                </c:pt>
                <c:pt idx="44">
                  <c:v>0.67708333333333315</c:v>
                </c:pt>
                <c:pt idx="45">
                  <c:v>0.68749999999999978</c:v>
                </c:pt>
                <c:pt idx="46">
                  <c:v>0.69791666666666641</c:v>
                </c:pt>
                <c:pt idx="47">
                  <c:v>0.70833333333333304</c:v>
                </c:pt>
                <c:pt idx="48">
                  <c:v>0.71874999999999967</c:v>
                </c:pt>
                <c:pt idx="49">
                  <c:v>0.7291666666666663</c:v>
                </c:pt>
                <c:pt idx="50">
                  <c:v>0.73958333333333293</c:v>
                </c:pt>
                <c:pt idx="51">
                  <c:v>0.74999999999999956</c:v>
                </c:pt>
                <c:pt idx="52">
                  <c:v>0.76041666666666596</c:v>
                </c:pt>
                <c:pt idx="53">
                  <c:v>0.77083333333333304</c:v>
                </c:pt>
                <c:pt idx="54">
                  <c:v>0.781249999999999</c:v>
                </c:pt>
                <c:pt idx="55">
                  <c:v>0.79166666666666596</c:v>
                </c:pt>
              </c:numCache>
            </c:numRef>
          </c:cat>
          <c:val>
            <c:numRef>
              <c:f>qtr!$I$8:$I$63</c:f>
              <c:numCache>
                <c:formatCode>#,##0</c:formatCode>
                <c:ptCount val="56"/>
                <c:pt idx="4">
                  <c:v>15</c:v>
                </c:pt>
                <c:pt idx="5">
                  <c:v>17</c:v>
                </c:pt>
                <c:pt idx="6">
                  <c:v>19</c:v>
                </c:pt>
                <c:pt idx="7">
                  <c:v>14</c:v>
                </c:pt>
                <c:pt idx="8">
                  <c:v>18</c:v>
                </c:pt>
                <c:pt idx="9">
                  <c:v>32</c:v>
                </c:pt>
                <c:pt idx="10">
                  <c:v>40</c:v>
                </c:pt>
                <c:pt idx="11">
                  <c:v>44</c:v>
                </c:pt>
                <c:pt idx="12">
                  <c:v>46</c:v>
                </c:pt>
                <c:pt idx="13">
                  <c:v>33</c:v>
                </c:pt>
                <c:pt idx="14">
                  <c:v>28</c:v>
                </c:pt>
                <c:pt idx="15">
                  <c:v>21</c:v>
                </c:pt>
                <c:pt idx="24">
                  <c:v>19</c:v>
                </c:pt>
                <c:pt idx="25">
                  <c:v>22</c:v>
                </c:pt>
                <c:pt idx="26">
                  <c:v>18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14</c:v>
                </c:pt>
                <c:pt idx="31">
                  <c:v>12</c:v>
                </c:pt>
                <c:pt idx="32">
                  <c:v>10</c:v>
                </c:pt>
                <c:pt idx="33">
                  <c:v>11</c:v>
                </c:pt>
                <c:pt idx="34">
                  <c:v>16</c:v>
                </c:pt>
                <c:pt idx="35">
                  <c:v>21</c:v>
                </c:pt>
                <c:pt idx="40">
                  <c:v>33</c:v>
                </c:pt>
                <c:pt idx="41">
                  <c:v>39</c:v>
                </c:pt>
                <c:pt idx="42">
                  <c:v>47</c:v>
                </c:pt>
                <c:pt idx="43">
                  <c:v>56</c:v>
                </c:pt>
                <c:pt idx="44">
                  <c:v>65</c:v>
                </c:pt>
                <c:pt idx="45">
                  <c:v>70</c:v>
                </c:pt>
                <c:pt idx="46">
                  <c:v>73</c:v>
                </c:pt>
                <c:pt idx="47">
                  <c:v>75</c:v>
                </c:pt>
                <c:pt idx="48">
                  <c:v>72</c:v>
                </c:pt>
                <c:pt idx="49">
                  <c:v>66</c:v>
                </c:pt>
                <c:pt idx="50">
                  <c:v>63</c:v>
                </c:pt>
                <c:pt idx="51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1-40CA-ACEB-467E908C01ED}"/>
            </c:ext>
          </c:extLst>
        </c:ser>
        <c:ser>
          <c:idx val="7"/>
          <c:order val="7"/>
          <c:tx>
            <c:strRef>
              <c:f>qtr!$J$7</c:f>
              <c:strCache>
                <c:ptCount val="1"/>
                <c:pt idx="0">
                  <c:v>wS</c:v>
                </c:pt>
              </c:strCache>
            </c:strRef>
          </c:tx>
          <c:marker>
            <c:symbol val="none"/>
          </c:marker>
          <c:cat>
            <c:numRef>
              <c:f>qtr!$B$8:$B$63</c:f>
              <c:numCache>
                <c:formatCode>h:mm</c:formatCode>
                <c:ptCount val="56"/>
                <c:pt idx="0">
                  <c:v>0.21875</c:v>
                </c:pt>
                <c:pt idx="1">
                  <c:v>0.22916666666666699</c:v>
                </c:pt>
                <c:pt idx="2">
                  <c:v>0.23958333333333301</c:v>
                </c:pt>
                <c:pt idx="3">
                  <c:v>0.25</c:v>
                </c:pt>
                <c:pt idx="4">
                  <c:v>0.26041666666666669</c:v>
                </c:pt>
                <c:pt idx="5">
                  <c:v>0.27083333333333337</c:v>
                </c:pt>
                <c:pt idx="6">
                  <c:v>0.28125000000000006</c:v>
                </c:pt>
                <c:pt idx="7">
                  <c:v>0.29166666666666674</c:v>
                </c:pt>
                <c:pt idx="8">
                  <c:v>0.30208333333333343</c:v>
                </c:pt>
                <c:pt idx="9">
                  <c:v>0.31250000000000011</c:v>
                </c:pt>
                <c:pt idx="10">
                  <c:v>0.3229166666666668</c:v>
                </c:pt>
                <c:pt idx="11">
                  <c:v>0.33333333333333348</c:v>
                </c:pt>
                <c:pt idx="12">
                  <c:v>0.34375000000000017</c:v>
                </c:pt>
                <c:pt idx="13">
                  <c:v>0.35416666666666685</c:v>
                </c:pt>
                <c:pt idx="14">
                  <c:v>0.36458333333333354</c:v>
                </c:pt>
                <c:pt idx="15">
                  <c:v>0.37500000000000022</c:v>
                </c:pt>
                <c:pt idx="16">
                  <c:v>0.38541666666666691</c:v>
                </c:pt>
                <c:pt idx="17">
                  <c:v>0.39583333333333359</c:v>
                </c:pt>
                <c:pt idx="18">
                  <c:v>0.40625000000000028</c:v>
                </c:pt>
                <c:pt idx="19">
                  <c:v>0.41666666666666696</c:v>
                </c:pt>
                <c:pt idx="20">
                  <c:v>0.42708333333333365</c:v>
                </c:pt>
                <c:pt idx="21">
                  <c:v>0.43750000000000033</c:v>
                </c:pt>
                <c:pt idx="22">
                  <c:v>0.44791666666666702</c:v>
                </c:pt>
                <c:pt idx="23">
                  <c:v>0.4583333333333337</c:v>
                </c:pt>
                <c:pt idx="24">
                  <c:v>0.46875000000000039</c:v>
                </c:pt>
                <c:pt idx="25">
                  <c:v>0.47916666666666707</c:v>
                </c:pt>
                <c:pt idx="26">
                  <c:v>0.48958333333333376</c:v>
                </c:pt>
                <c:pt idx="27">
                  <c:v>0.50000000000000044</c:v>
                </c:pt>
                <c:pt idx="28">
                  <c:v>0.51041666666666707</c:v>
                </c:pt>
                <c:pt idx="29">
                  <c:v>0.5208333333333337</c:v>
                </c:pt>
                <c:pt idx="30">
                  <c:v>0.53125000000000033</c:v>
                </c:pt>
                <c:pt idx="31">
                  <c:v>0.54166666666666696</c:v>
                </c:pt>
                <c:pt idx="32">
                  <c:v>0.55208333333333359</c:v>
                </c:pt>
                <c:pt idx="33">
                  <c:v>0.56250000000000022</c:v>
                </c:pt>
                <c:pt idx="34">
                  <c:v>0.57291666666666685</c:v>
                </c:pt>
                <c:pt idx="35">
                  <c:v>0.58333333333333348</c:v>
                </c:pt>
                <c:pt idx="36">
                  <c:v>0.59375000000000011</c:v>
                </c:pt>
                <c:pt idx="37">
                  <c:v>0.60416666666666674</c:v>
                </c:pt>
                <c:pt idx="38">
                  <c:v>0.61458333333333337</c:v>
                </c:pt>
                <c:pt idx="39">
                  <c:v>0.625</c:v>
                </c:pt>
                <c:pt idx="40">
                  <c:v>0.63541666666666663</c:v>
                </c:pt>
                <c:pt idx="41">
                  <c:v>0.64583333333333326</c:v>
                </c:pt>
                <c:pt idx="42">
                  <c:v>0.65624999999999989</c:v>
                </c:pt>
                <c:pt idx="43">
                  <c:v>0.66666666666666652</c:v>
                </c:pt>
                <c:pt idx="44">
                  <c:v>0.67708333333333315</c:v>
                </c:pt>
                <c:pt idx="45">
                  <c:v>0.68749999999999978</c:v>
                </c:pt>
                <c:pt idx="46">
                  <c:v>0.69791666666666641</c:v>
                </c:pt>
                <c:pt idx="47">
                  <c:v>0.70833333333333304</c:v>
                </c:pt>
                <c:pt idx="48">
                  <c:v>0.71874999999999967</c:v>
                </c:pt>
                <c:pt idx="49">
                  <c:v>0.7291666666666663</c:v>
                </c:pt>
                <c:pt idx="50">
                  <c:v>0.73958333333333293</c:v>
                </c:pt>
                <c:pt idx="51">
                  <c:v>0.74999999999999956</c:v>
                </c:pt>
                <c:pt idx="52">
                  <c:v>0.76041666666666596</c:v>
                </c:pt>
                <c:pt idx="53">
                  <c:v>0.77083333333333304</c:v>
                </c:pt>
                <c:pt idx="54">
                  <c:v>0.781249999999999</c:v>
                </c:pt>
                <c:pt idx="55">
                  <c:v>0.79166666666666596</c:v>
                </c:pt>
              </c:numCache>
            </c:numRef>
          </c:cat>
          <c:val>
            <c:numRef>
              <c:f>qtr!$J$8:$J$63</c:f>
              <c:numCache>
                <c:formatCode>#,##0</c:formatCode>
                <c:ptCount val="56"/>
                <c:pt idx="4">
                  <c:v>126</c:v>
                </c:pt>
                <c:pt idx="5">
                  <c:v>186</c:v>
                </c:pt>
                <c:pt idx="6">
                  <c:v>199</c:v>
                </c:pt>
                <c:pt idx="7">
                  <c:v>218</c:v>
                </c:pt>
                <c:pt idx="8">
                  <c:v>207</c:v>
                </c:pt>
                <c:pt idx="9">
                  <c:v>308</c:v>
                </c:pt>
                <c:pt idx="10">
                  <c:v>227</c:v>
                </c:pt>
                <c:pt idx="11">
                  <c:v>237</c:v>
                </c:pt>
                <c:pt idx="12">
                  <c:v>301</c:v>
                </c:pt>
                <c:pt idx="13">
                  <c:v>284</c:v>
                </c:pt>
                <c:pt idx="14">
                  <c:v>273</c:v>
                </c:pt>
                <c:pt idx="15">
                  <c:v>266</c:v>
                </c:pt>
                <c:pt idx="24">
                  <c:v>141</c:v>
                </c:pt>
                <c:pt idx="25">
                  <c:v>144</c:v>
                </c:pt>
                <c:pt idx="26">
                  <c:v>123</c:v>
                </c:pt>
                <c:pt idx="27">
                  <c:v>125</c:v>
                </c:pt>
                <c:pt idx="28">
                  <c:v>114</c:v>
                </c:pt>
                <c:pt idx="29">
                  <c:v>106</c:v>
                </c:pt>
                <c:pt idx="30">
                  <c:v>101</c:v>
                </c:pt>
                <c:pt idx="31">
                  <c:v>111</c:v>
                </c:pt>
                <c:pt idx="32">
                  <c:v>106</c:v>
                </c:pt>
                <c:pt idx="33">
                  <c:v>104</c:v>
                </c:pt>
                <c:pt idx="34">
                  <c:v>110</c:v>
                </c:pt>
                <c:pt idx="35">
                  <c:v>108</c:v>
                </c:pt>
                <c:pt idx="40">
                  <c:v>178</c:v>
                </c:pt>
                <c:pt idx="41">
                  <c:v>206</c:v>
                </c:pt>
                <c:pt idx="42">
                  <c:v>231</c:v>
                </c:pt>
                <c:pt idx="43">
                  <c:v>262</c:v>
                </c:pt>
                <c:pt idx="44">
                  <c:v>280</c:v>
                </c:pt>
                <c:pt idx="45">
                  <c:v>326</c:v>
                </c:pt>
                <c:pt idx="46">
                  <c:v>380</c:v>
                </c:pt>
                <c:pt idx="47">
                  <c:v>392</c:v>
                </c:pt>
                <c:pt idx="48">
                  <c:v>324</c:v>
                </c:pt>
                <c:pt idx="49">
                  <c:v>310</c:v>
                </c:pt>
                <c:pt idx="50">
                  <c:v>301</c:v>
                </c:pt>
                <c:pt idx="51">
                  <c:v>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21-40CA-ACEB-467E908C01ED}"/>
            </c:ext>
          </c:extLst>
        </c:ser>
        <c:ser>
          <c:idx val="8"/>
          <c:order val="8"/>
          <c:tx>
            <c:strRef>
              <c:f>qtr!$K$7</c:f>
              <c:strCache>
                <c:ptCount val="1"/>
                <c:pt idx="0">
                  <c:v>wR</c:v>
                </c:pt>
              </c:strCache>
            </c:strRef>
          </c:tx>
          <c:marker>
            <c:symbol val="none"/>
          </c:marker>
          <c:cat>
            <c:numRef>
              <c:f>qtr!$B$8:$B$63</c:f>
              <c:numCache>
                <c:formatCode>h:mm</c:formatCode>
                <c:ptCount val="56"/>
                <c:pt idx="0">
                  <c:v>0.21875</c:v>
                </c:pt>
                <c:pt idx="1">
                  <c:v>0.22916666666666699</c:v>
                </c:pt>
                <c:pt idx="2">
                  <c:v>0.23958333333333301</c:v>
                </c:pt>
                <c:pt idx="3">
                  <c:v>0.25</c:v>
                </c:pt>
                <c:pt idx="4">
                  <c:v>0.26041666666666669</c:v>
                </c:pt>
                <c:pt idx="5">
                  <c:v>0.27083333333333337</c:v>
                </c:pt>
                <c:pt idx="6">
                  <c:v>0.28125000000000006</c:v>
                </c:pt>
                <c:pt idx="7">
                  <c:v>0.29166666666666674</c:v>
                </c:pt>
                <c:pt idx="8">
                  <c:v>0.30208333333333343</c:v>
                </c:pt>
                <c:pt idx="9">
                  <c:v>0.31250000000000011</c:v>
                </c:pt>
                <c:pt idx="10">
                  <c:v>0.3229166666666668</c:v>
                </c:pt>
                <c:pt idx="11">
                  <c:v>0.33333333333333348</c:v>
                </c:pt>
                <c:pt idx="12">
                  <c:v>0.34375000000000017</c:v>
                </c:pt>
                <c:pt idx="13">
                  <c:v>0.35416666666666685</c:v>
                </c:pt>
                <c:pt idx="14">
                  <c:v>0.36458333333333354</c:v>
                </c:pt>
                <c:pt idx="15">
                  <c:v>0.37500000000000022</c:v>
                </c:pt>
                <c:pt idx="16">
                  <c:v>0.38541666666666691</c:v>
                </c:pt>
                <c:pt idx="17">
                  <c:v>0.39583333333333359</c:v>
                </c:pt>
                <c:pt idx="18">
                  <c:v>0.40625000000000028</c:v>
                </c:pt>
                <c:pt idx="19">
                  <c:v>0.41666666666666696</c:v>
                </c:pt>
                <c:pt idx="20">
                  <c:v>0.42708333333333365</c:v>
                </c:pt>
                <c:pt idx="21">
                  <c:v>0.43750000000000033</c:v>
                </c:pt>
                <c:pt idx="22">
                  <c:v>0.44791666666666702</c:v>
                </c:pt>
                <c:pt idx="23">
                  <c:v>0.4583333333333337</c:v>
                </c:pt>
                <c:pt idx="24">
                  <c:v>0.46875000000000039</c:v>
                </c:pt>
                <c:pt idx="25">
                  <c:v>0.47916666666666707</c:v>
                </c:pt>
                <c:pt idx="26">
                  <c:v>0.48958333333333376</c:v>
                </c:pt>
                <c:pt idx="27">
                  <c:v>0.50000000000000044</c:v>
                </c:pt>
                <c:pt idx="28">
                  <c:v>0.51041666666666707</c:v>
                </c:pt>
                <c:pt idx="29">
                  <c:v>0.5208333333333337</c:v>
                </c:pt>
                <c:pt idx="30">
                  <c:v>0.53125000000000033</c:v>
                </c:pt>
                <c:pt idx="31">
                  <c:v>0.54166666666666696</c:v>
                </c:pt>
                <c:pt idx="32">
                  <c:v>0.55208333333333359</c:v>
                </c:pt>
                <c:pt idx="33">
                  <c:v>0.56250000000000022</c:v>
                </c:pt>
                <c:pt idx="34">
                  <c:v>0.57291666666666685</c:v>
                </c:pt>
                <c:pt idx="35">
                  <c:v>0.58333333333333348</c:v>
                </c:pt>
                <c:pt idx="36">
                  <c:v>0.59375000000000011</c:v>
                </c:pt>
                <c:pt idx="37">
                  <c:v>0.60416666666666674</c:v>
                </c:pt>
                <c:pt idx="38">
                  <c:v>0.61458333333333337</c:v>
                </c:pt>
                <c:pt idx="39">
                  <c:v>0.625</c:v>
                </c:pt>
                <c:pt idx="40">
                  <c:v>0.63541666666666663</c:v>
                </c:pt>
                <c:pt idx="41">
                  <c:v>0.64583333333333326</c:v>
                </c:pt>
                <c:pt idx="42">
                  <c:v>0.65624999999999989</c:v>
                </c:pt>
                <c:pt idx="43">
                  <c:v>0.66666666666666652</c:v>
                </c:pt>
                <c:pt idx="44">
                  <c:v>0.67708333333333315</c:v>
                </c:pt>
                <c:pt idx="45">
                  <c:v>0.68749999999999978</c:v>
                </c:pt>
                <c:pt idx="46">
                  <c:v>0.69791666666666641</c:v>
                </c:pt>
                <c:pt idx="47">
                  <c:v>0.70833333333333304</c:v>
                </c:pt>
                <c:pt idx="48">
                  <c:v>0.71874999999999967</c:v>
                </c:pt>
                <c:pt idx="49">
                  <c:v>0.7291666666666663</c:v>
                </c:pt>
                <c:pt idx="50">
                  <c:v>0.73958333333333293</c:v>
                </c:pt>
                <c:pt idx="51">
                  <c:v>0.74999999999999956</c:v>
                </c:pt>
                <c:pt idx="52">
                  <c:v>0.76041666666666596</c:v>
                </c:pt>
                <c:pt idx="53">
                  <c:v>0.77083333333333304</c:v>
                </c:pt>
                <c:pt idx="54">
                  <c:v>0.781249999999999</c:v>
                </c:pt>
                <c:pt idx="55">
                  <c:v>0.79166666666666596</c:v>
                </c:pt>
              </c:numCache>
            </c:numRef>
          </c:cat>
          <c:val>
            <c:numRef>
              <c:f>qtr!$K$8:$K$63</c:f>
              <c:numCache>
                <c:formatCode>#,##0</c:formatCode>
                <c:ptCount val="56"/>
                <c:pt idx="4">
                  <c:v>6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12</c:v>
                </c:pt>
                <c:pt idx="9">
                  <c:v>10</c:v>
                </c:pt>
                <c:pt idx="10">
                  <c:v>16</c:v>
                </c:pt>
                <c:pt idx="11">
                  <c:v>17</c:v>
                </c:pt>
                <c:pt idx="12">
                  <c:v>10</c:v>
                </c:pt>
                <c:pt idx="13">
                  <c:v>15</c:v>
                </c:pt>
                <c:pt idx="14">
                  <c:v>14</c:v>
                </c:pt>
                <c:pt idx="15">
                  <c:v>16</c:v>
                </c:pt>
                <c:pt idx="24">
                  <c:v>6</c:v>
                </c:pt>
                <c:pt idx="25">
                  <c:v>8</c:v>
                </c:pt>
                <c:pt idx="26">
                  <c:v>11</c:v>
                </c:pt>
                <c:pt idx="27">
                  <c:v>10</c:v>
                </c:pt>
                <c:pt idx="28">
                  <c:v>15</c:v>
                </c:pt>
                <c:pt idx="29">
                  <c:v>14</c:v>
                </c:pt>
                <c:pt idx="30">
                  <c:v>11</c:v>
                </c:pt>
                <c:pt idx="31">
                  <c:v>10</c:v>
                </c:pt>
                <c:pt idx="32">
                  <c:v>11</c:v>
                </c:pt>
                <c:pt idx="33">
                  <c:v>9</c:v>
                </c:pt>
                <c:pt idx="34">
                  <c:v>12</c:v>
                </c:pt>
                <c:pt idx="35">
                  <c:v>14</c:v>
                </c:pt>
                <c:pt idx="40">
                  <c:v>25</c:v>
                </c:pt>
                <c:pt idx="41">
                  <c:v>33</c:v>
                </c:pt>
                <c:pt idx="42">
                  <c:v>41</c:v>
                </c:pt>
                <c:pt idx="43">
                  <c:v>52</c:v>
                </c:pt>
                <c:pt idx="44">
                  <c:v>57</c:v>
                </c:pt>
                <c:pt idx="45">
                  <c:v>64</c:v>
                </c:pt>
                <c:pt idx="46">
                  <c:v>70</c:v>
                </c:pt>
                <c:pt idx="47">
                  <c:v>68</c:v>
                </c:pt>
                <c:pt idx="48">
                  <c:v>61</c:v>
                </c:pt>
                <c:pt idx="49">
                  <c:v>59</c:v>
                </c:pt>
                <c:pt idx="50">
                  <c:v>63</c:v>
                </c:pt>
                <c:pt idx="51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21-40CA-ACEB-467E908C01ED}"/>
            </c:ext>
          </c:extLst>
        </c:ser>
        <c:ser>
          <c:idx val="9"/>
          <c:order val="9"/>
          <c:tx>
            <c:strRef>
              <c:f>qtr!$L$7</c:f>
              <c:strCache>
                <c:ptCount val="1"/>
                <c:pt idx="0">
                  <c:v>eL</c:v>
                </c:pt>
              </c:strCache>
            </c:strRef>
          </c:tx>
          <c:marker>
            <c:symbol val="none"/>
          </c:marker>
          <c:cat>
            <c:numRef>
              <c:f>qtr!$B$8:$B$63</c:f>
              <c:numCache>
                <c:formatCode>h:mm</c:formatCode>
                <c:ptCount val="56"/>
                <c:pt idx="0">
                  <c:v>0.21875</c:v>
                </c:pt>
                <c:pt idx="1">
                  <c:v>0.22916666666666699</c:v>
                </c:pt>
                <c:pt idx="2">
                  <c:v>0.23958333333333301</c:v>
                </c:pt>
                <c:pt idx="3">
                  <c:v>0.25</c:v>
                </c:pt>
                <c:pt idx="4">
                  <c:v>0.26041666666666669</c:v>
                </c:pt>
                <c:pt idx="5">
                  <c:v>0.27083333333333337</c:v>
                </c:pt>
                <c:pt idx="6">
                  <c:v>0.28125000000000006</c:v>
                </c:pt>
                <c:pt idx="7">
                  <c:v>0.29166666666666674</c:v>
                </c:pt>
                <c:pt idx="8">
                  <c:v>0.30208333333333343</c:v>
                </c:pt>
                <c:pt idx="9">
                  <c:v>0.31250000000000011</c:v>
                </c:pt>
                <c:pt idx="10">
                  <c:v>0.3229166666666668</c:v>
                </c:pt>
                <c:pt idx="11">
                  <c:v>0.33333333333333348</c:v>
                </c:pt>
                <c:pt idx="12">
                  <c:v>0.34375000000000017</c:v>
                </c:pt>
                <c:pt idx="13">
                  <c:v>0.35416666666666685</c:v>
                </c:pt>
                <c:pt idx="14">
                  <c:v>0.36458333333333354</c:v>
                </c:pt>
                <c:pt idx="15">
                  <c:v>0.37500000000000022</c:v>
                </c:pt>
                <c:pt idx="16">
                  <c:v>0.38541666666666691</c:v>
                </c:pt>
                <c:pt idx="17">
                  <c:v>0.39583333333333359</c:v>
                </c:pt>
                <c:pt idx="18">
                  <c:v>0.40625000000000028</c:v>
                </c:pt>
                <c:pt idx="19">
                  <c:v>0.41666666666666696</c:v>
                </c:pt>
                <c:pt idx="20">
                  <c:v>0.42708333333333365</c:v>
                </c:pt>
                <c:pt idx="21">
                  <c:v>0.43750000000000033</c:v>
                </c:pt>
                <c:pt idx="22">
                  <c:v>0.44791666666666702</c:v>
                </c:pt>
                <c:pt idx="23">
                  <c:v>0.4583333333333337</c:v>
                </c:pt>
                <c:pt idx="24">
                  <c:v>0.46875000000000039</c:v>
                </c:pt>
                <c:pt idx="25">
                  <c:v>0.47916666666666707</c:v>
                </c:pt>
                <c:pt idx="26">
                  <c:v>0.48958333333333376</c:v>
                </c:pt>
                <c:pt idx="27">
                  <c:v>0.50000000000000044</c:v>
                </c:pt>
                <c:pt idx="28">
                  <c:v>0.51041666666666707</c:v>
                </c:pt>
                <c:pt idx="29">
                  <c:v>0.5208333333333337</c:v>
                </c:pt>
                <c:pt idx="30">
                  <c:v>0.53125000000000033</c:v>
                </c:pt>
                <c:pt idx="31">
                  <c:v>0.54166666666666696</c:v>
                </c:pt>
                <c:pt idx="32">
                  <c:v>0.55208333333333359</c:v>
                </c:pt>
                <c:pt idx="33">
                  <c:v>0.56250000000000022</c:v>
                </c:pt>
                <c:pt idx="34">
                  <c:v>0.57291666666666685</c:v>
                </c:pt>
                <c:pt idx="35">
                  <c:v>0.58333333333333348</c:v>
                </c:pt>
                <c:pt idx="36">
                  <c:v>0.59375000000000011</c:v>
                </c:pt>
                <c:pt idx="37">
                  <c:v>0.60416666666666674</c:v>
                </c:pt>
                <c:pt idx="38">
                  <c:v>0.61458333333333337</c:v>
                </c:pt>
                <c:pt idx="39">
                  <c:v>0.625</c:v>
                </c:pt>
                <c:pt idx="40">
                  <c:v>0.63541666666666663</c:v>
                </c:pt>
                <c:pt idx="41">
                  <c:v>0.64583333333333326</c:v>
                </c:pt>
                <c:pt idx="42">
                  <c:v>0.65624999999999989</c:v>
                </c:pt>
                <c:pt idx="43">
                  <c:v>0.66666666666666652</c:v>
                </c:pt>
                <c:pt idx="44">
                  <c:v>0.67708333333333315</c:v>
                </c:pt>
                <c:pt idx="45">
                  <c:v>0.68749999999999978</c:v>
                </c:pt>
                <c:pt idx="46">
                  <c:v>0.69791666666666641</c:v>
                </c:pt>
                <c:pt idx="47">
                  <c:v>0.70833333333333304</c:v>
                </c:pt>
                <c:pt idx="48">
                  <c:v>0.71874999999999967</c:v>
                </c:pt>
                <c:pt idx="49">
                  <c:v>0.7291666666666663</c:v>
                </c:pt>
                <c:pt idx="50">
                  <c:v>0.73958333333333293</c:v>
                </c:pt>
                <c:pt idx="51">
                  <c:v>0.74999999999999956</c:v>
                </c:pt>
                <c:pt idx="52">
                  <c:v>0.76041666666666596</c:v>
                </c:pt>
                <c:pt idx="53">
                  <c:v>0.77083333333333304</c:v>
                </c:pt>
                <c:pt idx="54">
                  <c:v>0.781249999999999</c:v>
                </c:pt>
                <c:pt idx="55">
                  <c:v>0.79166666666666596</c:v>
                </c:pt>
              </c:numCache>
            </c:numRef>
          </c:cat>
          <c:val>
            <c:numRef>
              <c:f>qtr!$L$8:$L$63</c:f>
              <c:numCache>
                <c:formatCode>#,##0</c:formatCode>
                <c:ptCount val="56"/>
                <c:pt idx="4">
                  <c:v>4</c:v>
                </c:pt>
                <c:pt idx="5">
                  <c:v>4</c:v>
                </c:pt>
                <c:pt idx="6">
                  <c:v>12</c:v>
                </c:pt>
                <c:pt idx="7">
                  <c:v>6</c:v>
                </c:pt>
                <c:pt idx="8">
                  <c:v>25</c:v>
                </c:pt>
                <c:pt idx="9">
                  <c:v>16</c:v>
                </c:pt>
                <c:pt idx="10">
                  <c:v>14</c:v>
                </c:pt>
                <c:pt idx="11">
                  <c:v>14</c:v>
                </c:pt>
                <c:pt idx="12">
                  <c:v>7</c:v>
                </c:pt>
                <c:pt idx="13">
                  <c:v>14</c:v>
                </c:pt>
                <c:pt idx="14">
                  <c:v>8</c:v>
                </c:pt>
                <c:pt idx="15">
                  <c:v>11</c:v>
                </c:pt>
                <c:pt idx="24">
                  <c:v>13</c:v>
                </c:pt>
                <c:pt idx="25">
                  <c:v>13</c:v>
                </c:pt>
                <c:pt idx="26">
                  <c:v>10</c:v>
                </c:pt>
                <c:pt idx="27">
                  <c:v>12</c:v>
                </c:pt>
                <c:pt idx="28">
                  <c:v>14</c:v>
                </c:pt>
                <c:pt idx="29">
                  <c:v>18</c:v>
                </c:pt>
                <c:pt idx="30">
                  <c:v>16</c:v>
                </c:pt>
                <c:pt idx="31">
                  <c:v>20</c:v>
                </c:pt>
                <c:pt idx="32">
                  <c:v>17</c:v>
                </c:pt>
                <c:pt idx="33">
                  <c:v>12</c:v>
                </c:pt>
                <c:pt idx="34">
                  <c:v>17</c:v>
                </c:pt>
                <c:pt idx="35">
                  <c:v>22</c:v>
                </c:pt>
                <c:pt idx="40">
                  <c:v>9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9</c:v>
                </c:pt>
                <c:pt idx="45">
                  <c:v>11</c:v>
                </c:pt>
                <c:pt idx="46">
                  <c:v>9</c:v>
                </c:pt>
                <c:pt idx="47">
                  <c:v>14</c:v>
                </c:pt>
                <c:pt idx="48">
                  <c:v>18</c:v>
                </c:pt>
                <c:pt idx="49">
                  <c:v>16</c:v>
                </c:pt>
                <c:pt idx="50">
                  <c:v>21</c:v>
                </c:pt>
                <c:pt idx="5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21-40CA-ACEB-467E908C01ED}"/>
            </c:ext>
          </c:extLst>
        </c:ser>
        <c:ser>
          <c:idx val="10"/>
          <c:order val="10"/>
          <c:tx>
            <c:strRef>
              <c:f>qtr!$M$7</c:f>
              <c:strCache>
                <c:ptCount val="1"/>
                <c:pt idx="0">
                  <c:v>eS</c:v>
                </c:pt>
              </c:strCache>
            </c:strRef>
          </c:tx>
          <c:marker>
            <c:symbol val="none"/>
          </c:marker>
          <c:cat>
            <c:numRef>
              <c:f>qtr!$B$8:$B$63</c:f>
              <c:numCache>
                <c:formatCode>h:mm</c:formatCode>
                <c:ptCount val="56"/>
                <c:pt idx="0">
                  <c:v>0.21875</c:v>
                </c:pt>
                <c:pt idx="1">
                  <c:v>0.22916666666666699</c:v>
                </c:pt>
                <c:pt idx="2">
                  <c:v>0.23958333333333301</c:v>
                </c:pt>
                <c:pt idx="3">
                  <c:v>0.25</c:v>
                </c:pt>
                <c:pt idx="4">
                  <c:v>0.26041666666666669</c:v>
                </c:pt>
                <c:pt idx="5">
                  <c:v>0.27083333333333337</c:v>
                </c:pt>
                <c:pt idx="6">
                  <c:v>0.28125000000000006</c:v>
                </c:pt>
                <c:pt idx="7">
                  <c:v>0.29166666666666674</c:v>
                </c:pt>
                <c:pt idx="8">
                  <c:v>0.30208333333333343</c:v>
                </c:pt>
                <c:pt idx="9">
                  <c:v>0.31250000000000011</c:v>
                </c:pt>
                <c:pt idx="10">
                  <c:v>0.3229166666666668</c:v>
                </c:pt>
                <c:pt idx="11">
                  <c:v>0.33333333333333348</c:v>
                </c:pt>
                <c:pt idx="12">
                  <c:v>0.34375000000000017</c:v>
                </c:pt>
                <c:pt idx="13">
                  <c:v>0.35416666666666685</c:v>
                </c:pt>
                <c:pt idx="14">
                  <c:v>0.36458333333333354</c:v>
                </c:pt>
                <c:pt idx="15">
                  <c:v>0.37500000000000022</c:v>
                </c:pt>
                <c:pt idx="16">
                  <c:v>0.38541666666666691</c:v>
                </c:pt>
                <c:pt idx="17">
                  <c:v>0.39583333333333359</c:v>
                </c:pt>
                <c:pt idx="18">
                  <c:v>0.40625000000000028</c:v>
                </c:pt>
                <c:pt idx="19">
                  <c:v>0.41666666666666696</c:v>
                </c:pt>
                <c:pt idx="20">
                  <c:v>0.42708333333333365</c:v>
                </c:pt>
                <c:pt idx="21">
                  <c:v>0.43750000000000033</c:v>
                </c:pt>
                <c:pt idx="22">
                  <c:v>0.44791666666666702</c:v>
                </c:pt>
                <c:pt idx="23">
                  <c:v>0.4583333333333337</c:v>
                </c:pt>
                <c:pt idx="24">
                  <c:v>0.46875000000000039</c:v>
                </c:pt>
                <c:pt idx="25">
                  <c:v>0.47916666666666707</c:v>
                </c:pt>
                <c:pt idx="26">
                  <c:v>0.48958333333333376</c:v>
                </c:pt>
                <c:pt idx="27">
                  <c:v>0.50000000000000044</c:v>
                </c:pt>
                <c:pt idx="28">
                  <c:v>0.51041666666666707</c:v>
                </c:pt>
                <c:pt idx="29">
                  <c:v>0.5208333333333337</c:v>
                </c:pt>
                <c:pt idx="30">
                  <c:v>0.53125000000000033</c:v>
                </c:pt>
                <c:pt idx="31">
                  <c:v>0.54166666666666696</c:v>
                </c:pt>
                <c:pt idx="32">
                  <c:v>0.55208333333333359</c:v>
                </c:pt>
                <c:pt idx="33">
                  <c:v>0.56250000000000022</c:v>
                </c:pt>
                <c:pt idx="34">
                  <c:v>0.57291666666666685</c:v>
                </c:pt>
                <c:pt idx="35">
                  <c:v>0.58333333333333348</c:v>
                </c:pt>
                <c:pt idx="36">
                  <c:v>0.59375000000000011</c:v>
                </c:pt>
                <c:pt idx="37">
                  <c:v>0.60416666666666674</c:v>
                </c:pt>
                <c:pt idx="38">
                  <c:v>0.61458333333333337</c:v>
                </c:pt>
                <c:pt idx="39">
                  <c:v>0.625</c:v>
                </c:pt>
                <c:pt idx="40">
                  <c:v>0.63541666666666663</c:v>
                </c:pt>
                <c:pt idx="41">
                  <c:v>0.64583333333333326</c:v>
                </c:pt>
                <c:pt idx="42">
                  <c:v>0.65624999999999989</c:v>
                </c:pt>
                <c:pt idx="43">
                  <c:v>0.66666666666666652</c:v>
                </c:pt>
                <c:pt idx="44">
                  <c:v>0.67708333333333315</c:v>
                </c:pt>
                <c:pt idx="45">
                  <c:v>0.68749999999999978</c:v>
                </c:pt>
                <c:pt idx="46">
                  <c:v>0.69791666666666641</c:v>
                </c:pt>
                <c:pt idx="47">
                  <c:v>0.70833333333333304</c:v>
                </c:pt>
                <c:pt idx="48">
                  <c:v>0.71874999999999967</c:v>
                </c:pt>
                <c:pt idx="49">
                  <c:v>0.7291666666666663</c:v>
                </c:pt>
                <c:pt idx="50">
                  <c:v>0.73958333333333293</c:v>
                </c:pt>
                <c:pt idx="51">
                  <c:v>0.74999999999999956</c:v>
                </c:pt>
                <c:pt idx="52">
                  <c:v>0.76041666666666596</c:v>
                </c:pt>
                <c:pt idx="53">
                  <c:v>0.77083333333333304</c:v>
                </c:pt>
                <c:pt idx="54">
                  <c:v>0.781249999999999</c:v>
                </c:pt>
                <c:pt idx="55">
                  <c:v>0.79166666666666596</c:v>
                </c:pt>
              </c:numCache>
            </c:numRef>
          </c:cat>
          <c:val>
            <c:numRef>
              <c:f>qtr!$M$8:$M$63</c:f>
              <c:numCache>
                <c:formatCode>#,##0</c:formatCode>
                <c:ptCount val="56"/>
                <c:pt idx="4">
                  <c:v>173</c:v>
                </c:pt>
                <c:pt idx="5">
                  <c:v>212</c:v>
                </c:pt>
                <c:pt idx="6">
                  <c:v>295</c:v>
                </c:pt>
                <c:pt idx="7">
                  <c:v>272</c:v>
                </c:pt>
                <c:pt idx="8">
                  <c:v>339</c:v>
                </c:pt>
                <c:pt idx="9">
                  <c:v>387</c:v>
                </c:pt>
                <c:pt idx="10">
                  <c:v>387</c:v>
                </c:pt>
                <c:pt idx="11">
                  <c:v>393</c:v>
                </c:pt>
                <c:pt idx="12">
                  <c:v>362</c:v>
                </c:pt>
                <c:pt idx="13">
                  <c:v>324</c:v>
                </c:pt>
                <c:pt idx="14">
                  <c:v>292</c:v>
                </c:pt>
                <c:pt idx="15">
                  <c:v>277</c:v>
                </c:pt>
                <c:pt idx="24">
                  <c:v>164</c:v>
                </c:pt>
                <c:pt idx="25">
                  <c:v>167</c:v>
                </c:pt>
                <c:pt idx="26">
                  <c:v>158</c:v>
                </c:pt>
                <c:pt idx="27">
                  <c:v>157</c:v>
                </c:pt>
                <c:pt idx="28">
                  <c:v>138</c:v>
                </c:pt>
                <c:pt idx="29">
                  <c:v>150</c:v>
                </c:pt>
                <c:pt idx="30">
                  <c:v>135</c:v>
                </c:pt>
                <c:pt idx="31">
                  <c:v>128</c:v>
                </c:pt>
                <c:pt idx="32">
                  <c:v>119</c:v>
                </c:pt>
                <c:pt idx="33">
                  <c:v>107</c:v>
                </c:pt>
                <c:pt idx="34">
                  <c:v>115</c:v>
                </c:pt>
                <c:pt idx="35">
                  <c:v>137</c:v>
                </c:pt>
                <c:pt idx="40">
                  <c:v>130</c:v>
                </c:pt>
                <c:pt idx="41">
                  <c:v>142</c:v>
                </c:pt>
                <c:pt idx="42">
                  <c:v>158</c:v>
                </c:pt>
                <c:pt idx="43">
                  <c:v>163</c:v>
                </c:pt>
                <c:pt idx="44">
                  <c:v>171</c:v>
                </c:pt>
                <c:pt idx="45">
                  <c:v>198</c:v>
                </c:pt>
                <c:pt idx="46">
                  <c:v>201</c:v>
                </c:pt>
                <c:pt idx="47">
                  <c:v>209</c:v>
                </c:pt>
                <c:pt idx="48">
                  <c:v>221</c:v>
                </c:pt>
                <c:pt idx="49">
                  <c:v>236</c:v>
                </c:pt>
                <c:pt idx="50">
                  <c:v>225</c:v>
                </c:pt>
                <c:pt idx="51">
                  <c:v>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21-40CA-ACEB-467E908C01ED}"/>
            </c:ext>
          </c:extLst>
        </c:ser>
        <c:ser>
          <c:idx val="11"/>
          <c:order val="11"/>
          <c:tx>
            <c:strRef>
              <c:f>qtr!$N$7</c:f>
              <c:strCache>
                <c:ptCount val="1"/>
                <c:pt idx="0">
                  <c:v>eR</c:v>
                </c:pt>
              </c:strCache>
            </c:strRef>
          </c:tx>
          <c:marker>
            <c:symbol val="none"/>
          </c:marker>
          <c:cat>
            <c:numRef>
              <c:f>qtr!$B$8:$B$63</c:f>
              <c:numCache>
                <c:formatCode>h:mm</c:formatCode>
                <c:ptCount val="56"/>
                <c:pt idx="0">
                  <c:v>0.21875</c:v>
                </c:pt>
                <c:pt idx="1">
                  <c:v>0.22916666666666699</c:v>
                </c:pt>
                <c:pt idx="2">
                  <c:v>0.23958333333333301</c:v>
                </c:pt>
                <c:pt idx="3">
                  <c:v>0.25</c:v>
                </c:pt>
                <c:pt idx="4">
                  <c:v>0.26041666666666669</c:v>
                </c:pt>
                <c:pt idx="5">
                  <c:v>0.27083333333333337</c:v>
                </c:pt>
                <c:pt idx="6">
                  <c:v>0.28125000000000006</c:v>
                </c:pt>
                <c:pt idx="7">
                  <c:v>0.29166666666666674</c:v>
                </c:pt>
                <c:pt idx="8">
                  <c:v>0.30208333333333343</c:v>
                </c:pt>
                <c:pt idx="9">
                  <c:v>0.31250000000000011</c:v>
                </c:pt>
                <c:pt idx="10">
                  <c:v>0.3229166666666668</c:v>
                </c:pt>
                <c:pt idx="11">
                  <c:v>0.33333333333333348</c:v>
                </c:pt>
                <c:pt idx="12">
                  <c:v>0.34375000000000017</c:v>
                </c:pt>
                <c:pt idx="13">
                  <c:v>0.35416666666666685</c:v>
                </c:pt>
                <c:pt idx="14">
                  <c:v>0.36458333333333354</c:v>
                </c:pt>
                <c:pt idx="15">
                  <c:v>0.37500000000000022</c:v>
                </c:pt>
                <c:pt idx="16">
                  <c:v>0.38541666666666691</c:v>
                </c:pt>
                <c:pt idx="17">
                  <c:v>0.39583333333333359</c:v>
                </c:pt>
                <c:pt idx="18">
                  <c:v>0.40625000000000028</c:v>
                </c:pt>
                <c:pt idx="19">
                  <c:v>0.41666666666666696</c:v>
                </c:pt>
                <c:pt idx="20">
                  <c:v>0.42708333333333365</c:v>
                </c:pt>
                <c:pt idx="21">
                  <c:v>0.43750000000000033</c:v>
                </c:pt>
                <c:pt idx="22">
                  <c:v>0.44791666666666702</c:v>
                </c:pt>
                <c:pt idx="23">
                  <c:v>0.4583333333333337</c:v>
                </c:pt>
                <c:pt idx="24">
                  <c:v>0.46875000000000039</c:v>
                </c:pt>
                <c:pt idx="25">
                  <c:v>0.47916666666666707</c:v>
                </c:pt>
                <c:pt idx="26">
                  <c:v>0.48958333333333376</c:v>
                </c:pt>
                <c:pt idx="27">
                  <c:v>0.50000000000000044</c:v>
                </c:pt>
                <c:pt idx="28">
                  <c:v>0.51041666666666707</c:v>
                </c:pt>
                <c:pt idx="29">
                  <c:v>0.5208333333333337</c:v>
                </c:pt>
                <c:pt idx="30">
                  <c:v>0.53125000000000033</c:v>
                </c:pt>
                <c:pt idx="31">
                  <c:v>0.54166666666666696</c:v>
                </c:pt>
                <c:pt idx="32">
                  <c:v>0.55208333333333359</c:v>
                </c:pt>
                <c:pt idx="33">
                  <c:v>0.56250000000000022</c:v>
                </c:pt>
                <c:pt idx="34">
                  <c:v>0.57291666666666685</c:v>
                </c:pt>
                <c:pt idx="35">
                  <c:v>0.58333333333333348</c:v>
                </c:pt>
                <c:pt idx="36">
                  <c:v>0.59375000000000011</c:v>
                </c:pt>
                <c:pt idx="37">
                  <c:v>0.60416666666666674</c:v>
                </c:pt>
                <c:pt idx="38">
                  <c:v>0.61458333333333337</c:v>
                </c:pt>
                <c:pt idx="39">
                  <c:v>0.625</c:v>
                </c:pt>
                <c:pt idx="40">
                  <c:v>0.63541666666666663</c:v>
                </c:pt>
                <c:pt idx="41">
                  <c:v>0.64583333333333326</c:v>
                </c:pt>
                <c:pt idx="42">
                  <c:v>0.65624999999999989</c:v>
                </c:pt>
                <c:pt idx="43">
                  <c:v>0.66666666666666652</c:v>
                </c:pt>
                <c:pt idx="44">
                  <c:v>0.67708333333333315</c:v>
                </c:pt>
                <c:pt idx="45">
                  <c:v>0.68749999999999978</c:v>
                </c:pt>
                <c:pt idx="46">
                  <c:v>0.69791666666666641</c:v>
                </c:pt>
                <c:pt idx="47">
                  <c:v>0.70833333333333304</c:v>
                </c:pt>
                <c:pt idx="48">
                  <c:v>0.71874999999999967</c:v>
                </c:pt>
                <c:pt idx="49">
                  <c:v>0.7291666666666663</c:v>
                </c:pt>
                <c:pt idx="50">
                  <c:v>0.73958333333333293</c:v>
                </c:pt>
                <c:pt idx="51">
                  <c:v>0.74999999999999956</c:v>
                </c:pt>
                <c:pt idx="52">
                  <c:v>0.76041666666666596</c:v>
                </c:pt>
                <c:pt idx="53">
                  <c:v>0.77083333333333304</c:v>
                </c:pt>
                <c:pt idx="54">
                  <c:v>0.781249999999999</c:v>
                </c:pt>
                <c:pt idx="55">
                  <c:v>0.79166666666666596</c:v>
                </c:pt>
              </c:numCache>
            </c:numRef>
          </c:cat>
          <c:val>
            <c:numRef>
              <c:f>qtr!$N$8:$N$63</c:f>
              <c:numCache>
                <c:formatCode>#,##0</c:formatCode>
                <c:ptCount val="56"/>
                <c:pt idx="4">
                  <c:v>21</c:v>
                </c:pt>
                <c:pt idx="5">
                  <c:v>38</c:v>
                </c:pt>
                <c:pt idx="6">
                  <c:v>42</c:v>
                </c:pt>
                <c:pt idx="7">
                  <c:v>69</c:v>
                </c:pt>
                <c:pt idx="8">
                  <c:v>77</c:v>
                </c:pt>
                <c:pt idx="9">
                  <c:v>61</c:v>
                </c:pt>
                <c:pt idx="10">
                  <c:v>85</c:v>
                </c:pt>
                <c:pt idx="11">
                  <c:v>72</c:v>
                </c:pt>
                <c:pt idx="12">
                  <c:v>59</c:v>
                </c:pt>
                <c:pt idx="13">
                  <c:v>48</c:v>
                </c:pt>
                <c:pt idx="14">
                  <c:v>54</c:v>
                </c:pt>
                <c:pt idx="15">
                  <c:v>67</c:v>
                </c:pt>
                <c:pt idx="24">
                  <c:v>18</c:v>
                </c:pt>
                <c:pt idx="25">
                  <c:v>20</c:v>
                </c:pt>
                <c:pt idx="26">
                  <c:v>21</c:v>
                </c:pt>
                <c:pt idx="27">
                  <c:v>38</c:v>
                </c:pt>
                <c:pt idx="28">
                  <c:v>24</c:v>
                </c:pt>
                <c:pt idx="29">
                  <c:v>31</c:v>
                </c:pt>
                <c:pt idx="30">
                  <c:v>28</c:v>
                </c:pt>
                <c:pt idx="31">
                  <c:v>26</c:v>
                </c:pt>
                <c:pt idx="32">
                  <c:v>24</c:v>
                </c:pt>
                <c:pt idx="33">
                  <c:v>28</c:v>
                </c:pt>
                <c:pt idx="34">
                  <c:v>31</c:v>
                </c:pt>
                <c:pt idx="35">
                  <c:v>23</c:v>
                </c:pt>
                <c:pt idx="40">
                  <c:v>15</c:v>
                </c:pt>
                <c:pt idx="41">
                  <c:v>13</c:v>
                </c:pt>
                <c:pt idx="42">
                  <c:v>19</c:v>
                </c:pt>
                <c:pt idx="43">
                  <c:v>22</c:v>
                </c:pt>
                <c:pt idx="44">
                  <c:v>24</c:v>
                </c:pt>
                <c:pt idx="45">
                  <c:v>30</c:v>
                </c:pt>
                <c:pt idx="46">
                  <c:v>32</c:v>
                </c:pt>
                <c:pt idx="47">
                  <c:v>41</c:v>
                </c:pt>
                <c:pt idx="48">
                  <c:v>36</c:v>
                </c:pt>
                <c:pt idx="49">
                  <c:v>37</c:v>
                </c:pt>
                <c:pt idx="50">
                  <c:v>35</c:v>
                </c:pt>
                <c:pt idx="51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21-40CA-ACEB-467E908C0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0410496"/>
        <c:axId val="230752256"/>
      </c:lineChart>
      <c:catAx>
        <c:axId val="230410496"/>
        <c:scaling>
          <c:orientation val="minMax"/>
        </c:scaling>
        <c:delete val="0"/>
        <c:axPos val="b"/>
        <c:majorGridlines/>
        <c:numFmt formatCode="h:mm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3075225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3075225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0410496"/>
        <c:crosses val="autoZero"/>
        <c:crossBetween val="midCat"/>
      </c:valAx>
    </c:plotArea>
    <c:legend>
      <c:legendPos val="t"/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qtr hr count</c:v>
          </c:tx>
          <c:spPr>
            <a:ln w="19050"/>
          </c:spPr>
          <c:xVal>
            <c:numRef>
              <c:f>qtr!$B$8:$B$63</c:f>
              <c:numCache>
                <c:formatCode>h:mm</c:formatCode>
                <c:ptCount val="56"/>
                <c:pt idx="0">
                  <c:v>0.21875</c:v>
                </c:pt>
                <c:pt idx="1">
                  <c:v>0.22916666666666699</c:v>
                </c:pt>
                <c:pt idx="2">
                  <c:v>0.23958333333333301</c:v>
                </c:pt>
                <c:pt idx="3">
                  <c:v>0.25</c:v>
                </c:pt>
                <c:pt idx="4">
                  <c:v>0.26041666666666669</c:v>
                </c:pt>
                <c:pt idx="5">
                  <c:v>0.27083333333333337</c:v>
                </c:pt>
                <c:pt idx="6">
                  <c:v>0.28125000000000006</c:v>
                </c:pt>
                <c:pt idx="7">
                  <c:v>0.29166666666666674</c:v>
                </c:pt>
                <c:pt idx="8">
                  <c:v>0.30208333333333343</c:v>
                </c:pt>
                <c:pt idx="9">
                  <c:v>0.31250000000000011</c:v>
                </c:pt>
                <c:pt idx="10">
                  <c:v>0.3229166666666668</c:v>
                </c:pt>
                <c:pt idx="11">
                  <c:v>0.33333333333333348</c:v>
                </c:pt>
                <c:pt idx="12">
                  <c:v>0.34375000000000017</c:v>
                </c:pt>
                <c:pt idx="13">
                  <c:v>0.35416666666666685</c:v>
                </c:pt>
                <c:pt idx="14">
                  <c:v>0.36458333333333354</c:v>
                </c:pt>
                <c:pt idx="15">
                  <c:v>0.37500000000000022</c:v>
                </c:pt>
                <c:pt idx="16">
                  <c:v>0.38541666666666691</c:v>
                </c:pt>
                <c:pt idx="17">
                  <c:v>0.39583333333333359</c:v>
                </c:pt>
                <c:pt idx="18">
                  <c:v>0.40625000000000028</c:v>
                </c:pt>
                <c:pt idx="19">
                  <c:v>0.41666666666666696</c:v>
                </c:pt>
                <c:pt idx="20">
                  <c:v>0.42708333333333365</c:v>
                </c:pt>
                <c:pt idx="21">
                  <c:v>0.43750000000000033</c:v>
                </c:pt>
                <c:pt idx="22">
                  <c:v>0.44791666666666702</c:v>
                </c:pt>
                <c:pt idx="23">
                  <c:v>0.4583333333333337</c:v>
                </c:pt>
                <c:pt idx="24">
                  <c:v>0.46875000000000039</c:v>
                </c:pt>
                <c:pt idx="25">
                  <c:v>0.47916666666666707</c:v>
                </c:pt>
                <c:pt idx="26">
                  <c:v>0.48958333333333376</c:v>
                </c:pt>
                <c:pt idx="27">
                  <c:v>0.50000000000000044</c:v>
                </c:pt>
                <c:pt idx="28">
                  <c:v>0.51041666666666707</c:v>
                </c:pt>
                <c:pt idx="29">
                  <c:v>0.5208333333333337</c:v>
                </c:pt>
                <c:pt idx="30">
                  <c:v>0.53125000000000033</c:v>
                </c:pt>
                <c:pt idx="31">
                  <c:v>0.54166666666666696</c:v>
                </c:pt>
                <c:pt idx="32">
                  <c:v>0.55208333333333359</c:v>
                </c:pt>
                <c:pt idx="33">
                  <c:v>0.56250000000000022</c:v>
                </c:pt>
                <c:pt idx="34">
                  <c:v>0.57291666666666685</c:v>
                </c:pt>
                <c:pt idx="35">
                  <c:v>0.58333333333333348</c:v>
                </c:pt>
                <c:pt idx="36">
                  <c:v>0.59375000000000011</c:v>
                </c:pt>
                <c:pt idx="37">
                  <c:v>0.60416666666666674</c:v>
                </c:pt>
                <c:pt idx="38">
                  <c:v>0.61458333333333337</c:v>
                </c:pt>
                <c:pt idx="39">
                  <c:v>0.625</c:v>
                </c:pt>
                <c:pt idx="40">
                  <c:v>0.63541666666666663</c:v>
                </c:pt>
                <c:pt idx="41">
                  <c:v>0.64583333333333326</c:v>
                </c:pt>
                <c:pt idx="42">
                  <c:v>0.65624999999999989</c:v>
                </c:pt>
                <c:pt idx="43">
                  <c:v>0.66666666666666652</c:v>
                </c:pt>
                <c:pt idx="44">
                  <c:v>0.67708333333333315</c:v>
                </c:pt>
                <c:pt idx="45">
                  <c:v>0.68749999999999978</c:v>
                </c:pt>
                <c:pt idx="46">
                  <c:v>0.69791666666666641</c:v>
                </c:pt>
                <c:pt idx="47">
                  <c:v>0.70833333333333304</c:v>
                </c:pt>
                <c:pt idx="48">
                  <c:v>0.71874999999999967</c:v>
                </c:pt>
                <c:pt idx="49">
                  <c:v>0.7291666666666663</c:v>
                </c:pt>
                <c:pt idx="50">
                  <c:v>0.73958333333333293</c:v>
                </c:pt>
                <c:pt idx="51">
                  <c:v>0.74999999999999956</c:v>
                </c:pt>
                <c:pt idx="52">
                  <c:v>0.76041666666666596</c:v>
                </c:pt>
                <c:pt idx="53">
                  <c:v>0.77083333333333304</c:v>
                </c:pt>
                <c:pt idx="54">
                  <c:v>0.781249999999999</c:v>
                </c:pt>
                <c:pt idx="55">
                  <c:v>0.79166666666666596</c:v>
                </c:pt>
              </c:numCache>
            </c:numRef>
          </c:xVal>
          <c:yVal>
            <c:numRef>
              <c:f>qtr!$AM$8:$AM$63</c:f>
              <c:numCache>
                <c:formatCode>0.0%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3.1578048697173691E-2</c:v>
                </c:pt>
                <c:pt idx="5">
                  <c:v>4.453314559857828E-2</c:v>
                </c:pt>
                <c:pt idx="6">
                  <c:v>5.6825765953888316E-2</c:v>
                </c:pt>
                <c:pt idx="7">
                  <c:v>6.1831144302158275E-2</c:v>
                </c:pt>
                <c:pt idx="8">
                  <c:v>7.3240462596008901E-2</c:v>
                </c:pt>
                <c:pt idx="9">
                  <c:v>8.9802376248372728E-2</c:v>
                </c:pt>
                <c:pt idx="10">
                  <c:v>8.6342776507656732E-2</c:v>
                </c:pt>
                <c:pt idx="11">
                  <c:v>8.5165040425710867E-2</c:v>
                </c:pt>
                <c:pt idx="12">
                  <c:v>8.3913695838643373E-2</c:v>
                </c:pt>
                <c:pt idx="13">
                  <c:v>8.0822138623535461E-2</c:v>
                </c:pt>
                <c:pt idx="14">
                  <c:v>7.3755722131860227E-2</c:v>
                </c:pt>
                <c:pt idx="15">
                  <c:v>7.2577986049914361E-2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4.2324890444929771E-2</c:v>
                </c:pt>
                <c:pt idx="25">
                  <c:v>4.5784490185645767E-2</c:v>
                </c:pt>
                <c:pt idx="26">
                  <c:v>4.1515196888591982E-2</c:v>
                </c:pt>
                <c:pt idx="27">
                  <c:v>4.3060975496145938E-2</c:v>
                </c:pt>
                <c:pt idx="28">
                  <c:v>4.2251281939808157E-2</c:v>
                </c:pt>
                <c:pt idx="29">
                  <c:v>4.2398498950051385E-2</c:v>
                </c:pt>
                <c:pt idx="30">
                  <c:v>3.8865290704213774E-2</c:v>
                </c:pt>
                <c:pt idx="31">
                  <c:v>3.7319512096659818E-2</c:v>
                </c:pt>
                <c:pt idx="32">
                  <c:v>3.5626516478862627E-2</c:v>
                </c:pt>
                <c:pt idx="33">
                  <c:v>3.3565478335457345E-2</c:v>
                </c:pt>
                <c:pt idx="34">
                  <c:v>3.7687554622267902E-2</c:v>
                </c:pt>
                <c:pt idx="35">
                  <c:v>4.0705503332254193E-2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4.4974796629307985E-2</c:v>
                </c:pt>
                <c:pt idx="41">
                  <c:v>5.3881425749023638E-2</c:v>
                </c:pt>
                <c:pt idx="42">
                  <c:v>6.0138148684361084E-2</c:v>
                </c:pt>
                <c:pt idx="43">
                  <c:v>6.6247654609455295E-2</c:v>
                </c:pt>
                <c:pt idx="44">
                  <c:v>7.213633501918465E-2</c:v>
                </c:pt>
                <c:pt idx="45">
                  <c:v>8.1852657695238099E-2</c:v>
                </c:pt>
                <c:pt idx="46">
                  <c:v>8.5385865941075709E-2</c:v>
                </c:pt>
                <c:pt idx="47">
                  <c:v>8.8624640166426863E-2</c:v>
                </c:pt>
                <c:pt idx="48">
                  <c:v>8.7594121094724225E-2</c:v>
                </c:pt>
                <c:pt idx="49">
                  <c:v>8.6342776507656732E-2</c:v>
                </c:pt>
                <c:pt idx="50">
                  <c:v>8.5901125476927034E-2</c:v>
                </c:pt>
                <c:pt idx="51">
                  <c:v>7.9938836562076052E-2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81-4FFE-AA69-C103381DCED2}"/>
            </c:ext>
          </c:extLst>
        </c:ser>
        <c:ser>
          <c:idx val="1"/>
          <c:order val="1"/>
          <c:tx>
            <c:v> design evu/hr</c:v>
          </c:tx>
          <c:spPr>
            <a:ln w="50800"/>
          </c:spPr>
          <c:marker>
            <c:symbol val="none"/>
          </c:marker>
          <c:xVal>
            <c:numRef>
              <c:f>qtr!$B$8:$B$63</c:f>
              <c:numCache>
                <c:formatCode>h:mm</c:formatCode>
                <c:ptCount val="56"/>
                <c:pt idx="0">
                  <c:v>0.21875</c:v>
                </c:pt>
                <c:pt idx="1">
                  <c:v>0.22916666666666699</c:v>
                </c:pt>
                <c:pt idx="2">
                  <c:v>0.23958333333333301</c:v>
                </c:pt>
                <c:pt idx="3">
                  <c:v>0.25</c:v>
                </c:pt>
                <c:pt idx="4">
                  <c:v>0.26041666666666669</c:v>
                </c:pt>
                <c:pt idx="5">
                  <c:v>0.27083333333333337</c:v>
                </c:pt>
                <c:pt idx="6">
                  <c:v>0.28125000000000006</c:v>
                </c:pt>
                <c:pt idx="7">
                  <c:v>0.29166666666666674</c:v>
                </c:pt>
                <c:pt idx="8">
                  <c:v>0.30208333333333343</c:v>
                </c:pt>
                <c:pt idx="9">
                  <c:v>0.31250000000000011</c:v>
                </c:pt>
                <c:pt idx="10">
                  <c:v>0.3229166666666668</c:v>
                </c:pt>
                <c:pt idx="11">
                  <c:v>0.33333333333333348</c:v>
                </c:pt>
                <c:pt idx="12">
                  <c:v>0.34375000000000017</c:v>
                </c:pt>
                <c:pt idx="13">
                  <c:v>0.35416666666666685</c:v>
                </c:pt>
                <c:pt idx="14">
                  <c:v>0.36458333333333354</c:v>
                </c:pt>
                <c:pt idx="15">
                  <c:v>0.37500000000000022</c:v>
                </c:pt>
                <c:pt idx="16">
                  <c:v>0.38541666666666691</c:v>
                </c:pt>
                <c:pt idx="17">
                  <c:v>0.39583333333333359</c:v>
                </c:pt>
                <c:pt idx="18">
                  <c:v>0.40625000000000028</c:v>
                </c:pt>
                <c:pt idx="19">
                  <c:v>0.41666666666666696</c:v>
                </c:pt>
                <c:pt idx="20">
                  <c:v>0.42708333333333365</c:v>
                </c:pt>
                <c:pt idx="21">
                  <c:v>0.43750000000000033</c:v>
                </c:pt>
                <c:pt idx="22">
                  <c:v>0.44791666666666702</c:v>
                </c:pt>
                <c:pt idx="23">
                  <c:v>0.4583333333333337</c:v>
                </c:pt>
                <c:pt idx="24">
                  <c:v>0.46875000000000039</c:v>
                </c:pt>
                <c:pt idx="25">
                  <c:v>0.47916666666666707</c:v>
                </c:pt>
                <c:pt idx="26">
                  <c:v>0.48958333333333376</c:v>
                </c:pt>
                <c:pt idx="27">
                  <c:v>0.50000000000000044</c:v>
                </c:pt>
                <c:pt idx="28">
                  <c:v>0.51041666666666707</c:v>
                </c:pt>
                <c:pt idx="29">
                  <c:v>0.5208333333333337</c:v>
                </c:pt>
                <c:pt idx="30">
                  <c:v>0.53125000000000033</c:v>
                </c:pt>
                <c:pt idx="31">
                  <c:v>0.54166666666666696</c:v>
                </c:pt>
                <c:pt idx="32">
                  <c:v>0.55208333333333359</c:v>
                </c:pt>
                <c:pt idx="33">
                  <c:v>0.56250000000000022</c:v>
                </c:pt>
                <c:pt idx="34">
                  <c:v>0.57291666666666685</c:v>
                </c:pt>
                <c:pt idx="35">
                  <c:v>0.58333333333333348</c:v>
                </c:pt>
                <c:pt idx="36">
                  <c:v>0.59375000000000011</c:v>
                </c:pt>
                <c:pt idx="37">
                  <c:v>0.60416666666666674</c:v>
                </c:pt>
                <c:pt idx="38">
                  <c:v>0.61458333333333337</c:v>
                </c:pt>
                <c:pt idx="39">
                  <c:v>0.625</c:v>
                </c:pt>
                <c:pt idx="40">
                  <c:v>0.63541666666666663</c:v>
                </c:pt>
                <c:pt idx="41">
                  <c:v>0.64583333333333326</c:v>
                </c:pt>
                <c:pt idx="42">
                  <c:v>0.65624999999999989</c:v>
                </c:pt>
                <c:pt idx="43">
                  <c:v>0.66666666666666652</c:v>
                </c:pt>
                <c:pt idx="44">
                  <c:v>0.67708333333333315</c:v>
                </c:pt>
                <c:pt idx="45">
                  <c:v>0.68749999999999978</c:v>
                </c:pt>
                <c:pt idx="46">
                  <c:v>0.69791666666666641</c:v>
                </c:pt>
                <c:pt idx="47">
                  <c:v>0.70833333333333304</c:v>
                </c:pt>
                <c:pt idx="48">
                  <c:v>0.71874999999999967</c:v>
                </c:pt>
                <c:pt idx="49">
                  <c:v>0.7291666666666663</c:v>
                </c:pt>
                <c:pt idx="50">
                  <c:v>0.73958333333333293</c:v>
                </c:pt>
                <c:pt idx="51">
                  <c:v>0.74999999999999956</c:v>
                </c:pt>
                <c:pt idx="52">
                  <c:v>0.76041666666666596</c:v>
                </c:pt>
                <c:pt idx="53">
                  <c:v>0.77083333333333304</c:v>
                </c:pt>
                <c:pt idx="54">
                  <c:v>0.781249999999999</c:v>
                </c:pt>
                <c:pt idx="55">
                  <c:v>0.79166666666666596</c:v>
                </c:pt>
              </c:numCache>
            </c:numRef>
          </c:xVal>
          <c:yVal>
            <c:numRef>
              <c:f>qtr!$AN$8:$AN$63</c:f>
              <c:numCache>
                <c:formatCode>0.0%</c:formatCode>
                <c:ptCount val="56"/>
                <c:pt idx="3">
                  <c:v>9.6628032515969603E-2</c:v>
                </c:pt>
                <c:pt idx="4">
                  <c:v>9.6628032515969603E-2</c:v>
                </c:pt>
                <c:pt idx="5">
                  <c:v>9.6628032515969603E-2</c:v>
                </c:pt>
                <c:pt idx="6">
                  <c:v>9.6628032515969603E-2</c:v>
                </c:pt>
                <c:pt idx="7">
                  <c:v>9.6628032515969603E-2</c:v>
                </c:pt>
                <c:pt idx="8">
                  <c:v>9.6628032515969603E-2</c:v>
                </c:pt>
                <c:pt idx="9">
                  <c:v>9.6628032515969603E-2</c:v>
                </c:pt>
                <c:pt idx="10">
                  <c:v>9.6628032515969603E-2</c:v>
                </c:pt>
                <c:pt idx="11">
                  <c:v>9.6628032515969603E-2</c:v>
                </c:pt>
                <c:pt idx="12">
                  <c:v>9.6628032515969603E-2</c:v>
                </c:pt>
                <c:pt idx="13">
                  <c:v>9.6628032515969603E-2</c:v>
                </c:pt>
                <c:pt idx="16">
                  <c:v>4.6537493013094462E-2</c:v>
                </c:pt>
                <c:pt idx="17">
                  <c:v>4.6537493013094462E-2</c:v>
                </c:pt>
                <c:pt idx="18">
                  <c:v>4.6537493013094462E-2</c:v>
                </c:pt>
                <c:pt idx="19">
                  <c:v>4.6537493013094462E-2</c:v>
                </c:pt>
                <c:pt idx="20">
                  <c:v>4.6537493013094462E-2</c:v>
                </c:pt>
                <c:pt idx="21">
                  <c:v>4.6537493013094462E-2</c:v>
                </c:pt>
                <c:pt idx="22">
                  <c:v>4.6537493013094462E-2</c:v>
                </c:pt>
                <c:pt idx="23">
                  <c:v>4.6537493013094462E-2</c:v>
                </c:pt>
                <c:pt idx="24">
                  <c:v>4.6537493013094462E-2</c:v>
                </c:pt>
                <c:pt idx="25">
                  <c:v>4.6537493013094462E-2</c:v>
                </c:pt>
                <c:pt idx="26">
                  <c:v>4.6537493013094462E-2</c:v>
                </c:pt>
                <c:pt idx="27">
                  <c:v>4.6537493013094462E-2</c:v>
                </c:pt>
                <c:pt idx="28">
                  <c:v>4.6537493013094462E-2</c:v>
                </c:pt>
                <c:pt idx="29">
                  <c:v>4.6537493013094462E-2</c:v>
                </c:pt>
                <c:pt idx="30">
                  <c:v>4.6537493013094462E-2</c:v>
                </c:pt>
                <c:pt idx="31">
                  <c:v>4.6537493013094462E-2</c:v>
                </c:pt>
                <c:pt idx="32">
                  <c:v>4.6537493013094462E-2</c:v>
                </c:pt>
                <c:pt idx="33">
                  <c:v>4.6537493013094462E-2</c:v>
                </c:pt>
                <c:pt idx="34">
                  <c:v>4.6537493013094462E-2</c:v>
                </c:pt>
                <c:pt idx="35">
                  <c:v>4.6537493013094462E-2</c:v>
                </c:pt>
                <c:pt idx="36">
                  <c:v>4.6537493013094462E-2</c:v>
                </c:pt>
                <c:pt idx="37">
                  <c:v>4.6537493013094462E-2</c:v>
                </c:pt>
                <c:pt idx="38">
                  <c:v>4.6537493013094462E-2</c:v>
                </c:pt>
                <c:pt idx="39">
                  <c:v>4.6537493013094462E-2</c:v>
                </c:pt>
                <c:pt idx="42">
                  <c:v>9.8535530348685674E-2</c:v>
                </c:pt>
                <c:pt idx="43">
                  <c:v>9.8535530348685674E-2</c:v>
                </c:pt>
                <c:pt idx="44">
                  <c:v>9.8535530348685674E-2</c:v>
                </c:pt>
                <c:pt idx="45">
                  <c:v>9.8535530348685674E-2</c:v>
                </c:pt>
                <c:pt idx="46">
                  <c:v>9.8535530348685674E-2</c:v>
                </c:pt>
                <c:pt idx="47">
                  <c:v>9.8535530348685674E-2</c:v>
                </c:pt>
                <c:pt idx="48">
                  <c:v>9.8535530348685674E-2</c:v>
                </c:pt>
                <c:pt idx="49">
                  <c:v>9.8535530348685674E-2</c:v>
                </c:pt>
                <c:pt idx="50">
                  <c:v>9.8535530348685674E-2</c:v>
                </c:pt>
                <c:pt idx="51">
                  <c:v>9.8535530348685674E-2</c:v>
                </c:pt>
                <c:pt idx="52">
                  <c:v>9.8535530348685674E-2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81-4FFE-AA69-C103381DC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000320"/>
        <c:axId val="231006592"/>
      </c:scatterChart>
      <c:valAx>
        <c:axId val="231000320"/>
        <c:scaling>
          <c:orientation val="minMax"/>
          <c:max val="0.79200000000000004"/>
          <c:min val="0.20833333300000004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 end</a:t>
                </a:r>
              </a:p>
            </c:rich>
          </c:tx>
          <c:overlay val="0"/>
        </c:title>
        <c:numFmt formatCode="h:mm" sourceLinked="1"/>
        <c:majorTickMark val="out"/>
        <c:minorTickMark val="none"/>
        <c:tickLblPos val="nextTo"/>
        <c:crossAx val="231006592"/>
        <c:crosses val="autoZero"/>
        <c:crossBetween val="midCat"/>
        <c:majorUnit val="4.1666666670000012E-2"/>
      </c:valAx>
      <c:valAx>
        <c:axId val="2310065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 of ADT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231000320"/>
        <c:crosses val="autoZero"/>
        <c:crossBetween val="midCat"/>
        <c:majorUnit val="1.0000000000000002E-2"/>
      </c:valAx>
      <c:spPr>
        <a:ln>
          <a:solidFill>
            <a:schemeClr val="tx1"/>
          </a:solidFill>
        </a:ln>
      </c:spPr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'+s4we'!$C$17</c:f>
              <c:strCache>
                <c:ptCount val="1"/>
                <c:pt idx="0">
                  <c:v>start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val>
            <c:numRef>
              <c:f>'+s4we'!$C$19:$C$68</c:f>
              <c:numCache>
                <c:formatCode>0.0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11.733988184906217</c:v>
                </c:pt>
                <c:pt idx="3">
                  <c:v>0</c:v>
                </c:pt>
                <c:pt idx="4">
                  <c:v>11.733988184906217</c:v>
                </c:pt>
                <c:pt idx="5">
                  <c:v>0</c:v>
                </c:pt>
                <c:pt idx="8">
                  <c:v>31.881872228735176</c:v>
                </c:pt>
                <c:pt idx="9">
                  <c:v>31.881872228735176</c:v>
                </c:pt>
                <c:pt idx="10">
                  <c:v>31.881872228735176</c:v>
                </c:pt>
                <c:pt idx="11">
                  <c:v>31.881872228735176</c:v>
                </c:pt>
                <c:pt idx="12">
                  <c:v>72.091431225993119</c:v>
                </c:pt>
                <c:pt idx="13">
                  <c:v>72.091431225993119</c:v>
                </c:pt>
                <c:pt idx="14">
                  <c:v>72.091431225993119</c:v>
                </c:pt>
                <c:pt idx="15">
                  <c:v>72.091431225993119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11.733988184906217</c:v>
                </c:pt>
                <c:pt idx="20">
                  <c:v>0</c:v>
                </c:pt>
                <c:pt idx="21">
                  <c:v>11.733988184906217</c:v>
                </c:pt>
                <c:pt idx="22">
                  <c:v>0</c:v>
                </c:pt>
                <c:pt idx="25">
                  <c:v>37.194319843783376</c:v>
                </c:pt>
                <c:pt idx="26">
                  <c:v>37.194319843783376</c:v>
                </c:pt>
                <c:pt idx="27">
                  <c:v>37.194319843783376</c:v>
                </c:pt>
                <c:pt idx="28">
                  <c:v>37.194319843783376</c:v>
                </c:pt>
                <c:pt idx="29">
                  <c:v>70.475235163712711</c:v>
                </c:pt>
                <c:pt idx="30">
                  <c:v>70.475235163712711</c:v>
                </c:pt>
                <c:pt idx="31">
                  <c:v>70.475235163712711</c:v>
                </c:pt>
                <c:pt idx="32">
                  <c:v>70.475235163712711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14.641814491450418</c:v>
                </c:pt>
                <c:pt idx="37">
                  <c:v>0</c:v>
                </c:pt>
                <c:pt idx="38">
                  <c:v>14.641814491450418</c:v>
                </c:pt>
                <c:pt idx="39">
                  <c:v>0</c:v>
                </c:pt>
                <c:pt idx="42">
                  <c:v>38.164408355846817</c:v>
                </c:pt>
                <c:pt idx="43">
                  <c:v>38.164408355846817</c:v>
                </c:pt>
                <c:pt idx="44">
                  <c:v>38.164408355846817</c:v>
                </c:pt>
                <c:pt idx="45">
                  <c:v>38.164408355846817</c:v>
                </c:pt>
                <c:pt idx="46">
                  <c:v>75.599423961331169</c:v>
                </c:pt>
                <c:pt idx="47">
                  <c:v>75.599423961331169</c:v>
                </c:pt>
                <c:pt idx="48">
                  <c:v>75.599423961331169</c:v>
                </c:pt>
                <c:pt idx="49">
                  <c:v>75.599423961331169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A-47B5-9A66-A4B3834F5359}"/>
            </c:ext>
          </c:extLst>
        </c:ser>
        <c:ser>
          <c:idx val="1"/>
          <c:order val="1"/>
          <c:tx>
            <c:strRef>
              <c:f>'+s4we'!$D$17</c:f>
              <c:strCache>
                <c:ptCount val="1"/>
                <c:pt idx="0">
                  <c:v>gr disc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'+s4we'!$D$19:$D$68</c:f>
              <c:numCache>
                <c:formatCode>0.0</c:formatCode>
                <c:ptCount val="50"/>
                <c:pt idx="2">
                  <c:v>14.41164360667049</c:v>
                </c:pt>
                <c:pt idx="3">
                  <c:v>26.145631791576704</c:v>
                </c:pt>
                <c:pt idx="8">
                  <c:v>35.20955899725795</c:v>
                </c:pt>
                <c:pt idx="9">
                  <c:v>35.20955899725795</c:v>
                </c:pt>
                <c:pt idx="19">
                  <c:v>19.724091221718691</c:v>
                </c:pt>
                <c:pt idx="20">
                  <c:v>31.458079406624908</c:v>
                </c:pt>
                <c:pt idx="25">
                  <c:v>28.280915319929342</c:v>
                </c:pt>
                <c:pt idx="26">
                  <c:v>28.280915319929342</c:v>
                </c:pt>
                <c:pt idx="36">
                  <c:v>17.786353427237934</c:v>
                </c:pt>
                <c:pt idx="37">
                  <c:v>32.428167918688352</c:v>
                </c:pt>
                <c:pt idx="42">
                  <c:v>32.435015605484352</c:v>
                </c:pt>
                <c:pt idx="43">
                  <c:v>32.435015605484352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8A-47B5-9A66-A4B3834F5359}"/>
            </c:ext>
          </c:extLst>
        </c:ser>
        <c:ser>
          <c:idx val="2"/>
          <c:order val="2"/>
          <c:tx>
            <c:strRef>
              <c:f>'+s4we'!$E$17</c:f>
              <c:strCache>
                <c:ptCount val="1"/>
                <c:pt idx="0">
                  <c:v>gr fl</c:v>
                </c:pt>
              </c:strCache>
            </c:strRef>
          </c:tx>
          <c:spPr>
            <a:pattFill prst="wdUpDiag">
              <a:fgClr>
                <a:schemeClr val="bg1"/>
              </a:fgClr>
              <a:bgClr>
                <a:srgbClr val="00FF00"/>
              </a:bgClr>
            </a:pattFill>
            <a:ln>
              <a:solidFill>
                <a:schemeClr val="tx1"/>
              </a:solidFill>
            </a:ln>
          </c:spPr>
          <c:invertIfNegative val="0"/>
          <c:val>
            <c:numRef>
              <c:f>'+s4we'!$E$19:$E$68</c:f>
              <c:numCache>
                <c:formatCode>0.0</c:formatCode>
                <c:ptCount val="50"/>
                <c:pt idx="0">
                  <c:v>0</c:v>
                </c:pt>
                <c:pt idx="1">
                  <c:v>7</c:v>
                </c:pt>
                <c:pt idx="12">
                  <c:v>12.383802087429778</c:v>
                </c:pt>
                <c:pt idx="13">
                  <c:v>12.383802087429778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7</c:v>
                </c:pt>
                <c:pt idx="29">
                  <c:v>4</c:v>
                </c:pt>
                <c:pt idx="30">
                  <c:v>4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5">
                  <c:v>9.9078263065441998</c:v>
                </c:pt>
                <c:pt idx="46">
                  <c:v>8.8758093381608081</c:v>
                </c:pt>
                <c:pt idx="47">
                  <c:v>8.8758093381608081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8A-47B5-9A66-A4B3834F5359}"/>
            </c:ext>
          </c:extLst>
        </c:ser>
        <c:ser>
          <c:idx val="3"/>
          <c:order val="3"/>
          <c:tx>
            <c:strRef>
              <c:f>'+s4we'!$F$17</c:f>
              <c:strCache>
                <c:ptCount val="1"/>
                <c:pt idx="0">
                  <c:v>gr ext</c:v>
                </c:pt>
              </c:strCache>
            </c:strRef>
          </c:tx>
          <c:spPr>
            <a:pattFill prst="zigZag">
              <a:fgClr>
                <a:schemeClr val="accent3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val>
            <c:numRef>
              <c:f>'+s4we'!$F$19:$F$68</c:f>
              <c:numCache>
                <c:formatCode>0.0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5">
                  <c:v>0</c:v>
                </c:pt>
                <c:pt idx="26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2">
                  <c:v>0</c:v>
                </c:pt>
                <c:pt idx="43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8A-47B5-9A66-A4B3834F5359}"/>
            </c:ext>
          </c:extLst>
        </c:ser>
        <c:ser>
          <c:idx val="4"/>
          <c:order val="4"/>
          <c:tx>
            <c:strRef>
              <c:f>'+s4we'!$G$17</c:f>
              <c:strCache>
                <c:ptCount val="1"/>
                <c:pt idx="0">
                  <c:v>yellow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'+s4we'!$G$19:$G$68</c:f>
              <c:numCache>
                <c:formatCode>0.0</c:formatCode>
                <c:ptCount val="50"/>
                <c:pt idx="0">
                  <c:v>0</c:v>
                </c:pt>
                <c:pt idx="1">
                  <c:v>3</c:v>
                </c:pt>
                <c:pt idx="2">
                  <c:v>3.0022522522522523</c:v>
                </c:pt>
                <c:pt idx="3">
                  <c:v>3.0022522522522523</c:v>
                </c:pt>
                <c:pt idx="8">
                  <c:v>3</c:v>
                </c:pt>
                <c:pt idx="9">
                  <c:v>3</c:v>
                </c:pt>
                <c:pt idx="12">
                  <c:v>3.3776276276276271</c:v>
                </c:pt>
                <c:pt idx="13">
                  <c:v>3.3776276276276271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3.0022522522522523</c:v>
                </c:pt>
                <c:pt idx="20">
                  <c:v>3.0022522522522523</c:v>
                </c:pt>
                <c:pt idx="25">
                  <c:v>3</c:v>
                </c:pt>
                <c:pt idx="26">
                  <c:v>3</c:v>
                </c:pt>
                <c:pt idx="29">
                  <c:v>3.3776276276276271</c:v>
                </c:pt>
                <c:pt idx="30">
                  <c:v>3.3776276276276271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5">
                  <c:v>3</c:v>
                </c:pt>
                <c:pt idx="36">
                  <c:v>3.0022522522522523</c:v>
                </c:pt>
                <c:pt idx="37">
                  <c:v>3.0022522522522523</c:v>
                </c:pt>
                <c:pt idx="42">
                  <c:v>3</c:v>
                </c:pt>
                <c:pt idx="43">
                  <c:v>3</c:v>
                </c:pt>
                <c:pt idx="46">
                  <c:v>3.3776276276276271</c:v>
                </c:pt>
                <c:pt idx="47">
                  <c:v>3.3776276276276271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8A-47B5-9A66-A4B3834F5359}"/>
            </c:ext>
          </c:extLst>
        </c:ser>
        <c:ser>
          <c:idx val="5"/>
          <c:order val="5"/>
          <c:tx>
            <c:strRef>
              <c:f>'+s4we'!$H$17</c:f>
              <c:strCache>
                <c:ptCount val="1"/>
                <c:pt idx="0">
                  <c:v>all red</c:v>
                </c:pt>
              </c:strCache>
            </c:strRef>
          </c:tx>
          <c:spPr>
            <a:solidFill>
              <a:srgbClr val="FF8181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'+s4we'!$H$19:$H$68</c:f>
              <c:numCache>
                <c:formatCode>0.0</c:formatCode>
                <c:ptCount val="50"/>
                <c:pt idx="0">
                  <c:v>0</c:v>
                </c:pt>
                <c:pt idx="1">
                  <c:v>1.7339881849062175</c:v>
                </c:pt>
                <c:pt idx="2">
                  <c:v>2.7339881849062175</c:v>
                </c:pt>
                <c:pt idx="3">
                  <c:v>2.7339881849062175</c:v>
                </c:pt>
                <c:pt idx="8">
                  <c:v>2</c:v>
                </c:pt>
                <c:pt idx="9">
                  <c:v>2</c:v>
                </c:pt>
                <c:pt idx="12">
                  <c:v>2.1471290728667785</c:v>
                </c:pt>
                <c:pt idx="13">
                  <c:v>2.1471290728667785</c:v>
                </c:pt>
                <c:pt idx="14">
                  <c:v>0</c:v>
                </c:pt>
                <c:pt idx="15">
                  <c:v>0</c:v>
                </c:pt>
                <c:pt idx="17">
                  <c:v>0</c:v>
                </c:pt>
                <c:pt idx="18">
                  <c:v>1.7339881849062175</c:v>
                </c:pt>
                <c:pt idx="19">
                  <c:v>2.7339881849062175</c:v>
                </c:pt>
                <c:pt idx="20">
                  <c:v>2.7339881849062175</c:v>
                </c:pt>
                <c:pt idx="25">
                  <c:v>2</c:v>
                </c:pt>
                <c:pt idx="26">
                  <c:v>2</c:v>
                </c:pt>
                <c:pt idx="29">
                  <c:v>2.1471290728667785</c:v>
                </c:pt>
                <c:pt idx="30">
                  <c:v>2.1471290728667785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5">
                  <c:v>1.7339881849062175</c:v>
                </c:pt>
                <c:pt idx="36">
                  <c:v>2.7339881849062175</c:v>
                </c:pt>
                <c:pt idx="37">
                  <c:v>2.7339881849062175</c:v>
                </c:pt>
                <c:pt idx="42">
                  <c:v>2</c:v>
                </c:pt>
                <c:pt idx="43">
                  <c:v>2</c:v>
                </c:pt>
                <c:pt idx="46">
                  <c:v>2.1471290728667785</c:v>
                </c:pt>
                <c:pt idx="47">
                  <c:v>2.1471290728667785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8A-47B5-9A66-A4B3834F5359}"/>
            </c:ext>
          </c:extLst>
        </c:ser>
        <c:ser>
          <c:idx val="6"/>
          <c:order val="6"/>
          <c:tx>
            <c:strRef>
              <c:f>'+s4we'!$I$17</c:f>
              <c:strCache>
                <c:ptCount val="1"/>
                <c:pt idx="0">
                  <c:v>gr man</c:v>
                </c:pt>
              </c:strCache>
            </c:strRef>
          </c:tx>
          <c:spPr>
            <a:pattFill prst="trellis">
              <a:fgClr>
                <a:srgbClr val="66FF33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val>
            <c:numRef>
              <c:f>'+s4we'!$I$19:$I$68</c:f>
              <c:numCache>
                <c:formatCode>0.0</c:formatCode>
                <c:ptCount val="50"/>
                <c:pt idx="4">
                  <c:v>4.4138958589227411</c:v>
                </c:pt>
                <c:pt idx="5">
                  <c:v>16.147884043828959</c:v>
                </c:pt>
                <c:pt idx="10">
                  <c:v>28.587186624885575</c:v>
                </c:pt>
                <c:pt idx="11">
                  <c:v>28.587186624885575</c:v>
                </c:pt>
                <c:pt idx="21">
                  <c:v>9.7263434739709425</c:v>
                </c:pt>
                <c:pt idx="22">
                  <c:v>21.460331658877159</c:v>
                </c:pt>
                <c:pt idx="27">
                  <c:v>21.658542947556967</c:v>
                </c:pt>
                <c:pt idx="28">
                  <c:v>21.658542947556967</c:v>
                </c:pt>
                <c:pt idx="38">
                  <c:v>7.7886056794901855</c:v>
                </c:pt>
                <c:pt idx="39">
                  <c:v>22.430420170940604</c:v>
                </c:pt>
                <c:pt idx="44">
                  <c:v>25.812643233111977</c:v>
                </c:pt>
                <c:pt idx="45">
                  <c:v>25.812643233111977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8A-47B5-9A66-A4B3834F5359}"/>
            </c:ext>
          </c:extLst>
        </c:ser>
        <c:ser>
          <c:idx val="7"/>
          <c:order val="7"/>
          <c:tx>
            <c:strRef>
              <c:f>'+s4we'!$J$17</c:f>
              <c:strCache>
                <c:ptCount val="1"/>
                <c:pt idx="0">
                  <c:v>f r man</c:v>
                </c:pt>
              </c:strCache>
            </c:strRef>
          </c:tx>
          <c:spPr>
            <a:pattFill prst="dkVert">
              <a:fgClr>
                <a:srgbClr val="FF0000"/>
              </a:fgClr>
              <a:bgClr>
                <a:schemeClr val="bg1"/>
              </a:bgClr>
            </a:pattFill>
            <a:ln>
              <a:solidFill>
                <a:schemeClr val="accent1"/>
              </a:solidFill>
            </a:ln>
          </c:spPr>
          <c:invertIfNegative val="0"/>
          <c:val>
            <c:numRef>
              <c:f>'+s4we'!$J$19:$J$68</c:f>
              <c:numCache>
                <c:formatCode>0.0</c:formatCode>
                <c:ptCount val="50"/>
                <c:pt idx="4">
                  <c:v>9.9977477477477485</c:v>
                </c:pt>
                <c:pt idx="5">
                  <c:v>9.9977477477477485</c:v>
                </c:pt>
                <c:pt idx="10">
                  <c:v>6.6223723723723733</c:v>
                </c:pt>
                <c:pt idx="11">
                  <c:v>6.6223723723723733</c:v>
                </c:pt>
                <c:pt idx="21">
                  <c:v>9.9977477477477485</c:v>
                </c:pt>
                <c:pt idx="22">
                  <c:v>9.9977477477477485</c:v>
                </c:pt>
                <c:pt idx="27">
                  <c:v>6.6223723723723733</c:v>
                </c:pt>
                <c:pt idx="28">
                  <c:v>6.6223723723723733</c:v>
                </c:pt>
                <c:pt idx="38">
                  <c:v>9.9977477477477485</c:v>
                </c:pt>
                <c:pt idx="39">
                  <c:v>9.9977477477477485</c:v>
                </c:pt>
                <c:pt idx="44">
                  <c:v>6.6223723723723733</c:v>
                </c:pt>
                <c:pt idx="45">
                  <c:v>6.6223723723723733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8A-47B5-9A66-A4B3834F5359}"/>
            </c:ext>
          </c:extLst>
        </c:ser>
        <c:ser>
          <c:idx val="8"/>
          <c:order val="8"/>
          <c:tx>
            <c:strRef>
              <c:f>'+s4we'!$K$17</c:f>
              <c:strCache>
                <c:ptCount val="1"/>
                <c:pt idx="0">
                  <c:v>cyc mx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</c:spPr>
          <c:invertIfNegative val="0"/>
          <c:val>
            <c:numRef>
              <c:f>'+s4we'!$K$19:$K$68</c:f>
              <c:numCache>
                <c:formatCode>0.0</c:formatCode>
                <c:ptCount val="50"/>
                <c:pt idx="16">
                  <c:v>89.999990013917298</c:v>
                </c:pt>
                <c:pt idx="33">
                  <c:v>89.999990013917298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8A-47B5-9A66-A4B3834F5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261417216"/>
        <c:axId val="261427200"/>
      </c:barChart>
      <c:catAx>
        <c:axId val="261417216"/>
        <c:scaling>
          <c:orientation val="maxMin"/>
        </c:scaling>
        <c:delete val="1"/>
        <c:axPos val="l"/>
        <c:minorGridlines/>
        <c:numFmt formatCode="0.0" sourceLinked="1"/>
        <c:majorTickMark val="out"/>
        <c:minorTickMark val="none"/>
        <c:tickLblPos val="none"/>
        <c:crossAx val="261427200"/>
        <c:crosses val="autoZero"/>
        <c:auto val="1"/>
        <c:lblAlgn val="ctr"/>
        <c:lblOffset val="100"/>
        <c:tickMarkSkip val="2"/>
        <c:noMultiLvlLbl val="0"/>
      </c:catAx>
      <c:valAx>
        <c:axId val="261427200"/>
        <c:scaling>
          <c:orientation val="minMax"/>
          <c:min val="0"/>
        </c:scaling>
        <c:delete val="0"/>
        <c:axPos val="t"/>
        <c:majorGridlines/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61417216"/>
        <c:crosses val="autoZero"/>
        <c:crossBetween val="between"/>
        <c:majorUnit val="5"/>
        <c:minorUnit val="1"/>
      </c:valAx>
      <c:spPr>
        <a:ln w="6350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2.jpeg"/><Relationship Id="rId1" Type="http://schemas.openxmlformats.org/officeDocument/2006/relationships/image" Target="../media/image3.emf"/><Relationship Id="rId6" Type="http://schemas.openxmlformats.org/officeDocument/2006/relationships/image" Target="../media/image6.jpeg"/><Relationship Id="rId5" Type="http://schemas.openxmlformats.org/officeDocument/2006/relationships/image" Target="cid:image001.png@01D1AF56.C74C4E10" TargetMode="External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eg"/><Relationship Id="rId1" Type="http://schemas.openxmlformats.org/officeDocument/2006/relationships/image" Target="../media/image3.emf"/><Relationship Id="rId6" Type="http://schemas.openxmlformats.org/officeDocument/2006/relationships/image" Target="../media/image6.jpeg"/><Relationship Id="rId5" Type="http://schemas.openxmlformats.org/officeDocument/2006/relationships/image" Target="cid:image001.png@01D1AF56.C74C4E10" TargetMode="External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jpeg"/><Relationship Id="rId1" Type="http://schemas.openxmlformats.org/officeDocument/2006/relationships/image" Target="../media/image3.emf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4" Type="http://schemas.openxmlformats.org/officeDocument/2006/relationships/image" Target="cid:image001.png@01D1AF56.C74C4E10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561975</xdr:colOff>
      <xdr:row>0</xdr:row>
      <xdr:rowOff>180975</xdr:rowOff>
    </xdr:from>
    <xdr:to>
      <xdr:col>5</xdr:col>
      <xdr:colOff>410210</xdr:colOff>
      <xdr:row>3</xdr:row>
      <xdr:rowOff>155575</xdr:rowOff>
    </xdr:to>
    <xdr:grpSp>
      <xdr:nvGrpSpPr>
        <xdr:cNvPr id="56" name="Canvas 8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800225" y="180975"/>
          <a:ext cx="3268576" cy="875145"/>
          <a:chOff x="0" y="0"/>
          <a:chExt cx="3267710" cy="869950"/>
        </a:xfrm>
      </xdr:grpSpPr>
      <xdr:sp macro="" textlink="">
        <xdr:nvSpPr>
          <xdr:cNvPr id="57" name="Rectangle 5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0" y="0"/>
            <a:ext cx="2006600" cy="869950"/>
          </a:xfrm>
          <a:prstGeom prst="rect">
            <a:avLst/>
          </a:prstGeom>
          <a:noFill/>
          <a:ln>
            <a:noFill/>
          </a:ln>
        </xdr:spPr>
        <xdr:txBody>
          <a:bodyPr wrap="square"/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58" name="Rectangle 5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68580" y="0"/>
            <a:ext cx="31750" cy="2882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>
            <a:noAutofit/>
          </a:bodyPr>
          <a:lstStyle/>
          <a:p>
            <a:pPr algn="ctr">
              <a:lnSpc>
                <a:spcPct val="106000"/>
              </a:lnSpc>
              <a:spcAft>
                <a:spcPts val="800"/>
              </a:spcAft>
            </a:pPr>
            <a:r>
              <a:rPr lang="en-ZA" sz="1100">
                <a:solidFill>
                  <a:srgbClr val="000000"/>
                </a:solidFill>
                <a:effectLst/>
                <a:latin typeface="Calibri"/>
                <a:ea typeface="Calibri"/>
              </a:rPr>
              <a:t> </a:t>
            </a:r>
            <a:endParaRPr lang="en-ZA" sz="1200">
              <a:effectLst/>
              <a:latin typeface="Times New Roman"/>
              <a:ea typeface="Times New Roman"/>
            </a:endParaRPr>
          </a:p>
        </xdr:txBody>
      </xdr:sp>
      <xdr:sp macro="" textlink="">
        <xdr:nvSpPr>
          <xdr:cNvPr id="59" name="Rectangle 5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ChangeArrowheads="1"/>
          </xdr:cNvSpPr>
        </xdr:nvSpPr>
        <xdr:spPr bwMode="auto">
          <a:xfrm>
            <a:off x="1016635" y="175261"/>
            <a:ext cx="833755" cy="4330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>
            <a:noAutofit/>
          </a:bodyPr>
          <a:lstStyle/>
          <a:p>
            <a:pPr algn="ctr">
              <a:lnSpc>
                <a:spcPct val="106000"/>
              </a:lnSpc>
              <a:spcAft>
                <a:spcPts val="800"/>
              </a:spcAft>
            </a:pPr>
            <a:r>
              <a:rPr lang="en-US" sz="2600" b="1">
                <a:solidFill>
                  <a:srgbClr val="000000"/>
                </a:solidFill>
                <a:effectLst/>
                <a:latin typeface="Cambria"/>
                <a:ea typeface="Calibri"/>
                <a:cs typeface="Cambria"/>
              </a:rPr>
              <a:t>AutoJ</a:t>
            </a:r>
            <a:endParaRPr lang="en-ZA" sz="1200">
              <a:effectLst/>
              <a:latin typeface="Times New Roman"/>
              <a:ea typeface="Times New Roman"/>
            </a:endParaRPr>
          </a:p>
        </xdr:txBody>
      </xdr:sp>
      <xdr:sp macro="" textlink="">
        <xdr:nvSpPr>
          <xdr:cNvPr id="60" name="Rectangle 5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ChangeArrowheads="1"/>
          </xdr:cNvSpPr>
        </xdr:nvSpPr>
        <xdr:spPr bwMode="auto">
          <a:xfrm>
            <a:off x="2006600" y="146685"/>
            <a:ext cx="1261110" cy="52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>
            <a:noAutofit/>
          </a:bodyPr>
          <a:lstStyle/>
          <a:p>
            <a:pPr algn="ctr">
              <a:lnSpc>
                <a:spcPct val="106000"/>
              </a:lnSpc>
              <a:spcAft>
                <a:spcPts val="0"/>
              </a:spcAft>
            </a:pPr>
            <a:r>
              <a:rPr lang="en-ZA" sz="1400" b="1">
                <a:solidFill>
                  <a:srgbClr val="000000"/>
                </a:solidFill>
                <a:effectLst/>
                <a:latin typeface="Cambria"/>
                <a:ea typeface="Calibri"/>
                <a:cs typeface="Cambria"/>
              </a:rPr>
              <a:t>perfecting</a:t>
            </a:r>
            <a:endParaRPr lang="en-ZA" sz="1200">
              <a:effectLst/>
              <a:latin typeface="Times New Roman"/>
              <a:ea typeface="Times New Roman"/>
            </a:endParaRPr>
          </a:p>
          <a:p>
            <a:pPr algn="ctr">
              <a:lnSpc>
                <a:spcPct val="106000"/>
              </a:lnSpc>
              <a:spcAft>
                <a:spcPts val="800"/>
              </a:spcAft>
            </a:pPr>
            <a:r>
              <a:rPr lang="en-ZA" sz="1400" b="1">
                <a:solidFill>
                  <a:srgbClr val="000000"/>
                </a:solidFill>
                <a:effectLst/>
                <a:latin typeface="Cambria"/>
                <a:ea typeface="Calibri"/>
                <a:cs typeface="Cambria"/>
              </a:rPr>
              <a:t>intersections </a:t>
            </a:r>
            <a:endParaRPr lang="en-ZA" sz="1200">
              <a:effectLst/>
              <a:latin typeface="Times New Roman"/>
              <a:ea typeface="Times New Roman"/>
            </a:endParaRPr>
          </a:p>
        </xdr:txBody>
      </xdr:sp>
      <xdr:sp macro="" textlink="">
        <xdr:nvSpPr>
          <xdr:cNvPr id="61" name="Rectangle 6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ChangeArrowheads="1"/>
          </xdr:cNvSpPr>
        </xdr:nvSpPr>
        <xdr:spPr bwMode="auto">
          <a:xfrm>
            <a:off x="68580" y="544830"/>
            <a:ext cx="3175" cy="2882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>
            <a:noAutofit/>
          </a:bodyPr>
          <a:lstStyle/>
          <a:p>
            <a:pPr algn="ctr">
              <a:lnSpc>
                <a:spcPct val="106000"/>
              </a:lnSpc>
              <a:spcAft>
                <a:spcPts val="800"/>
              </a:spcAft>
            </a:pPr>
            <a:r>
              <a:rPr lang="en-ZA" sz="100">
                <a:solidFill>
                  <a:srgbClr val="000000"/>
                </a:solidFill>
                <a:effectLst/>
                <a:latin typeface="Calibri"/>
                <a:ea typeface="Calibri"/>
              </a:rPr>
              <a:t> </a:t>
            </a:r>
            <a:endParaRPr lang="en-ZA" sz="1200">
              <a:effectLst/>
              <a:latin typeface="Times New Roman"/>
              <a:ea typeface="Times New Roman"/>
            </a:endParaRPr>
          </a:p>
        </xdr:txBody>
      </xdr:sp>
      <xdr:sp macro="" textlink="">
        <xdr:nvSpPr>
          <xdr:cNvPr id="62" name="Rectangle 6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0" y="549910"/>
            <a:ext cx="31750" cy="2882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>
            <a:noAutofit/>
          </a:bodyPr>
          <a:lstStyle/>
          <a:p>
            <a:pPr algn="ctr">
              <a:lnSpc>
                <a:spcPct val="106000"/>
              </a:lnSpc>
              <a:spcAft>
                <a:spcPts val="800"/>
              </a:spcAft>
            </a:pPr>
            <a:r>
              <a:rPr lang="en-ZA" sz="1100">
                <a:solidFill>
                  <a:srgbClr val="000000"/>
                </a:solidFill>
                <a:effectLst/>
                <a:latin typeface="Calibri"/>
                <a:ea typeface="Calibri"/>
              </a:rPr>
              <a:t> </a:t>
            </a:r>
            <a:endParaRPr lang="en-ZA" sz="1200">
              <a:effectLst/>
              <a:latin typeface="Times New Roman"/>
              <a:ea typeface="Times New Roman"/>
            </a:endParaRPr>
          </a:p>
        </xdr:txBody>
      </xdr:sp>
      <xdr:sp macro="" textlink="">
        <xdr:nvSpPr>
          <xdr:cNvPr id="63" name="Freeform 6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/>
          </xdr:cNvSpPr>
        </xdr:nvSpPr>
        <xdr:spPr bwMode="auto">
          <a:xfrm>
            <a:off x="344170" y="416560"/>
            <a:ext cx="378460" cy="191770"/>
          </a:xfrm>
          <a:custGeom>
            <a:avLst/>
            <a:gdLst>
              <a:gd name="T0" fmla="*/ 562 w 596"/>
              <a:gd name="T1" fmla="*/ 17 h 302"/>
              <a:gd name="T2" fmla="*/ 557 w 596"/>
              <a:gd name="T3" fmla="*/ 53 h 302"/>
              <a:gd name="T4" fmla="*/ 547 w 596"/>
              <a:gd name="T5" fmla="*/ 87 h 302"/>
              <a:gd name="T6" fmla="*/ 533 w 596"/>
              <a:gd name="T7" fmla="*/ 121 h 302"/>
              <a:gd name="T8" fmla="*/ 514 w 596"/>
              <a:gd name="T9" fmla="*/ 151 h 302"/>
              <a:gd name="T10" fmla="*/ 491 w 596"/>
              <a:gd name="T11" fmla="*/ 179 h 302"/>
              <a:gd name="T12" fmla="*/ 465 w 596"/>
              <a:gd name="T13" fmla="*/ 204 h 302"/>
              <a:gd name="T14" fmla="*/ 435 w 596"/>
              <a:gd name="T15" fmla="*/ 225 h 302"/>
              <a:gd name="T16" fmla="*/ 403 w 596"/>
              <a:gd name="T17" fmla="*/ 242 h 302"/>
              <a:gd name="T18" fmla="*/ 368 w 596"/>
              <a:gd name="T19" fmla="*/ 253 h 302"/>
              <a:gd name="T20" fmla="*/ 332 w 596"/>
              <a:gd name="T21" fmla="*/ 260 h 302"/>
              <a:gd name="T22" fmla="*/ 296 w 596"/>
              <a:gd name="T23" fmla="*/ 262 h 302"/>
              <a:gd name="T24" fmla="*/ 260 w 596"/>
              <a:gd name="T25" fmla="*/ 260 h 302"/>
              <a:gd name="T26" fmla="*/ 224 w 596"/>
              <a:gd name="T27" fmla="*/ 252 h 302"/>
              <a:gd name="T28" fmla="*/ 189 w 596"/>
              <a:gd name="T29" fmla="*/ 240 h 302"/>
              <a:gd name="T30" fmla="*/ 157 w 596"/>
              <a:gd name="T31" fmla="*/ 222 h 302"/>
              <a:gd name="T32" fmla="*/ 128 w 596"/>
              <a:gd name="T33" fmla="*/ 201 h 302"/>
              <a:gd name="T34" fmla="*/ 102 w 596"/>
              <a:gd name="T35" fmla="*/ 176 h 302"/>
              <a:gd name="T36" fmla="*/ 79 w 596"/>
              <a:gd name="T37" fmla="*/ 148 h 302"/>
              <a:gd name="T38" fmla="*/ 61 w 596"/>
              <a:gd name="T39" fmla="*/ 116 h 302"/>
              <a:gd name="T40" fmla="*/ 47 w 596"/>
              <a:gd name="T41" fmla="*/ 83 h 302"/>
              <a:gd name="T42" fmla="*/ 38 w 596"/>
              <a:gd name="T43" fmla="*/ 48 h 302"/>
              <a:gd name="T44" fmla="*/ 34 w 596"/>
              <a:gd name="T45" fmla="*/ 12 h 302"/>
              <a:gd name="T46" fmla="*/ 0 w 596"/>
              <a:gd name="T47" fmla="*/ 13 h 302"/>
              <a:gd name="T48" fmla="*/ 3 w 596"/>
              <a:gd name="T49" fmla="*/ 51 h 302"/>
              <a:gd name="T50" fmla="*/ 11 w 596"/>
              <a:gd name="T51" fmla="*/ 88 h 302"/>
              <a:gd name="T52" fmla="*/ 24 w 596"/>
              <a:gd name="T53" fmla="*/ 125 h 302"/>
              <a:gd name="T54" fmla="*/ 42 w 596"/>
              <a:gd name="T55" fmla="*/ 159 h 302"/>
              <a:gd name="T56" fmla="*/ 64 w 596"/>
              <a:gd name="T57" fmla="*/ 190 h 302"/>
              <a:gd name="T58" fmla="*/ 90 w 596"/>
              <a:gd name="T59" fmla="*/ 218 h 302"/>
              <a:gd name="T60" fmla="*/ 120 w 596"/>
              <a:gd name="T61" fmla="*/ 244 h 302"/>
              <a:gd name="T62" fmla="*/ 152 w 596"/>
              <a:gd name="T63" fmla="*/ 264 h 302"/>
              <a:gd name="T64" fmla="*/ 187 w 596"/>
              <a:gd name="T65" fmla="*/ 281 h 302"/>
              <a:gd name="T66" fmla="*/ 224 w 596"/>
              <a:gd name="T67" fmla="*/ 293 h 302"/>
              <a:gd name="T68" fmla="*/ 262 w 596"/>
              <a:gd name="T69" fmla="*/ 300 h 302"/>
              <a:gd name="T70" fmla="*/ 301 w 596"/>
              <a:gd name="T71" fmla="*/ 302 h 302"/>
              <a:gd name="T72" fmla="*/ 339 w 596"/>
              <a:gd name="T73" fmla="*/ 299 h 302"/>
              <a:gd name="T74" fmla="*/ 377 w 596"/>
              <a:gd name="T75" fmla="*/ 292 h 302"/>
              <a:gd name="T76" fmla="*/ 414 w 596"/>
              <a:gd name="T77" fmla="*/ 279 h 302"/>
              <a:gd name="T78" fmla="*/ 448 w 596"/>
              <a:gd name="T79" fmla="*/ 262 h 302"/>
              <a:gd name="T80" fmla="*/ 481 w 596"/>
              <a:gd name="T81" fmla="*/ 241 h 302"/>
              <a:gd name="T82" fmla="*/ 509 w 596"/>
              <a:gd name="T83" fmla="*/ 215 h 302"/>
              <a:gd name="T84" fmla="*/ 535 w 596"/>
              <a:gd name="T85" fmla="*/ 186 h 302"/>
              <a:gd name="T86" fmla="*/ 557 w 596"/>
              <a:gd name="T87" fmla="*/ 154 h 302"/>
              <a:gd name="T88" fmla="*/ 574 w 596"/>
              <a:gd name="T89" fmla="*/ 120 h 302"/>
              <a:gd name="T90" fmla="*/ 586 w 596"/>
              <a:gd name="T91" fmla="*/ 84 h 302"/>
              <a:gd name="T92" fmla="*/ 594 w 596"/>
              <a:gd name="T93" fmla="*/ 46 h 302"/>
              <a:gd name="T94" fmla="*/ 596 w 596"/>
              <a:gd name="T95" fmla="*/ 8 h 3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596" h="302">
                <a:moveTo>
                  <a:pt x="562" y="0"/>
                </a:moveTo>
                <a:lnTo>
                  <a:pt x="562" y="5"/>
                </a:lnTo>
                <a:lnTo>
                  <a:pt x="562" y="17"/>
                </a:lnTo>
                <a:lnTo>
                  <a:pt x="561" y="29"/>
                </a:lnTo>
                <a:lnTo>
                  <a:pt x="559" y="41"/>
                </a:lnTo>
                <a:lnTo>
                  <a:pt x="557" y="53"/>
                </a:lnTo>
                <a:lnTo>
                  <a:pt x="554" y="64"/>
                </a:lnTo>
                <a:lnTo>
                  <a:pt x="551" y="76"/>
                </a:lnTo>
                <a:lnTo>
                  <a:pt x="547" y="87"/>
                </a:lnTo>
                <a:lnTo>
                  <a:pt x="543" y="99"/>
                </a:lnTo>
                <a:lnTo>
                  <a:pt x="539" y="110"/>
                </a:lnTo>
                <a:lnTo>
                  <a:pt x="533" y="121"/>
                </a:lnTo>
                <a:lnTo>
                  <a:pt x="527" y="131"/>
                </a:lnTo>
                <a:lnTo>
                  <a:pt x="521" y="141"/>
                </a:lnTo>
                <a:lnTo>
                  <a:pt x="514" y="151"/>
                </a:lnTo>
                <a:lnTo>
                  <a:pt x="507" y="161"/>
                </a:lnTo>
                <a:lnTo>
                  <a:pt x="500" y="171"/>
                </a:lnTo>
                <a:lnTo>
                  <a:pt x="491" y="179"/>
                </a:lnTo>
                <a:lnTo>
                  <a:pt x="483" y="188"/>
                </a:lnTo>
                <a:lnTo>
                  <a:pt x="474" y="196"/>
                </a:lnTo>
                <a:lnTo>
                  <a:pt x="465" y="204"/>
                </a:lnTo>
                <a:lnTo>
                  <a:pt x="455" y="211"/>
                </a:lnTo>
                <a:lnTo>
                  <a:pt x="445" y="218"/>
                </a:lnTo>
                <a:lnTo>
                  <a:pt x="435" y="225"/>
                </a:lnTo>
                <a:lnTo>
                  <a:pt x="424" y="231"/>
                </a:lnTo>
                <a:lnTo>
                  <a:pt x="414" y="236"/>
                </a:lnTo>
                <a:lnTo>
                  <a:pt x="403" y="242"/>
                </a:lnTo>
                <a:lnTo>
                  <a:pt x="391" y="246"/>
                </a:lnTo>
                <a:lnTo>
                  <a:pt x="379" y="250"/>
                </a:lnTo>
                <a:lnTo>
                  <a:pt x="368" y="253"/>
                </a:lnTo>
                <a:lnTo>
                  <a:pt x="356" y="256"/>
                </a:lnTo>
                <a:lnTo>
                  <a:pt x="344" y="259"/>
                </a:lnTo>
                <a:lnTo>
                  <a:pt x="332" y="260"/>
                </a:lnTo>
                <a:lnTo>
                  <a:pt x="320" y="262"/>
                </a:lnTo>
                <a:lnTo>
                  <a:pt x="308" y="262"/>
                </a:lnTo>
                <a:lnTo>
                  <a:pt x="296" y="262"/>
                </a:lnTo>
                <a:lnTo>
                  <a:pt x="284" y="262"/>
                </a:lnTo>
                <a:lnTo>
                  <a:pt x="271" y="261"/>
                </a:lnTo>
                <a:lnTo>
                  <a:pt x="260" y="260"/>
                </a:lnTo>
                <a:lnTo>
                  <a:pt x="247" y="258"/>
                </a:lnTo>
                <a:lnTo>
                  <a:pt x="235" y="255"/>
                </a:lnTo>
                <a:lnTo>
                  <a:pt x="224" y="252"/>
                </a:lnTo>
                <a:lnTo>
                  <a:pt x="212" y="248"/>
                </a:lnTo>
                <a:lnTo>
                  <a:pt x="201" y="244"/>
                </a:lnTo>
                <a:lnTo>
                  <a:pt x="189" y="240"/>
                </a:lnTo>
                <a:lnTo>
                  <a:pt x="178" y="234"/>
                </a:lnTo>
                <a:lnTo>
                  <a:pt x="168" y="228"/>
                </a:lnTo>
                <a:lnTo>
                  <a:pt x="157" y="222"/>
                </a:lnTo>
                <a:lnTo>
                  <a:pt x="147" y="216"/>
                </a:lnTo>
                <a:lnTo>
                  <a:pt x="137" y="209"/>
                </a:lnTo>
                <a:lnTo>
                  <a:pt x="128" y="201"/>
                </a:lnTo>
                <a:lnTo>
                  <a:pt x="119" y="193"/>
                </a:lnTo>
                <a:lnTo>
                  <a:pt x="110" y="185"/>
                </a:lnTo>
                <a:lnTo>
                  <a:pt x="102" y="176"/>
                </a:lnTo>
                <a:lnTo>
                  <a:pt x="94" y="167"/>
                </a:lnTo>
                <a:lnTo>
                  <a:pt x="86" y="158"/>
                </a:lnTo>
                <a:lnTo>
                  <a:pt x="79" y="148"/>
                </a:lnTo>
                <a:lnTo>
                  <a:pt x="73" y="137"/>
                </a:lnTo>
                <a:lnTo>
                  <a:pt x="67" y="127"/>
                </a:lnTo>
                <a:lnTo>
                  <a:pt x="61" y="116"/>
                </a:lnTo>
                <a:lnTo>
                  <a:pt x="56" y="106"/>
                </a:lnTo>
                <a:lnTo>
                  <a:pt x="51" y="95"/>
                </a:lnTo>
                <a:lnTo>
                  <a:pt x="47" y="83"/>
                </a:lnTo>
                <a:lnTo>
                  <a:pt x="44" y="72"/>
                </a:lnTo>
                <a:lnTo>
                  <a:pt x="41" y="60"/>
                </a:lnTo>
                <a:lnTo>
                  <a:pt x="38" y="48"/>
                </a:lnTo>
                <a:lnTo>
                  <a:pt x="36" y="36"/>
                </a:lnTo>
                <a:lnTo>
                  <a:pt x="35" y="24"/>
                </a:lnTo>
                <a:lnTo>
                  <a:pt x="34" y="12"/>
                </a:lnTo>
                <a:lnTo>
                  <a:pt x="34" y="0"/>
                </a:lnTo>
                <a:lnTo>
                  <a:pt x="0" y="0"/>
                </a:lnTo>
                <a:lnTo>
                  <a:pt x="0" y="13"/>
                </a:lnTo>
                <a:lnTo>
                  <a:pt x="1" y="26"/>
                </a:lnTo>
                <a:lnTo>
                  <a:pt x="2" y="38"/>
                </a:lnTo>
                <a:lnTo>
                  <a:pt x="3" y="51"/>
                </a:lnTo>
                <a:lnTo>
                  <a:pt x="5" y="64"/>
                </a:lnTo>
                <a:lnTo>
                  <a:pt x="8" y="76"/>
                </a:lnTo>
                <a:lnTo>
                  <a:pt x="11" y="88"/>
                </a:lnTo>
                <a:lnTo>
                  <a:pt x="15" y="101"/>
                </a:lnTo>
                <a:lnTo>
                  <a:pt x="20" y="113"/>
                </a:lnTo>
                <a:lnTo>
                  <a:pt x="24" y="125"/>
                </a:lnTo>
                <a:lnTo>
                  <a:pt x="30" y="136"/>
                </a:lnTo>
                <a:lnTo>
                  <a:pt x="36" y="148"/>
                </a:lnTo>
                <a:lnTo>
                  <a:pt x="42" y="159"/>
                </a:lnTo>
                <a:lnTo>
                  <a:pt x="49" y="170"/>
                </a:lnTo>
                <a:lnTo>
                  <a:pt x="57" y="180"/>
                </a:lnTo>
                <a:lnTo>
                  <a:pt x="64" y="190"/>
                </a:lnTo>
                <a:lnTo>
                  <a:pt x="72" y="200"/>
                </a:lnTo>
                <a:lnTo>
                  <a:pt x="81" y="210"/>
                </a:lnTo>
                <a:lnTo>
                  <a:pt x="90" y="218"/>
                </a:lnTo>
                <a:lnTo>
                  <a:pt x="100" y="227"/>
                </a:lnTo>
                <a:lnTo>
                  <a:pt x="110" y="235"/>
                </a:lnTo>
                <a:lnTo>
                  <a:pt x="120" y="244"/>
                </a:lnTo>
                <a:lnTo>
                  <a:pt x="130" y="251"/>
                </a:lnTo>
                <a:lnTo>
                  <a:pt x="141" y="258"/>
                </a:lnTo>
                <a:lnTo>
                  <a:pt x="152" y="264"/>
                </a:lnTo>
                <a:lnTo>
                  <a:pt x="164" y="270"/>
                </a:lnTo>
                <a:lnTo>
                  <a:pt x="175" y="276"/>
                </a:lnTo>
                <a:lnTo>
                  <a:pt x="187" y="281"/>
                </a:lnTo>
                <a:lnTo>
                  <a:pt x="200" y="285"/>
                </a:lnTo>
                <a:lnTo>
                  <a:pt x="211" y="289"/>
                </a:lnTo>
                <a:lnTo>
                  <a:pt x="224" y="293"/>
                </a:lnTo>
                <a:lnTo>
                  <a:pt x="236" y="296"/>
                </a:lnTo>
                <a:lnTo>
                  <a:pt x="249" y="298"/>
                </a:lnTo>
                <a:lnTo>
                  <a:pt x="262" y="300"/>
                </a:lnTo>
                <a:lnTo>
                  <a:pt x="275" y="301"/>
                </a:lnTo>
                <a:lnTo>
                  <a:pt x="288" y="302"/>
                </a:lnTo>
                <a:lnTo>
                  <a:pt x="301" y="302"/>
                </a:lnTo>
                <a:lnTo>
                  <a:pt x="314" y="302"/>
                </a:lnTo>
                <a:lnTo>
                  <a:pt x="326" y="301"/>
                </a:lnTo>
                <a:lnTo>
                  <a:pt x="339" y="299"/>
                </a:lnTo>
                <a:lnTo>
                  <a:pt x="352" y="297"/>
                </a:lnTo>
                <a:lnTo>
                  <a:pt x="365" y="295"/>
                </a:lnTo>
                <a:lnTo>
                  <a:pt x="377" y="292"/>
                </a:lnTo>
                <a:lnTo>
                  <a:pt x="390" y="288"/>
                </a:lnTo>
                <a:lnTo>
                  <a:pt x="402" y="284"/>
                </a:lnTo>
                <a:lnTo>
                  <a:pt x="414" y="279"/>
                </a:lnTo>
                <a:lnTo>
                  <a:pt x="426" y="274"/>
                </a:lnTo>
                <a:lnTo>
                  <a:pt x="437" y="268"/>
                </a:lnTo>
                <a:lnTo>
                  <a:pt x="448" y="262"/>
                </a:lnTo>
                <a:lnTo>
                  <a:pt x="459" y="255"/>
                </a:lnTo>
                <a:lnTo>
                  <a:pt x="470" y="248"/>
                </a:lnTo>
                <a:lnTo>
                  <a:pt x="481" y="241"/>
                </a:lnTo>
                <a:lnTo>
                  <a:pt x="490" y="232"/>
                </a:lnTo>
                <a:lnTo>
                  <a:pt x="501" y="224"/>
                </a:lnTo>
                <a:lnTo>
                  <a:pt x="509" y="215"/>
                </a:lnTo>
                <a:lnTo>
                  <a:pt x="519" y="206"/>
                </a:lnTo>
                <a:lnTo>
                  <a:pt x="527" y="196"/>
                </a:lnTo>
                <a:lnTo>
                  <a:pt x="535" y="186"/>
                </a:lnTo>
                <a:lnTo>
                  <a:pt x="543" y="176"/>
                </a:lnTo>
                <a:lnTo>
                  <a:pt x="549" y="165"/>
                </a:lnTo>
                <a:lnTo>
                  <a:pt x="557" y="154"/>
                </a:lnTo>
                <a:lnTo>
                  <a:pt x="563" y="143"/>
                </a:lnTo>
                <a:lnTo>
                  <a:pt x="568" y="131"/>
                </a:lnTo>
                <a:lnTo>
                  <a:pt x="574" y="120"/>
                </a:lnTo>
                <a:lnTo>
                  <a:pt x="578" y="108"/>
                </a:lnTo>
                <a:lnTo>
                  <a:pt x="582" y="95"/>
                </a:lnTo>
                <a:lnTo>
                  <a:pt x="586" y="84"/>
                </a:lnTo>
                <a:lnTo>
                  <a:pt x="589" y="71"/>
                </a:lnTo>
                <a:lnTo>
                  <a:pt x="592" y="59"/>
                </a:lnTo>
                <a:lnTo>
                  <a:pt x="594" y="46"/>
                </a:lnTo>
                <a:lnTo>
                  <a:pt x="595" y="33"/>
                </a:lnTo>
                <a:lnTo>
                  <a:pt x="596" y="21"/>
                </a:lnTo>
                <a:lnTo>
                  <a:pt x="596" y="8"/>
                </a:lnTo>
                <a:lnTo>
                  <a:pt x="596" y="0"/>
                </a:lnTo>
                <a:lnTo>
                  <a:pt x="562" y="0"/>
                </a:lnTo>
                <a:close/>
              </a:path>
            </a:pathLst>
          </a:custGeom>
          <a:solidFill>
            <a:srgbClr val="FFEA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64" name="Freeform 6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/>
          </xdr:cNvSpPr>
        </xdr:nvSpPr>
        <xdr:spPr bwMode="auto">
          <a:xfrm>
            <a:off x="344170" y="226695"/>
            <a:ext cx="378460" cy="189865"/>
          </a:xfrm>
          <a:custGeom>
            <a:avLst/>
            <a:gdLst>
              <a:gd name="T0" fmla="*/ 562 w 596"/>
              <a:gd name="T1" fmla="*/ 283 h 299"/>
              <a:gd name="T2" fmla="*/ 557 w 596"/>
              <a:gd name="T3" fmla="*/ 248 h 299"/>
              <a:gd name="T4" fmla="*/ 547 w 596"/>
              <a:gd name="T5" fmla="*/ 213 h 299"/>
              <a:gd name="T6" fmla="*/ 533 w 596"/>
              <a:gd name="T7" fmla="*/ 180 h 299"/>
              <a:gd name="T8" fmla="*/ 514 w 596"/>
              <a:gd name="T9" fmla="*/ 150 h 299"/>
              <a:gd name="T10" fmla="*/ 491 w 596"/>
              <a:gd name="T11" fmla="*/ 122 h 299"/>
              <a:gd name="T12" fmla="*/ 465 w 596"/>
              <a:gd name="T13" fmla="*/ 98 h 299"/>
              <a:gd name="T14" fmla="*/ 435 w 596"/>
              <a:gd name="T15" fmla="*/ 77 h 299"/>
              <a:gd name="T16" fmla="*/ 403 w 596"/>
              <a:gd name="T17" fmla="*/ 61 h 299"/>
              <a:gd name="T18" fmla="*/ 368 w 596"/>
              <a:gd name="T19" fmla="*/ 49 h 299"/>
              <a:gd name="T20" fmla="*/ 332 w 596"/>
              <a:gd name="T21" fmla="*/ 42 h 299"/>
              <a:gd name="T22" fmla="*/ 296 w 596"/>
              <a:gd name="T23" fmla="*/ 40 h 299"/>
              <a:gd name="T24" fmla="*/ 260 w 596"/>
              <a:gd name="T25" fmla="*/ 43 h 299"/>
              <a:gd name="T26" fmla="*/ 224 w 596"/>
              <a:gd name="T27" fmla="*/ 50 h 299"/>
              <a:gd name="T28" fmla="*/ 189 w 596"/>
              <a:gd name="T29" fmla="*/ 63 h 299"/>
              <a:gd name="T30" fmla="*/ 157 w 596"/>
              <a:gd name="T31" fmla="*/ 80 h 299"/>
              <a:gd name="T32" fmla="*/ 128 w 596"/>
              <a:gd name="T33" fmla="*/ 101 h 299"/>
              <a:gd name="T34" fmla="*/ 102 w 596"/>
              <a:gd name="T35" fmla="*/ 126 h 299"/>
              <a:gd name="T36" fmla="*/ 79 w 596"/>
              <a:gd name="T37" fmla="*/ 153 h 299"/>
              <a:gd name="T38" fmla="*/ 61 w 596"/>
              <a:gd name="T39" fmla="*/ 184 h 299"/>
              <a:gd name="T40" fmla="*/ 47 w 596"/>
              <a:gd name="T41" fmla="*/ 217 h 299"/>
              <a:gd name="T42" fmla="*/ 38 w 596"/>
              <a:gd name="T43" fmla="*/ 252 h 299"/>
              <a:gd name="T44" fmla="*/ 34 w 596"/>
              <a:gd name="T45" fmla="*/ 287 h 299"/>
              <a:gd name="T46" fmla="*/ 0 w 596"/>
              <a:gd name="T47" fmla="*/ 287 h 299"/>
              <a:gd name="T48" fmla="*/ 3 w 596"/>
              <a:gd name="T49" fmla="*/ 249 h 299"/>
              <a:gd name="T50" fmla="*/ 11 w 596"/>
              <a:gd name="T51" fmla="*/ 212 h 299"/>
              <a:gd name="T52" fmla="*/ 24 w 596"/>
              <a:gd name="T53" fmla="*/ 176 h 299"/>
              <a:gd name="T54" fmla="*/ 42 w 596"/>
              <a:gd name="T55" fmla="*/ 143 h 299"/>
              <a:gd name="T56" fmla="*/ 64 w 596"/>
              <a:gd name="T57" fmla="*/ 111 h 299"/>
              <a:gd name="T58" fmla="*/ 90 w 596"/>
              <a:gd name="T59" fmla="*/ 83 h 299"/>
              <a:gd name="T60" fmla="*/ 120 w 596"/>
              <a:gd name="T61" fmla="*/ 59 h 299"/>
              <a:gd name="T62" fmla="*/ 152 w 596"/>
              <a:gd name="T63" fmla="*/ 38 h 299"/>
              <a:gd name="T64" fmla="*/ 187 w 596"/>
              <a:gd name="T65" fmla="*/ 22 h 299"/>
              <a:gd name="T66" fmla="*/ 224 w 596"/>
              <a:gd name="T67" fmla="*/ 10 h 299"/>
              <a:gd name="T68" fmla="*/ 262 w 596"/>
              <a:gd name="T69" fmla="*/ 3 h 299"/>
              <a:gd name="T70" fmla="*/ 301 w 596"/>
              <a:gd name="T71" fmla="*/ 0 h 299"/>
              <a:gd name="T72" fmla="*/ 339 w 596"/>
              <a:gd name="T73" fmla="*/ 4 h 299"/>
              <a:gd name="T74" fmla="*/ 377 w 596"/>
              <a:gd name="T75" fmla="*/ 11 h 299"/>
              <a:gd name="T76" fmla="*/ 414 w 596"/>
              <a:gd name="T77" fmla="*/ 24 h 299"/>
              <a:gd name="T78" fmla="*/ 448 w 596"/>
              <a:gd name="T79" fmla="*/ 41 h 299"/>
              <a:gd name="T80" fmla="*/ 481 w 596"/>
              <a:gd name="T81" fmla="*/ 62 h 299"/>
              <a:gd name="T82" fmla="*/ 509 w 596"/>
              <a:gd name="T83" fmla="*/ 87 h 299"/>
              <a:gd name="T84" fmla="*/ 535 w 596"/>
              <a:gd name="T85" fmla="*/ 115 h 299"/>
              <a:gd name="T86" fmla="*/ 557 w 596"/>
              <a:gd name="T87" fmla="*/ 147 h 299"/>
              <a:gd name="T88" fmla="*/ 574 w 596"/>
              <a:gd name="T89" fmla="*/ 181 h 299"/>
              <a:gd name="T90" fmla="*/ 586 w 596"/>
              <a:gd name="T91" fmla="*/ 217 h 299"/>
              <a:gd name="T92" fmla="*/ 594 w 596"/>
              <a:gd name="T93" fmla="*/ 254 h 299"/>
              <a:gd name="T94" fmla="*/ 596 w 596"/>
              <a:gd name="T95" fmla="*/ 293 h 2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596" h="299">
                <a:moveTo>
                  <a:pt x="562" y="299"/>
                </a:moveTo>
                <a:lnTo>
                  <a:pt x="562" y="295"/>
                </a:lnTo>
                <a:lnTo>
                  <a:pt x="562" y="283"/>
                </a:lnTo>
                <a:lnTo>
                  <a:pt x="561" y="271"/>
                </a:lnTo>
                <a:lnTo>
                  <a:pt x="559" y="259"/>
                </a:lnTo>
                <a:lnTo>
                  <a:pt x="557" y="248"/>
                </a:lnTo>
                <a:lnTo>
                  <a:pt x="554" y="236"/>
                </a:lnTo>
                <a:lnTo>
                  <a:pt x="551" y="225"/>
                </a:lnTo>
                <a:lnTo>
                  <a:pt x="547" y="213"/>
                </a:lnTo>
                <a:lnTo>
                  <a:pt x="543" y="202"/>
                </a:lnTo>
                <a:lnTo>
                  <a:pt x="539" y="191"/>
                </a:lnTo>
                <a:lnTo>
                  <a:pt x="533" y="180"/>
                </a:lnTo>
                <a:lnTo>
                  <a:pt x="527" y="170"/>
                </a:lnTo>
                <a:lnTo>
                  <a:pt x="521" y="160"/>
                </a:lnTo>
                <a:lnTo>
                  <a:pt x="514" y="150"/>
                </a:lnTo>
                <a:lnTo>
                  <a:pt x="507" y="140"/>
                </a:lnTo>
                <a:lnTo>
                  <a:pt x="500" y="131"/>
                </a:lnTo>
                <a:lnTo>
                  <a:pt x="491" y="122"/>
                </a:lnTo>
                <a:lnTo>
                  <a:pt x="483" y="114"/>
                </a:lnTo>
                <a:lnTo>
                  <a:pt x="474" y="106"/>
                </a:lnTo>
                <a:lnTo>
                  <a:pt x="465" y="98"/>
                </a:lnTo>
                <a:lnTo>
                  <a:pt x="455" y="91"/>
                </a:lnTo>
                <a:lnTo>
                  <a:pt x="445" y="84"/>
                </a:lnTo>
                <a:lnTo>
                  <a:pt x="435" y="77"/>
                </a:lnTo>
                <a:lnTo>
                  <a:pt x="424" y="72"/>
                </a:lnTo>
                <a:lnTo>
                  <a:pt x="414" y="66"/>
                </a:lnTo>
                <a:lnTo>
                  <a:pt x="403" y="61"/>
                </a:lnTo>
                <a:lnTo>
                  <a:pt x="391" y="57"/>
                </a:lnTo>
                <a:lnTo>
                  <a:pt x="379" y="52"/>
                </a:lnTo>
                <a:lnTo>
                  <a:pt x="368" y="49"/>
                </a:lnTo>
                <a:lnTo>
                  <a:pt x="356" y="46"/>
                </a:lnTo>
                <a:lnTo>
                  <a:pt x="344" y="44"/>
                </a:lnTo>
                <a:lnTo>
                  <a:pt x="332" y="42"/>
                </a:lnTo>
                <a:lnTo>
                  <a:pt x="320" y="41"/>
                </a:lnTo>
                <a:lnTo>
                  <a:pt x="308" y="40"/>
                </a:lnTo>
                <a:lnTo>
                  <a:pt x="296" y="40"/>
                </a:lnTo>
                <a:lnTo>
                  <a:pt x="284" y="41"/>
                </a:lnTo>
                <a:lnTo>
                  <a:pt x="271" y="42"/>
                </a:lnTo>
                <a:lnTo>
                  <a:pt x="260" y="43"/>
                </a:lnTo>
                <a:lnTo>
                  <a:pt x="247" y="45"/>
                </a:lnTo>
                <a:lnTo>
                  <a:pt x="235" y="47"/>
                </a:lnTo>
                <a:lnTo>
                  <a:pt x="224" y="50"/>
                </a:lnTo>
                <a:lnTo>
                  <a:pt x="212" y="54"/>
                </a:lnTo>
                <a:lnTo>
                  <a:pt x="201" y="58"/>
                </a:lnTo>
                <a:lnTo>
                  <a:pt x="189" y="63"/>
                </a:lnTo>
                <a:lnTo>
                  <a:pt x="178" y="68"/>
                </a:lnTo>
                <a:lnTo>
                  <a:pt x="168" y="74"/>
                </a:lnTo>
                <a:lnTo>
                  <a:pt x="157" y="80"/>
                </a:lnTo>
                <a:lnTo>
                  <a:pt x="147" y="86"/>
                </a:lnTo>
                <a:lnTo>
                  <a:pt x="137" y="93"/>
                </a:lnTo>
                <a:lnTo>
                  <a:pt x="128" y="101"/>
                </a:lnTo>
                <a:lnTo>
                  <a:pt x="119" y="109"/>
                </a:lnTo>
                <a:lnTo>
                  <a:pt x="110" y="117"/>
                </a:lnTo>
                <a:lnTo>
                  <a:pt x="102" y="126"/>
                </a:lnTo>
                <a:lnTo>
                  <a:pt x="94" y="134"/>
                </a:lnTo>
                <a:lnTo>
                  <a:pt x="86" y="144"/>
                </a:lnTo>
                <a:lnTo>
                  <a:pt x="79" y="153"/>
                </a:lnTo>
                <a:lnTo>
                  <a:pt x="73" y="164"/>
                </a:lnTo>
                <a:lnTo>
                  <a:pt x="67" y="174"/>
                </a:lnTo>
                <a:lnTo>
                  <a:pt x="61" y="184"/>
                </a:lnTo>
                <a:lnTo>
                  <a:pt x="56" y="195"/>
                </a:lnTo>
                <a:lnTo>
                  <a:pt x="51" y="206"/>
                </a:lnTo>
                <a:lnTo>
                  <a:pt x="47" y="217"/>
                </a:lnTo>
                <a:lnTo>
                  <a:pt x="44" y="229"/>
                </a:lnTo>
                <a:lnTo>
                  <a:pt x="41" y="241"/>
                </a:lnTo>
                <a:lnTo>
                  <a:pt x="38" y="252"/>
                </a:lnTo>
                <a:lnTo>
                  <a:pt x="36" y="264"/>
                </a:lnTo>
                <a:lnTo>
                  <a:pt x="35" y="276"/>
                </a:lnTo>
                <a:lnTo>
                  <a:pt x="34" y="287"/>
                </a:lnTo>
                <a:lnTo>
                  <a:pt x="34" y="299"/>
                </a:lnTo>
                <a:lnTo>
                  <a:pt x="0" y="299"/>
                </a:lnTo>
                <a:lnTo>
                  <a:pt x="0" y="287"/>
                </a:lnTo>
                <a:lnTo>
                  <a:pt x="1" y="274"/>
                </a:lnTo>
                <a:lnTo>
                  <a:pt x="2" y="262"/>
                </a:lnTo>
                <a:lnTo>
                  <a:pt x="3" y="249"/>
                </a:lnTo>
                <a:lnTo>
                  <a:pt x="5" y="236"/>
                </a:lnTo>
                <a:lnTo>
                  <a:pt x="8" y="224"/>
                </a:lnTo>
                <a:lnTo>
                  <a:pt x="11" y="212"/>
                </a:lnTo>
                <a:lnTo>
                  <a:pt x="15" y="200"/>
                </a:lnTo>
                <a:lnTo>
                  <a:pt x="20" y="188"/>
                </a:lnTo>
                <a:lnTo>
                  <a:pt x="24" y="176"/>
                </a:lnTo>
                <a:lnTo>
                  <a:pt x="30" y="165"/>
                </a:lnTo>
                <a:lnTo>
                  <a:pt x="36" y="153"/>
                </a:lnTo>
                <a:lnTo>
                  <a:pt x="42" y="143"/>
                </a:lnTo>
                <a:lnTo>
                  <a:pt x="49" y="132"/>
                </a:lnTo>
                <a:lnTo>
                  <a:pt x="57" y="122"/>
                </a:lnTo>
                <a:lnTo>
                  <a:pt x="64" y="111"/>
                </a:lnTo>
                <a:lnTo>
                  <a:pt x="72" y="102"/>
                </a:lnTo>
                <a:lnTo>
                  <a:pt x="81" y="93"/>
                </a:lnTo>
                <a:lnTo>
                  <a:pt x="90" y="83"/>
                </a:lnTo>
                <a:lnTo>
                  <a:pt x="100" y="75"/>
                </a:lnTo>
                <a:lnTo>
                  <a:pt x="110" y="66"/>
                </a:lnTo>
                <a:lnTo>
                  <a:pt x="120" y="59"/>
                </a:lnTo>
                <a:lnTo>
                  <a:pt x="130" y="51"/>
                </a:lnTo>
                <a:lnTo>
                  <a:pt x="141" y="45"/>
                </a:lnTo>
                <a:lnTo>
                  <a:pt x="152" y="38"/>
                </a:lnTo>
                <a:lnTo>
                  <a:pt x="164" y="32"/>
                </a:lnTo>
                <a:lnTo>
                  <a:pt x="175" y="27"/>
                </a:lnTo>
                <a:lnTo>
                  <a:pt x="187" y="22"/>
                </a:lnTo>
                <a:lnTo>
                  <a:pt x="200" y="17"/>
                </a:lnTo>
                <a:lnTo>
                  <a:pt x="211" y="13"/>
                </a:lnTo>
                <a:lnTo>
                  <a:pt x="224" y="10"/>
                </a:lnTo>
                <a:lnTo>
                  <a:pt x="236" y="7"/>
                </a:lnTo>
                <a:lnTo>
                  <a:pt x="249" y="4"/>
                </a:lnTo>
                <a:lnTo>
                  <a:pt x="262" y="3"/>
                </a:lnTo>
                <a:lnTo>
                  <a:pt x="275" y="1"/>
                </a:lnTo>
                <a:lnTo>
                  <a:pt x="288" y="0"/>
                </a:lnTo>
                <a:lnTo>
                  <a:pt x="301" y="0"/>
                </a:lnTo>
                <a:lnTo>
                  <a:pt x="314" y="0"/>
                </a:lnTo>
                <a:lnTo>
                  <a:pt x="326" y="2"/>
                </a:lnTo>
                <a:lnTo>
                  <a:pt x="339" y="4"/>
                </a:lnTo>
                <a:lnTo>
                  <a:pt x="352" y="6"/>
                </a:lnTo>
                <a:lnTo>
                  <a:pt x="365" y="8"/>
                </a:lnTo>
                <a:lnTo>
                  <a:pt x="377" y="11"/>
                </a:lnTo>
                <a:lnTo>
                  <a:pt x="390" y="15"/>
                </a:lnTo>
                <a:lnTo>
                  <a:pt x="402" y="19"/>
                </a:lnTo>
                <a:lnTo>
                  <a:pt x="414" y="24"/>
                </a:lnTo>
                <a:lnTo>
                  <a:pt x="426" y="29"/>
                </a:lnTo>
                <a:lnTo>
                  <a:pt x="437" y="34"/>
                </a:lnTo>
                <a:lnTo>
                  <a:pt x="448" y="41"/>
                </a:lnTo>
                <a:lnTo>
                  <a:pt x="459" y="47"/>
                </a:lnTo>
                <a:lnTo>
                  <a:pt x="470" y="55"/>
                </a:lnTo>
                <a:lnTo>
                  <a:pt x="481" y="62"/>
                </a:lnTo>
                <a:lnTo>
                  <a:pt x="490" y="70"/>
                </a:lnTo>
                <a:lnTo>
                  <a:pt x="501" y="78"/>
                </a:lnTo>
                <a:lnTo>
                  <a:pt x="509" y="87"/>
                </a:lnTo>
                <a:lnTo>
                  <a:pt x="519" y="96"/>
                </a:lnTo>
                <a:lnTo>
                  <a:pt x="527" y="106"/>
                </a:lnTo>
                <a:lnTo>
                  <a:pt x="535" y="115"/>
                </a:lnTo>
                <a:lnTo>
                  <a:pt x="543" y="126"/>
                </a:lnTo>
                <a:lnTo>
                  <a:pt x="549" y="136"/>
                </a:lnTo>
                <a:lnTo>
                  <a:pt x="557" y="147"/>
                </a:lnTo>
                <a:lnTo>
                  <a:pt x="563" y="158"/>
                </a:lnTo>
                <a:lnTo>
                  <a:pt x="568" y="169"/>
                </a:lnTo>
                <a:lnTo>
                  <a:pt x="574" y="181"/>
                </a:lnTo>
                <a:lnTo>
                  <a:pt x="578" y="193"/>
                </a:lnTo>
                <a:lnTo>
                  <a:pt x="582" y="205"/>
                </a:lnTo>
                <a:lnTo>
                  <a:pt x="586" y="217"/>
                </a:lnTo>
                <a:lnTo>
                  <a:pt x="589" y="229"/>
                </a:lnTo>
                <a:lnTo>
                  <a:pt x="592" y="242"/>
                </a:lnTo>
                <a:lnTo>
                  <a:pt x="594" y="254"/>
                </a:lnTo>
                <a:lnTo>
                  <a:pt x="595" y="267"/>
                </a:lnTo>
                <a:lnTo>
                  <a:pt x="596" y="279"/>
                </a:lnTo>
                <a:lnTo>
                  <a:pt x="596" y="293"/>
                </a:lnTo>
                <a:lnTo>
                  <a:pt x="596" y="299"/>
                </a:lnTo>
                <a:lnTo>
                  <a:pt x="562" y="299"/>
                </a:lnTo>
                <a:close/>
              </a:path>
            </a:pathLst>
          </a:custGeom>
          <a:solidFill>
            <a:srgbClr val="FFEA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65" name="Freeform 6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/>
          </xdr:cNvSpPr>
        </xdr:nvSpPr>
        <xdr:spPr bwMode="auto">
          <a:xfrm>
            <a:off x="283210" y="175260"/>
            <a:ext cx="489585" cy="484505"/>
          </a:xfrm>
          <a:custGeom>
            <a:avLst/>
            <a:gdLst>
              <a:gd name="T0" fmla="*/ 771 w 771"/>
              <a:gd name="T1" fmla="*/ 382 h 763"/>
              <a:gd name="T2" fmla="*/ 569 w 771"/>
              <a:gd name="T3" fmla="*/ 446 h 763"/>
              <a:gd name="T4" fmla="*/ 553 w 771"/>
              <a:gd name="T5" fmla="*/ 485 h 763"/>
              <a:gd name="T6" fmla="*/ 617 w 771"/>
              <a:gd name="T7" fmla="*/ 607 h 763"/>
              <a:gd name="T8" fmla="*/ 487 w 771"/>
              <a:gd name="T9" fmla="*/ 546 h 763"/>
              <a:gd name="T10" fmla="*/ 449 w 771"/>
              <a:gd name="T11" fmla="*/ 565 h 763"/>
              <a:gd name="T12" fmla="*/ 386 w 771"/>
              <a:gd name="T13" fmla="*/ 763 h 763"/>
              <a:gd name="T14" fmla="*/ 323 w 771"/>
              <a:gd name="T15" fmla="*/ 565 h 763"/>
              <a:gd name="T16" fmla="*/ 285 w 771"/>
              <a:gd name="T17" fmla="*/ 546 h 763"/>
              <a:gd name="T18" fmla="*/ 158 w 771"/>
              <a:gd name="T19" fmla="*/ 607 h 763"/>
              <a:gd name="T20" fmla="*/ 218 w 771"/>
              <a:gd name="T21" fmla="*/ 485 h 763"/>
              <a:gd name="T22" fmla="*/ 202 w 771"/>
              <a:gd name="T23" fmla="*/ 446 h 763"/>
              <a:gd name="T24" fmla="*/ 0 w 771"/>
              <a:gd name="T25" fmla="*/ 382 h 763"/>
              <a:gd name="T26" fmla="*/ 202 w 771"/>
              <a:gd name="T27" fmla="*/ 317 h 763"/>
              <a:gd name="T28" fmla="*/ 218 w 771"/>
              <a:gd name="T29" fmla="*/ 278 h 763"/>
              <a:gd name="T30" fmla="*/ 158 w 771"/>
              <a:gd name="T31" fmla="*/ 156 h 763"/>
              <a:gd name="T32" fmla="*/ 285 w 771"/>
              <a:gd name="T33" fmla="*/ 217 h 763"/>
              <a:gd name="T34" fmla="*/ 323 w 771"/>
              <a:gd name="T35" fmla="*/ 198 h 763"/>
              <a:gd name="T36" fmla="*/ 386 w 771"/>
              <a:gd name="T37" fmla="*/ 0 h 763"/>
              <a:gd name="T38" fmla="*/ 449 w 771"/>
              <a:gd name="T39" fmla="*/ 198 h 763"/>
              <a:gd name="T40" fmla="*/ 487 w 771"/>
              <a:gd name="T41" fmla="*/ 217 h 763"/>
              <a:gd name="T42" fmla="*/ 617 w 771"/>
              <a:gd name="T43" fmla="*/ 156 h 763"/>
              <a:gd name="T44" fmla="*/ 553 w 771"/>
              <a:gd name="T45" fmla="*/ 278 h 763"/>
              <a:gd name="T46" fmla="*/ 569 w 771"/>
              <a:gd name="T47" fmla="*/ 317 h 763"/>
              <a:gd name="T48" fmla="*/ 771 w 771"/>
              <a:gd name="T49" fmla="*/ 382 h 7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771" h="763">
                <a:moveTo>
                  <a:pt x="771" y="382"/>
                </a:moveTo>
                <a:lnTo>
                  <a:pt x="569" y="446"/>
                </a:lnTo>
                <a:lnTo>
                  <a:pt x="553" y="485"/>
                </a:lnTo>
                <a:lnTo>
                  <a:pt x="617" y="607"/>
                </a:lnTo>
                <a:lnTo>
                  <a:pt x="487" y="546"/>
                </a:lnTo>
                <a:lnTo>
                  <a:pt x="449" y="565"/>
                </a:lnTo>
                <a:lnTo>
                  <a:pt x="386" y="763"/>
                </a:lnTo>
                <a:lnTo>
                  <a:pt x="323" y="565"/>
                </a:lnTo>
                <a:lnTo>
                  <a:pt x="285" y="546"/>
                </a:lnTo>
                <a:lnTo>
                  <a:pt x="158" y="607"/>
                </a:lnTo>
                <a:lnTo>
                  <a:pt x="218" y="485"/>
                </a:lnTo>
                <a:lnTo>
                  <a:pt x="202" y="446"/>
                </a:lnTo>
                <a:lnTo>
                  <a:pt x="0" y="382"/>
                </a:lnTo>
                <a:lnTo>
                  <a:pt x="202" y="317"/>
                </a:lnTo>
                <a:lnTo>
                  <a:pt x="218" y="278"/>
                </a:lnTo>
                <a:lnTo>
                  <a:pt x="158" y="156"/>
                </a:lnTo>
                <a:lnTo>
                  <a:pt x="285" y="217"/>
                </a:lnTo>
                <a:lnTo>
                  <a:pt x="323" y="198"/>
                </a:lnTo>
                <a:lnTo>
                  <a:pt x="386" y="0"/>
                </a:lnTo>
                <a:lnTo>
                  <a:pt x="449" y="198"/>
                </a:lnTo>
                <a:lnTo>
                  <a:pt x="487" y="217"/>
                </a:lnTo>
                <a:lnTo>
                  <a:pt x="617" y="156"/>
                </a:lnTo>
                <a:lnTo>
                  <a:pt x="553" y="278"/>
                </a:lnTo>
                <a:lnTo>
                  <a:pt x="569" y="317"/>
                </a:lnTo>
                <a:lnTo>
                  <a:pt x="771" y="382"/>
                </a:lnTo>
                <a:close/>
              </a:path>
            </a:pathLst>
          </a:custGeom>
          <a:solidFill>
            <a:srgbClr val="FFEA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66" name="Freeform 6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/>
          </xdr:cNvSpPr>
        </xdr:nvSpPr>
        <xdr:spPr bwMode="auto">
          <a:xfrm>
            <a:off x="414020" y="306070"/>
            <a:ext cx="238760" cy="232410"/>
          </a:xfrm>
          <a:custGeom>
            <a:avLst/>
            <a:gdLst>
              <a:gd name="T0" fmla="*/ 376 w 376"/>
              <a:gd name="T1" fmla="*/ 173 h 366"/>
              <a:gd name="T2" fmla="*/ 373 w 376"/>
              <a:gd name="T3" fmla="*/ 153 h 366"/>
              <a:gd name="T4" fmla="*/ 369 w 376"/>
              <a:gd name="T5" fmla="*/ 134 h 366"/>
              <a:gd name="T6" fmla="*/ 362 w 376"/>
              <a:gd name="T7" fmla="*/ 115 h 366"/>
              <a:gd name="T8" fmla="*/ 353 w 376"/>
              <a:gd name="T9" fmla="*/ 96 h 366"/>
              <a:gd name="T10" fmla="*/ 343 w 376"/>
              <a:gd name="T11" fmla="*/ 79 h 366"/>
              <a:gd name="T12" fmla="*/ 330 w 376"/>
              <a:gd name="T13" fmla="*/ 64 h 366"/>
              <a:gd name="T14" fmla="*/ 316 w 376"/>
              <a:gd name="T15" fmla="*/ 49 h 366"/>
              <a:gd name="T16" fmla="*/ 300 w 376"/>
              <a:gd name="T17" fmla="*/ 36 h 366"/>
              <a:gd name="T18" fmla="*/ 283 w 376"/>
              <a:gd name="T19" fmla="*/ 25 h 366"/>
              <a:gd name="T20" fmla="*/ 265 w 376"/>
              <a:gd name="T21" fmla="*/ 16 h 366"/>
              <a:gd name="T22" fmla="*/ 246 w 376"/>
              <a:gd name="T23" fmla="*/ 9 h 366"/>
              <a:gd name="T24" fmla="*/ 226 w 376"/>
              <a:gd name="T25" fmla="*/ 3 h 366"/>
              <a:gd name="T26" fmla="*/ 206 w 376"/>
              <a:gd name="T27" fmla="*/ 0 h 366"/>
              <a:gd name="T28" fmla="*/ 186 w 376"/>
              <a:gd name="T29" fmla="*/ 0 h 366"/>
              <a:gd name="T30" fmla="*/ 165 w 376"/>
              <a:gd name="T31" fmla="*/ 1 h 366"/>
              <a:gd name="T32" fmla="*/ 145 w 376"/>
              <a:gd name="T33" fmla="*/ 4 h 366"/>
              <a:gd name="T34" fmla="*/ 125 w 376"/>
              <a:gd name="T35" fmla="*/ 11 h 366"/>
              <a:gd name="T36" fmla="*/ 106 w 376"/>
              <a:gd name="T37" fmla="*/ 18 h 366"/>
              <a:gd name="T38" fmla="*/ 88 w 376"/>
              <a:gd name="T39" fmla="*/ 28 h 366"/>
              <a:gd name="T40" fmla="*/ 71 w 376"/>
              <a:gd name="T41" fmla="*/ 39 h 366"/>
              <a:gd name="T42" fmla="*/ 56 w 376"/>
              <a:gd name="T43" fmla="*/ 53 h 366"/>
              <a:gd name="T44" fmla="*/ 42 w 376"/>
              <a:gd name="T45" fmla="*/ 67 h 366"/>
              <a:gd name="T46" fmla="*/ 30 w 376"/>
              <a:gd name="T47" fmla="*/ 84 h 366"/>
              <a:gd name="T48" fmla="*/ 20 w 376"/>
              <a:gd name="T49" fmla="*/ 101 h 366"/>
              <a:gd name="T50" fmla="*/ 12 w 376"/>
              <a:gd name="T51" fmla="*/ 119 h 366"/>
              <a:gd name="T52" fmla="*/ 6 w 376"/>
              <a:gd name="T53" fmla="*/ 139 h 366"/>
              <a:gd name="T54" fmla="*/ 2 w 376"/>
              <a:gd name="T55" fmla="*/ 158 h 366"/>
              <a:gd name="T56" fmla="*/ 0 w 376"/>
              <a:gd name="T57" fmla="*/ 179 h 366"/>
              <a:gd name="T58" fmla="*/ 1 w 376"/>
              <a:gd name="T59" fmla="*/ 198 h 366"/>
              <a:gd name="T60" fmla="*/ 3 w 376"/>
              <a:gd name="T61" fmla="*/ 218 h 366"/>
              <a:gd name="T62" fmla="*/ 9 w 376"/>
              <a:gd name="T63" fmla="*/ 237 h 366"/>
              <a:gd name="T64" fmla="*/ 16 w 376"/>
              <a:gd name="T65" fmla="*/ 256 h 366"/>
              <a:gd name="T66" fmla="*/ 25 w 376"/>
              <a:gd name="T67" fmla="*/ 274 h 366"/>
              <a:gd name="T68" fmla="*/ 36 w 376"/>
              <a:gd name="T69" fmla="*/ 290 h 366"/>
              <a:gd name="T70" fmla="*/ 50 w 376"/>
              <a:gd name="T71" fmla="*/ 306 h 366"/>
              <a:gd name="T72" fmla="*/ 64 w 376"/>
              <a:gd name="T73" fmla="*/ 320 h 366"/>
              <a:gd name="T74" fmla="*/ 80 w 376"/>
              <a:gd name="T75" fmla="*/ 333 h 366"/>
              <a:gd name="T76" fmla="*/ 97 w 376"/>
              <a:gd name="T77" fmla="*/ 343 h 366"/>
              <a:gd name="T78" fmla="*/ 116 w 376"/>
              <a:gd name="T79" fmla="*/ 352 h 366"/>
              <a:gd name="T80" fmla="*/ 135 w 376"/>
              <a:gd name="T81" fmla="*/ 358 h 366"/>
              <a:gd name="T82" fmla="*/ 155 w 376"/>
              <a:gd name="T83" fmla="*/ 363 h 366"/>
              <a:gd name="T84" fmla="*/ 176 w 376"/>
              <a:gd name="T85" fmla="*/ 366 h 366"/>
              <a:gd name="T86" fmla="*/ 196 w 376"/>
              <a:gd name="T87" fmla="*/ 366 h 366"/>
              <a:gd name="T88" fmla="*/ 217 w 376"/>
              <a:gd name="T89" fmla="*/ 363 h 366"/>
              <a:gd name="T90" fmla="*/ 237 w 376"/>
              <a:gd name="T91" fmla="*/ 359 h 366"/>
              <a:gd name="T92" fmla="*/ 256 w 376"/>
              <a:gd name="T93" fmla="*/ 353 h 366"/>
              <a:gd name="T94" fmla="*/ 275 w 376"/>
              <a:gd name="T95" fmla="*/ 345 h 366"/>
              <a:gd name="T96" fmla="*/ 293 w 376"/>
              <a:gd name="T97" fmla="*/ 335 h 366"/>
              <a:gd name="T98" fmla="*/ 309 w 376"/>
              <a:gd name="T99" fmla="*/ 323 h 366"/>
              <a:gd name="T100" fmla="*/ 324 w 376"/>
              <a:gd name="T101" fmla="*/ 309 h 366"/>
              <a:gd name="T102" fmla="*/ 337 w 376"/>
              <a:gd name="T103" fmla="*/ 294 h 366"/>
              <a:gd name="T104" fmla="*/ 349 w 376"/>
              <a:gd name="T105" fmla="*/ 277 h 366"/>
              <a:gd name="T106" fmla="*/ 358 w 376"/>
              <a:gd name="T107" fmla="*/ 259 h 366"/>
              <a:gd name="T108" fmla="*/ 366 w 376"/>
              <a:gd name="T109" fmla="*/ 241 h 366"/>
              <a:gd name="T110" fmla="*/ 371 w 376"/>
              <a:gd name="T111" fmla="*/ 222 h 366"/>
              <a:gd name="T112" fmla="*/ 375 w 376"/>
              <a:gd name="T113" fmla="*/ 202 h 366"/>
              <a:gd name="T114" fmla="*/ 376 w 376"/>
              <a:gd name="T115" fmla="*/ 183 h 3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376" h="366">
                <a:moveTo>
                  <a:pt x="376" y="183"/>
                </a:moveTo>
                <a:lnTo>
                  <a:pt x="376" y="173"/>
                </a:lnTo>
                <a:lnTo>
                  <a:pt x="374" y="163"/>
                </a:lnTo>
                <a:lnTo>
                  <a:pt x="373" y="153"/>
                </a:lnTo>
                <a:lnTo>
                  <a:pt x="371" y="143"/>
                </a:lnTo>
                <a:lnTo>
                  <a:pt x="369" y="134"/>
                </a:lnTo>
                <a:lnTo>
                  <a:pt x="366" y="124"/>
                </a:lnTo>
                <a:lnTo>
                  <a:pt x="362" y="115"/>
                </a:lnTo>
                <a:lnTo>
                  <a:pt x="358" y="105"/>
                </a:lnTo>
                <a:lnTo>
                  <a:pt x="353" y="96"/>
                </a:lnTo>
                <a:lnTo>
                  <a:pt x="348" y="88"/>
                </a:lnTo>
                <a:lnTo>
                  <a:pt x="343" y="79"/>
                </a:lnTo>
                <a:lnTo>
                  <a:pt x="337" y="71"/>
                </a:lnTo>
                <a:lnTo>
                  <a:pt x="330" y="64"/>
                </a:lnTo>
                <a:lnTo>
                  <a:pt x="323" y="56"/>
                </a:lnTo>
                <a:lnTo>
                  <a:pt x="316" y="49"/>
                </a:lnTo>
                <a:lnTo>
                  <a:pt x="309" y="43"/>
                </a:lnTo>
                <a:lnTo>
                  <a:pt x="300" y="36"/>
                </a:lnTo>
                <a:lnTo>
                  <a:pt x="292" y="30"/>
                </a:lnTo>
                <a:lnTo>
                  <a:pt x="283" y="25"/>
                </a:lnTo>
                <a:lnTo>
                  <a:pt x="274" y="20"/>
                </a:lnTo>
                <a:lnTo>
                  <a:pt x="265" y="16"/>
                </a:lnTo>
                <a:lnTo>
                  <a:pt x="256" y="12"/>
                </a:lnTo>
                <a:lnTo>
                  <a:pt x="246" y="9"/>
                </a:lnTo>
                <a:lnTo>
                  <a:pt x="236" y="6"/>
                </a:lnTo>
                <a:lnTo>
                  <a:pt x="226" y="3"/>
                </a:lnTo>
                <a:lnTo>
                  <a:pt x="216" y="2"/>
                </a:lnTo>
                <a:lnTo>
                  <a:pt x="206" y="0"/>
                </a:lnTo>
                <a:lnTo>
                  <a:pt x="195" y="0"/>
                </a:lnTo>
                <a:lnTo>
                  <a:pt x="186" y="0"/>
                </a:lnTo>
                <a:lnTo>
                  <a:pt x="175" y="0"/>
                </a:lnTo>
                <a:lnTo>
                  <a:pt x="165" y="1"/>
                </a:lnTo>
                <a:lnTo>
                  <a:pt x="155" y="2"/>
                </a:lnTo>
                <a:lnTo>
                  <a:pt x="145" y="4"/>
                </a:lnTo>
                <a:lnTo>
                  <a:pt x="135" y="7"/>
                </a:lnTo>
                <a:lnTo>
                  <a:pt x="125" y="11"/>
                </a:lnTo>
                <a:lnTo>
                  <a:pt x="115" y="14"/>
                </a:lnTo>
                <a:lnTo>
                  <a:pt x="106" y="18"/>
                </a:lnTo>
                <a:lnTo>
                  <a:pt x="97" y="23"/>
                </a:lnTo>
                <a:lnTo>
                  <a:pt x="88" y="28"/>
                </a:lnTo>
                <a:lnTo>
                  <a:pt x="79" y="33"/>
                </a:lnTo>
                <a:lnTo>
                  <a:pt x="71" y="39"/>
                </a:lnTo>
                <a:lnTo>
                  <a:pt x="63" y="46"/>
                </a:lnTo>
                <a:lnTo>
                  <a:pt x="56" y="53"/>
                </a:lnTo>
                <a:lnTo>
                  <a:pt x="49" y="60"/>
                </a:lnTo>
                <a:lnTo>
                  <a:pt x="42" y="67"/>
                </a:lnTo>
                <a:lnTo>
                  <a:pt x="36" y="75"/>
                </a:lnTo>
                <a:lnTo>
                  <a:pt x="30" y="84"/>
                </a:lnTo>
                <a:lnTo>
                  <a:pt x="24" y="92"/>
                </a:lnTo>
                <a:lnTo>
                  <a:pt x="20" y="101"/>
                </a:lnTo>
                <a:lnTo>
                  <a:pt x="16" y="110"/>
                </a:lnTo>
                <a:lnTo>
                  <a:pt x="12" y="119"/>
                </a:lnTo>
                <a:lnTo>
                  <a:pt x="9" y="129"/>
                </a:lnTo>
                <a:lnTo>
                  <a:pt x="6" y="139"/>
                </a:lnTo>
                <a:lnTo>
                  <a:pt x="3" y="148"/>
                </a:lnTo>
                <a:lnTo>
                  <a:pt x="2" y="158"/>
                </a:lnTo>
                <a:lnTo>
                  <a:pt x="1" y="168"/>
                </a:lnTo>
                <a:lnTo>
                  <a:pt x="0" y="179"/>
                </a:lnTo>
                <a:lnTo>
                  <a:pt x="0" y="188"/>
                </a:lnTo>
                <a:lnTo>
                  <a:pt x="1" y="198"/>
                </a:lnTo>
                <a:lnTo>
                  <a:pt x="2" y="208"/>
                </a:lnTo>
                <a:lnTo>
                  <a:pt x="3" y="218"/>
                </a:lnTo>
                <a:lnTo>
                  <a:pt x="6" y="227"/>
                </a:lnTo>
                <a:lnTo>
                  <a:pt x="9" y="237"/>
                </a:lnTo>
                <a:lnTo>
                  <a:pt x="12" y="247"/>
                </a:lnTo>
                <a:lnTo>
                  <a:pt x="16" y="256"/>
                </a:lnTo>
                <a:lnTo>
                  <a:pt x="20" y="265"/>
                </a:lnTo>
                <a:lnTo>
                  <a:pt x="25" y="274"/>
                </a:lnTo>
                <a:lnTo>
                  <a:pt x="31" y="282"/>
                </a:lnTo>
                <a:lnTo>
                  <a:pt x="36" y="290"/>
                </a:lnTo>
                <a:lnTo>
                  <a:pt x="43" y="299"/>
                </a:lnTo>
                <a:lnTo>
                  <a:pt x="50" y="306"/>
                </a:lnTo>
                <a:lnTo>
                  <a:pt x="56" y="313"/>
                </a:lnTo>
                <a:lnTo>
                  <a:pt x="64" y="320"/>
                </a:lnTo>
                <a:lnTo>
                  <a:pt x="72" y="326"/>
                </a:lnTo>
                <a:lnTo>
                  <a:pt x="80" y="333"/>
                </a:lnTo>
                <a:lnTo>
                  <a:pt x="89" y="338"/>
                </a:lnTo>
                <a:lnTo>
                  <a:pt x="97" y="343"/>
                </a:lnTo>
                <a:lnTo>
                  <a:pt x="107" y="348"/>
                </a:lnTo>
                <a:lnTo>
                  <a:pt x="116" y="352"/>
                </a:lnTo>
                <a:lnTo>
                  <a:pt x="126" y="355"/>
                </a:lnTo>
                <a:lnTo>
                  <a:pt x="135" y="358"/>
                </a:lnTo>
                <a:lnTo>
                  <a:pt x="145" y="361"/>
                </a:lnTo>
                <a:lnTo>
                  <a:pt x="155" y="363"/>
                </a:lnTo>
                <a:lnTo>
                  <a:pt x="166" y="365"/>
                </a:lnTo>
                <a:lnTo>
                  <a:pt x="176" y="366"/>
                </a:lnTo>
                <a:lnTo>
                  <a:pt x="186" y="366"/>
                </a:lnTo>
                <a:lnTo>
                  <a:pt x="196" y="366"/>
                </a:lnTo>
                <a:lnTo>
                  <a:pt x="207" y="365"/>
                </a:lnTo>
                <a:lnTo>
                  <a:pt x="217" y="363"/>
                </a:lnTo>
                <a:lnTo>
                  <a:pt x="227" y="362"/>
                </a:lnTo>
                <a:lnTo>
                  <a:pt x="237" y="359"/>
                </a:lnTo>
                <a:lnTo>
                  <a:pt x="247" y="357"/>
                </a:lnTo>
                <a:lnTo>
                  <a:pt x="256" y="353"/>
                </a:lnTo>
                <a:lnTo>
                  <a:pt x="266" y="350"/>
                </a:lnTo>
                <a:lnTo>
                  <a:pt x="275" y="345"/>
                </a:lnTo>
                <a:lnTo>
                  <a:pt x="284" y="340"/>
                </a:lnTo>
                <a:lnTo>
                  <a:pt x="293" y="335"/>
                </a:lnTo>
                <a:lnTo>
                  <a:pt x="301" y="329"/>
                </a:lnTo>
                <a:lnTo>
                  <a:pt x="309" y="323"/>
                </a:lnTo>
                <a:lnTo>
                  <a:pt x="316" y="316"/>
                </a:lnTo>
                <a:lnTo>
                  <a:pt x="324" y="309"/>
                </a:lnTo>
                <a:lnTo>
                  <a:pt x="331" y="302"/>
                </a:lnTo>
                <a:lnTo>
                  <a:pt x="337" y="294"/>
                </a:lnTo>
                <a:lnTo>
                  <a:pt x="344" y="286"/>
                </a:lnTo>
                <a:lnTo>
                  <a:pt x="349" y="277"/>
                </a:lnTo>
                <a:lnTo>
                  <a:pt x="354" y="269"/>
                </a:lnTo>
                <a:lnTo>
                  <a:pt x="358" y="259"/>
                </a:lnTo>
                <a:lnTo>
                  <a:pt x="362" y="250"/>
                </a:lnTo>
                <a:lnTo>
                  <a:pt x="366" y="241"/>
                </a:lnTo>
                <a:lnTo>
                  <a:pt x="369" y="232"/>
                </a:lnTo>
                <a:lnTo>
                  <a:pt x="371" y="222"/>
                </a:lnTo>
                <a:lnTo>
                  <a:pt x="373" y="212"/>
                </a:lnTo>
                <a:lnTo>
                  <a:pt x="375" y="202"/>
                </a:lnTo>
                <a:lnTo>
                  <a:pt x="376" y="192"/>
                </a:lnTo>
                <a:lnTo>
                  <a:pt x="376" y="183"/>
                </a:lnTo>
                <a:lnTo>
                  <a:pt x="376" y="183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67" name="Freeform 6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403225" y="287655"/>
            <a:ext cx="129540" cy="259715"/>
          </a:xfrm>
          <a:custGeom>
            <a:avLst/>
            <a:gdLst>
              <a:gd name="T0" fmla="*/ 196 w 204"/>
              <a:gd name="T1" fmla="*/ 376 h 409"/>
              <a:gd name="T2" fmla="*/ 176 w 204"/>
              <a:gd name="T3" fmla="*/ 375 h 409"/>
              <a:gd name="T4" fmla="*/ 156 w 204"/>
              <a:gd name="T5" fmla="*/ 370 h 409"/>
              <a:gd name="T6" fmla="*/ 138 w 204"/>
              <a:gd name="T7" fmla="*/ 364 h 409"/>
              <a:gd name="T8" fmla="*/ 120 w 204"/>
              <a:gd name="T9" fmla="*/ 355 h 409"/>
              <a:gd name="T10" fmla="*/ 104 w 204"/>
              <a:gd name="T11" fmla="*/ 344 h 409"/>
              <a:gd name="T12" fmla="*/ 88 w 204"/>
              <a:gd name="T13" fmla="*/ 331 h 409"/>
              <a:gd name="T14" fmla="*/ 74 w 204"/>
              <a:gd name="T15" fmla="*/ 317 h 409"/>
              <a:gd name="T16" fmla="*/ 62 w 204"/>
              <a:gd name="T17" fmla="*/ 301 h 409"/>
              <a:gd name="T18" fmla="*/ 52 w 204"/>
              <a:gd name="T19" fmla="*/ 283 h 409"/>
              <a:gd name="T20" fmla="*/ 44 w 204"/>
              <a:gd name="T21" fmla="*/ 265 h 409"/>
              <a:gd name="T22" fmla="*/ 38 w 204"/>
              <a:gd name="T23" fmla="*/ 246 h 409"/>
              <a:gd name="T24" fmla="*/ 34 w 204"/>
              <a:gd name="T25" fmla="*/ 225 h 409"/>
              <a:gd name="T26" fmla="*/ 33 w 204"/>
              <a:gd name="T27" fmla="*/ 205 h 409"/>
              <a:gd name="T28" fmla="*/ 34 w 204"/>
              <a:gd name="T29" fmla="*/ 185 h 409"/>
              <a:gd name="T30" fmla="*/ 37 w 204"/>
              <a:gd name="T31" fmla="*/ 165 h 409"/>
              <a:gd name="T32" fmla="*/ 43 w 204"/>
              <a:gd name="T33" fmla="*/ 145 h 409"/>
              <a:gd name="T34" fmla="*/ 51 w 204"/>
              <a:gd name="T35" fmla="*/ 127 h 409"/>
              <a:gd name="T36" fmla="*/ 61 w 204"/>
              <a:gd name="T37" fmla="*/ 109 h 409"/>
              <a:gd name="T38" fmla="*/ 73 w 204"/>
              <a:gd name="T39" fmla="*/ 93 h 409"/>
              <a:gd name="T40" fmla="*/ 87 w 204"/>
              <a:gd name="T41" fmla="*/ 79 h 409"/>
              <a:gd name="T42" fmla="*/ 102 w 204"/>
              <a:gd name="T43" fmla="*/ 65 h 409"/>
              <a:gd name="T44" fmla="*/ 118 w 204"/>
              <a:gd name="T45" fmla="*/ 55 h 409"/>
              <a:gd name="T46" fmla="*/ 136 w 204"/>
              <a:gd name="T47" fmla="*/ 46 h 409"/>
              <a:gd name="T48" fmla="*/ 155 w 204"/>
              <a:gd name="T49" fmla="*/ 39 h 409"/>
              <a:gd name="T50" fmla="*/ 174 w 204"/>
              <a:gd name="T51" fmla="*/ 35 h 409"/>
              <a:gd name="T52" fmla="*/ 194 w 204"/>
              <a:gd name="T53" fmla="*/ 33 h 409"/>
              <a:gd name="T54" fmla="*/ 204 w 204"/>
              <a:gd name="T55" fmla="*/ 0 h 409"/>
              <a:gd name="T56" fmla="*/ 183 w 204"/>
              <a:gd name="T57" fmla="*/ 1 h 409"/>
              <a:gd name="T58" fmla="*/ 161 w 204"/>
              <a:gd name="T59" fmla="*/ 4 h 409"/>
              <a:gd name="T60" fmla="*/ 140 w 204"/>
              <a:gd name="T61" fmla="*/ 9 h 409"/>
              <a:gd name="T62" fmla="*/ 119 w 204"/>
              <a:gd name="T63" fmla="*/ 17 h 409"/>
              <a:gd name="T64" fmla="*/ 101 w 204"/>
              <a:gd name="T65" fmla="*/ 27 h 409"/>
              <a:gd name="T66" fmla="*/ 83 w 204"/>
              <a:gd name="T67" fmla="*/ 39 h 409"/>
              <a:gd name="T68" fmla="*/ 66 w 204"/>
              <a:gd name="T69" fmla="*/ 53 h 409"/>
              <a:gd name="T70" fmla="*/ 51 w 204"/>
              <a:gd name="T71" fmla="*/ 69 h 409"/>
              <a:gd name="T72" fmla="*/ 37 w 204"/>
              <a:gd name="T73" fmla="*/ 86 h 409"/>
              <a:gd name="T74" fmla="*/ 26 w 204"/>
              <a:gd name="T75" fmla="*/ 105 h 409"/>
              <a:gd name="T76" fmla="*/ 16 w 204"/>
              <a:gd name="T77" fmla="*/ 125 h 409"/>
              <a:gd name="T78" fmla="*/ 9 w 204"/>
              <a:gd name="T79" fmla="*/ 146 h 409"/>
              <a:gd name="T80" fmla="*/ 3 w 204"/>
              <a:gd name="T81" fmla="*/ 168 h 409"/>
              <a:gd name="T82" fmla="*/ 1 w 204"/>
              <a:gd name="T83" fmla="*/ 190 h 409"/>
              <a:gd name="T84" fmla="*/ 0 w 204"/>
              <a:gd name="T85" fmla="*/ 211 h 409"/>
              <a:gd name="T86" fmla="*/ 3 w 204"/>
              <a:gd name="T87" fmla="*/ 234 h 409"/>
              <a:gd name="T88" fmla="*/ 7 w 204"/>
              <a:gd name="T89" fmla="*/ 256 h 409"/>
              <a:gd name="T90" fmla="*/ 13 w 204"/>
              <a:gd name="T91" fmla="*/ 277 h 409"/>
              <a:gd name="T92" fmla="*/ 22 w 204"/>
              <a:gd name="T93" fmla="*/ 297 h 409"/>
              <a:gd name="T94" fmla="*/ 33 w 204"/>
              <a:gd name="T95" fmla="*/ 316 h 409"/>
              <a:gd name="T96" fmla="*/ 46 w 204"/>
              <a:gd name="T97" fmla="*/ 334 h 409"/>
              <a:gd name="T98" fmla="*/ 60 w 204"/>
              <a:gd name="T99" fmla="*/ 351 h 409"/>
              <a:gd name="T100" fmla="*/ 77 w 204"/>
              <a:gd name="T101" fmla="*/ 365 h 409"/>
              <a:gd name="T102" fmla="*/ 94 w 204"/>
              <a:gd name="T103" fmla="*/ 378 h 409"/>
              <a:gd name="T104" fmla="*/ 113 w 204"/>
              <a:gd name="T105" fmla="*/ 388 h 409"/>
              <a:gd name="T106" fmla="*/ 133 w 204"/>
              <a:gd name="T107" fmla="*/ 397 h 409"/>
              <a:gd name="T108" fmla="*/ 154 w 204"/>
              <a:gd name="T109" fmla="*/ 404 h 409"/>
              <a:gd name="T110" fmla="*/ 175 w 204"/>
              <a:gd name="T111" fmla="*/ 408 h 409"/>
              <a:gd name="T112" fmla="*/ 197 w 204"/>
              <a:gd name="T113" fmla="*/ 409 h 409"/>
              <a:gd name="T114" fmla="*/ 204 w 204"/>
              <a:gd name="T115" fmla="*/ 376 h 4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204" h="409">
                <a:moveTo>
                  <a:pt x="204" y="376"/>
                </a:moveTo>
                <a:lnTo>
                  <a:pt x="196" y="376"/>
                </a:lnTo>
                <a:lnTo>
                  <a:pt x="186" y="376"/>
                </a:lnTo>
                <a:lnTo>
                  <a:pt x="176" y="375"/>
                </a:lnTo>
                <a:lnTo>
                  <a:pt x="166" y="373"/>
                </a:lnTo>
                <a:lnTo>
                  <a:pt x="156" y="370"/>
                </a:lnTo>
                <a:lnTo>
                  <a:pt x="147" y="367"/>
                </a:lnTo>
                <a:lnTo>
                  <a:pt x="138" y="364"/>
                </a:lnTo>
                <a:lnTo>
                  <a:pt x="129" y="360"/>
                </a:lnTo>
                <a:lnTo>
                  <a:pt x="120" y="355"/>
                </a:lnTo>
                <a:lnTo>
                  <a:pt x="111" y="350"/>
                </a:lnTo>
                <a:lnTo>
                  <a:pt x="104" y="344"/>
                </a:lnTo>
                <a:lnTo>
                  <a:pt x="95" y="338"/>
                </a:lnTo>
                <a:lnTo>
                  <a:pt x="88" y="331"/>
                </a:lnTo>
                <a:lnTo>
                  <a:pt x="80" y="325"/>
                </a:lnTo>
                <a:lnTo>
                  <a:pt x="74" y="317"/>
                </a:lnTo>
                <a:lnTo>
                  <a:pt x="68" y="309"/>
                </a:lnTo>
                <a:lnTo>
                  <a:pt x="62" y="301"/>
                </a:lnTo>
                <a:lnTo>
                  <a:pt x="57" y="292"/>
                </a:lnTo>
                <a:lnTo>
                  <a:pt x="52" y="283"/>
                </a:lnTo>
                <a:lnTo>
                  <a:pt x="48" y="274"/>
                </a:lnTo>
                <a:lnTo>
                  <a:pt x="44" y="265"/>
                </a:lnTo>
                <a:lnTo>
                  <a:pt x="40" y="255"/>
                </a:lnTo>
                <a:lnTo>
                  <a:pt x="38" y="246"/>
                </a:lnTo>
                <a:lnTo>
                  <a:pt x="36" y="236"/>
                </a:lnTo>
                <a:lnTo>
                  <a:pt x="34" y="225"/>
                </a:lnTo>
                <a:lnTo>
                  <a:pt x="33" y="215"/>
                </a:lnTo>
                <a:lnTo>
                  <a:pt x="33" y="205"/>
                </a:lnTo>
                <a:lnTo>
                  <a:pt x="33" y="195"/>
                </a:lnTo>
                <a:lnTo>
                  <a:pt x="34" y="185"/>
                </a:lnTo>
                <a:lnTo>
                  <a:pt x="35" y="175"/>
                </a:lnTo>
                <a:lnTo>
                  <a:pt x="37" y="165"/>
                </a:lnTo>
                <a:lnTo>
                  <a:pt x="40" y="155"/>
                </a:lnTo>
                <a:lnTo>
                  <a:pt x="43" y="145"/>
                </a:lnTo>
                <a:lnTo>
                  <a:pt x="47" y="136"/>
                </a:lnTo>
                <a:lnTo>
                  <a:pt x="51" y="127"/>
                </a:lnTo>
                <a:lnTo>
                  <a:pt x="56" y="118"/>
                </a:lnTo>
                <a:lnTo>
                  <a:pt x="61" y="109"/>
                </a:lnTo>
                <a:lnTo>
                  <a:pt x="67" y="101"/>
                </a:lnTo>
                <a:lnTo>
                  <a:pt x="73" y="93"/>
                </a:lnTo>
                <a:lnTo>
                  <a:pt x="79" y="86"/>
                </a:lnTo>
                <a:lnTo>
                  <a:pt x="87" y="79"/>
                </a:lnTo>
                <a:lnTo>
                  <a:pt x="94" y="71"/>
                </a:lnTo>
                <a:lnTo>
                  <a:pt x="102" y="65"/>
                </a:lnTo>
                <a:lnTo>
                  <a:pt x="110" y="60"/>
                </a:lnTo>
                <a:lnTo>
                  <a:pt x="118" y="55"/>
                </a:lnTo>
                <a:lnTo>
                  <a:pt x="127" y="50"/>
                </a:lnTo>
                <a:lnTo>
                  <a:pt x="136" y="46"/>
                </a:lnTo>
                <a:lnTo>
                  <a:pt x="146" y="42"/>
                </a:lnTo>
                <a:lnTo>
                  <a:pt x="155" y="39"/>
                </a:lnTo>
                <a:lnTo>
                  <a:pt x="165" y="37"/>
                </a:lnTo>
                <a:lnTo>
                  <a:pt x="174" y="35"/>
                </a:lnTo>
                <a:lnTo>
                  <a:pt x="185" y="34"/>
                </a:lnTo>
                <a:lnTo>
                  <a:pt x="194" y="33"/>
                </a:lnTo>
                <a:lnTo>
                  <a:pt x="204" y="33"/>
                </a:lnTo>
                <a:lnTo>
                  <a:pt x="204" y="0"/>
                </a:lnTo>
                <a:lnTo>
                  <a:pt x="193" y="0"/>
                </a:lnTo>
                <a:lnTo>
                  <a:pt x="183" y="1"/>
                </a:lnTo>
                <a:lnTo>
                  <a:pt x="172" y="2"/>
                </a:lnTo>
                <a:lnTo>
                  <a:pt x="161" y="4"/>
                </a:lnTo>
                <a:lnTo>
                  <a:pt x="150" y="6"/>
                </a:lnTo>
                <a:lnTo>
                  <a:pt x="140" y="9"/>
                </a:lnTo>
                <a:lnTo>
                  <a:pt x="130" y="13"/>
                </a:lnTo>
                <a:lnTo>
                  <a:pt x="119" y="17"/>
                </a:lnTo>
                <a:lnTo>
                  <a:pt x="110" y="22"/>
                </a:lnTo>
                <a:lnTo>
                  <a:pt x="101" y="27"/>
                </a:lnTo>
                <a:lnTo>
                  <a:pt x="92" y="33"/>
                </a:lnTo>
                <a:lnTo>
                  <a:pt x="83" y="39"/>
                </a:lnTo>
                <a:lnTo>
                  <a:pt x="74" y="46"/>
                </a:lnTo>
                <a:lnTo>
                  <a:pt x="66" y="53"/>
                </a:lnTo>
                <a:lnTo>
                  <a:pt x="58" y="61"/>
                </a:lnTo>
                <a:lnTo>
                  <a:pt x="51" y="69"/>
                </a:lnTo>
                <a:lnTo>
                  <a:pt x="44" y="77"/>
                </a:lnTo>
                <a:lnTo>
                  <a:pt x="37" y="86"/>
                </a:lnTo>
                <a:lnTo>
                  <a:pt x="31" y="96"/>
                </a:lnTo>
                <a:lnTo>
                  <a:pt x="26" y="105"/>
                </a:lnTo>
                <a:lnTo>
                  <a:pt x="20" y="115"/>
                </a:lnTo>
                <a:lnTo>
                  <a:pt x="16" y="125"/>
                </a:lnTo>
                <a:lnTo>
                  <a:pt x="12" y="136"/>
                </a:lnTo>
                <a:lnTo>
                  <a:pt x="9" y="146"/>
                </a:lnTo>
                <a:lnTo>
                  <a:pt x="6" y="157"/>
                </a:lnTo>
                <a:lnTo>
                  <a:pt x="3" y="168"/>
                </a:lnTo>
                <a:lnTo>
                  <a:pt x="2" y="178"/>
                </a:lnTo>
                <a:lnTo>
                  <a:pt x="1" y="190"/>
                </a:lnTo>
                <a:lnTo>
                  <a:pt x="0" y="201"/>
                </a:lnTo>
                <a:lnTo>
                  <a:pt x="0" y="211"/>
                </a:lnTo>
                <a:lnTo>
                  <a:pt x="1" y="223"/>
                </a:lnTo>
                <a:lnTo>
                  <a:pt x="3" y="234"/>
                </a:lnTo>
                <a:lnTo>
                  <a:pt x="4" y="245"/>
                </a:lnTo>
                <a:lnTo>
                  <a:pt x="7" y="256"/>
                </a:lnTo>
                <a:lnTo>
                  <a:pt x="10" y="266"/>
                </a:lnTo>
                <a:lnTo>
                  <a:pt x="13" y="277"/>
                </a:lnTo>
                <a:lnTo>
                  <a:pt x="18" y="287"/>
                </a:lnTo>
                <a:lnTo>
                  <a:pt x="22" y="297"/>
                </a:lnTo>
                <a:lnTo>
                  <a:pt x="28" y="307"/>
                </a:lnTo>
                <a:lnTo>
                  <a:pt x="33" y="316"/>
                </a:lnTo>
                <a:lnTo>
                  <a:pt x="39" y="326"/>
                </a:lnTo>
                <a:lnTo>
                  <a:pt x="46" y="334"/>
                </a:lnTo>
                <a:lnTo>
                  <a:pt x="53" y="342"/>
                </a:lnTo>
                <a:lnTo>
                  <a:pt x="60" y="351"/>
                </a:lnTo>
                <a:lnTo>
                  <a:pt x="69" y="358"/>
                </a:lnTo>
                <a:lnTo>
                  <a:pt x="77" y="365"/>
                </a:lnTo>
                <a:lnTo>
                  <a:pt x="86" y="371"/>
                </a:lnTo>
                <a:lnTo>
                  <a:pt x="94" y="378"/>
                </a:lnTo>
                <a:lnTo>
                  <a:pt x="104" y="383"/>
                </a:lnTo>
                <a:lnTo>
                  <a:pt x="113" y="388"/>
                </a:lnTo>
                <a:lnTo>
                  <a:pt x="123" y="393"/>
                </a:lnTo>
                <a:lnTo>
                  <a:pt x="133" y="397"/>
                </a:lnTo>
                <a:lnTo>
                  <a:pt x="144" y="401"/>
                </a:lnTo>
                <a:lnTo>
                  <a:pt x="154" y="404"/>
                </a:lnTo>
                <a:lnTo>
                  <a:pt x="165" y="406"/>
                </a:lnTo>
                <a:lnTo>
                  <a:pt x="175" y="408"/>
                </a:lnTo>
                <a:lnTo>
                  <a:pt x="186" y="409"/>
                </a:lnTo>
                <a:lnTo>
                  <a:pt x="197" y="409"/>
                </a:lnTo>
                <a:lnTo>
                  <a:pt x="204" y="409"/>
                </a:lnTo>
                <a:lnTo>
                  <a:pt x="204" y="37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68" name="Freeform 6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532765" y="287655"/>
            <a:ext cx="130810" cy="259715"/>
          </a:xfrm>
          <a:custGeom>
            <a:avLst/>
            <a:gdLst>
              <a:gd name="T0" fmla="*/ 8 w 206"/>
              <a:gd name="T1" fmla="*/ 376 h 409"/>
              <a:gd name="T2" fmla="*/ 28 w 206"/>
              <a:gd name="T3" fmla="*/ 374 h 409"/>
              <a:gd name="T4" fmla="*/ 47 w 206"/>
              <a:gd name="T5" fmla="*/ 370 h 409"/>
              <a:gd name="T6" fmla="*/ 67 w 206"/>
              <a:gd name="T7" fmla="*/ 363 h 409"/>
              <a:gd name="T8" fmla="*/ 85 w 206"/>
              <a:gd name="T9" fmla="*/ 355 h 409"/>
              <a:gd name="T10" fmla="*/ 102 w 206"/>
              <a:gd name="T11" fmla="*/ 344 h 409"/>
              <a:gd name="T12" fmla="*/ 117 w 206"/>
              <a:gd name="T13" fmla="*/ 331 h 409"/>
              <a:gd name="T14" fmla="*/ 131 w 206"/>
              <a:gd name="T15" fmla="*/ 317 h 409"/>
              <a:gd name="T16" fmla="*/ 144 w 206"/>
              <a:gd name="T17" fmla="*/ 301 h 409"/>
              <a:gd name="T18" fmla="*/ 154 w 206"/>
              <a:gd name="T19" fmla="*/ 283 h 409"/>
              <a:gd name="T20" fmla="*/ 162 w 206"/>
              <a:gd name="T21" fmla="*/ 265 h 409"/>
              <a:gd name="T22" fmla="*/ 168 w 206"/>
              <a:gd name="T23" fmla="*/ 245 h 409"/>
              <a:gd name="T24" fmla="*/ 171 w 206"/>
              <a:gd name="T25" fmla="*/ 225 h 409"/>
              <a:gd name="T26" fmla="*/ 173 w 206"/>
              <a:gd name="T27" fmla="*/ 206 h 409"/>
              <a:gd name="T28" fmla="*/ 171 w 206"/>
              <a:gd name="T29" fmla="*/ 185 h 409"/>
              <a:gd name="T30" fmla="*/ 168 w 206"/>
              <a:gd name="T31" fmla="*/ 165 h 409"/>
              <a:gd name="T32" fmla="*/ 163 w 206"/>
              <a:gd name="T33" fmla="*/ 146 h 409"/>
              <a:gd name="T34" fmla="*/ 155 w 206"/>
              <a:gd name="T35" fmla="*/ 127 h 409"/>
              <a:gd name="T36" fmla="*/ 145 w 206"/>
              <a:gd name="T37" fmla="*/ 109 h 409"/>
              <a:gd name="T38" fmla="*/ 132 w 206"/>
              <a:gd name="T39" fmla="*/ 93 h 409"/>
              <a:gd name="T40" fmla="*/ 119 w 206"/>
              <a:gd name="T41" fmla="*/ 79 h 409"/>
              <a:gd name="T42" fmla="*/ 103 w 206"/>
              <a:gd name="T43" fmla="*/ 66 h 409"/>
              <a:gd name="T44" fmla="*/ 86 w 206"/>
              <a:gd name="T45" fmla="*/ 55 h 409"/>
              <a:gd name="T46" fmla="*/ 68 w 206"/>
              <a:gd name="T47" fmla="*/ 46 h 409"/>
              <a:gd name="T48" fmla="*/ 49 w 206"/>
              <a:gd name="T49" fmla="*/ 39 h 409"/>
              <a:gd name="T50" fmla="*/ 30 w 206"/>
              <a:gd name="T51" fmla="*/ 35 h 409"/>
              <a:gd name="T52" fmla="*/ 10 w 206"/>
              <a:gd name="T53" fmla="*/ 33 h 409"/>
              <a:gd name="T54" fmla="*/ 0 w 206"/>
              <a:gd name="T55" fmla="*/ 0 h 409"/>
              <a:gd name="T56" fmla="*/ 22 w 206"/>
              <a:gd name="T57" fmla="*/ 1 h 409"/>
              <a:gd name="T58" fmla="*/ 43 w 206"/>
              <a:gd name="T59" fmla="*/ 4 h 409"/>
              <a:gd name="T60" fmla="*/ 65 w 206"/>
              <a:gd name="T61" fmla="*/ 10 h 409"/>
              <a:gd name="T62" fmla="*/ 85 w 206"/>
              <a:gd name="T63" fmla="*/ 17 h 409"/>
              <a:gd name="T64" fmla="*/ 104 w 206"/>
              <a:gd name="T65" fmla="*/ 28 h 409"/>
              <a:gd name="T66" fmla="*/ 123 w 206"/>
              <a:gd name="T67" fmla="*/ 39 h 409"/>
              <a:gd name="T68" fmla="*/ 140 w 206"/>
              <a:gd name="T69" fmla="*/ 54 h 409"/>
              <a:gd name="T70" fmla="*/ 155 w 206"/>
              <a:gd name="T71" fmla="*/ 69 h 409"/>
              <a:gd name="T72" fmla="*/ 168 w 206"/>
              <a:gd name="T73" fmla="*/ 87 h 409"/>
              <a:gd name="T74" fmla="*/ 181 w 206"/>
              <a:gd name="T75" fmla="*/ 105 h 409"/>
              <a:gd name="T76" fmla="*/ 190 w 206"/>
              <a:gd name="T77" fmla="*/ 125 h 409"/>
              <a:gd name="T78" fmla="*/ 198 w 206"/>
              <a:gd name="T79" fmla="*/ 146 h 409"/>
              <a:gd name="T80" fmla="*/ 202 w 206"/>
              <a:gd name="T81" fmla="*/ 168 h 409"/>
              <a:gd name="T82" fmla="*/ 205 w 206"/>
              <a:gd name="T83" fmla="*/ 190 h 409"/>
              <a:gd name="T84" fmla="*/ 206 w 206"/>
              <a:gd name="T85" fmla="*/ 212 h 409"/>
              <a:gd name="T86" fmla="*/ 204 w 206"/>
              <a:gd name="T87" fmla="*/ 234 h 409"/>
              <a:gd name="T88" fmla="*/ 200 w 206"/>
              <a:gd name="T89" fmla="*/ 256 h 409"/>
              <a:gd name="T90" fmla="*/ 193 w 206"/>
              <a:gd name="T91" fmla="*/ 277 h 409"/>
              <a:gd name="T92" fmla="*/ 184 w 206"/>
              <a:gd name="T93" fmla="*/ 297 h 409"/>
              <a:gd name="T94" fmla="*/ 173 w 206"/>
              <a:gd name="T95" fmla="*/ 316 h 409"/>
              <a:gd name="T96" fmla="*/ 160 w 206"/>
              <a:gd name="T97" fmla="*/ 334 h 409"/>
              <a:gd name="T98" fmla="*/ 145 w 206"/>
              <a:gd name="T99" fmla="*/ 350 h 409"/>
              <a:gd name="T100" fmla="*/ 129 w 206"/>
              <a:gd name="T101" fmla="*/ 365 h 409"/>
              <a:gd name="T102" fmla="*/ 111 w 206"/>
              <a:gd name="T103" fmla="*/ 377 h 409"/>
              <a:gd name="T104" fmla="*/ 91 w 206"/>
              <a:gd name="T105" fmla="*/ 388 h 409"/>
              <a:gd name="T106" fmla="*/ 71 w 206"/>
              <a:gd name="T107" fmla="*/ 397 h 409"/>
              <a:gd name="T108" fmla="*/ 50 w 206"/>
              <a:gd name="T109" fmla="*/ 403 h 409"/>
              <a:gd name="T110" fmla="*/ 29 w 206"/>
              <a:gd name="T111" fmla="*/ 408 h 409"/>
              <a:gd name="T112" fmla="*/ 7 w 206"/>
              <a:gd name="T113" fmla="*/ 409 h 409"/>
              <a:gd name="T114" fmla="*/ 0 w 206"/>
              <a:gd name="T115" fmla="*/ 376 h 4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206" h="409">
                <a:moveTo>
                  <a:pt x="0" y="376"/>
                </a:moveTo>
                <a:lnTo>
                  <a:pt x="8" y="376"/>
                </a:lnTo>
                <a:lnTo>
                  <a:pt x="18" y="376"/>
                </a:lnTo>
                <a:lnTo>
                  <a:pt x="28" y="374"/>
                </a:lnTo>
                <a:lnTo>
                  <a:pt x="38" y="372"/>
                </a:lnTo>
                <a:lnTo>
                  <a:pt x="47" y="370"/>
                </a:lnTo>
                <a:lnTo>
                  <a:pt x="57" y="367"/>
                </a:lnTo>
                <a:lnTo>
                  <a:pt x="67" y="363"/>
                </a:lnTo>
                <a:lnTo>
                  <a:pt x="76" y="360"/>
                </a:lnTo>
                <a:lnTo>
                  <a:pt x="85" y="355"/>
                </a:lnTo>
                <a:lnTo>
                  <a:pt x="93" y="350"/>
                </a:lnTo>
                <a:lnTo>
                  <a:pt x="102" y="344"/>
                </a:lnTo>
                <a:lnTo>
                  <a:pt x="110" y="338"/>
                </a:lnTo>
                <a:lnTo>
                  <a:pt x="117" y="331"/>
                </a:lnTo>
                <a:lnTo>
                  <a:pt x="124" y="325"/>
                </a:lnTo>
                <a:lnTo>
                  <a:pt x="131" y="317"/>
                </a:lnTo>
                <a:lnTo>
                  <a:pt x="138" y="309"/>
                </a:lnTo>
                <a:lnTo>
                  <a:pt x="144" y="301"/>
                </a:lnTo>
                <a:lnTo>
                  <a:pt x="149" y="292"/>
                </a:lnTo>
                <a:lnTo>
                  <a:pt x="154" y="283"/>
                </a:lnTo>
                <a:lnTo>
                  <a:pt x="158" y="274"/>
                </a:lnTo>
                <a:lnTo>
                  <a:pt x="162" y="265"/>
                </a:lnTo>
                <a:lnTo>
                  <a:pt x="165" y="256"/>
                </a:lnTo>
                <a:lnTo>
                  <a:pt x="168" y="245"/>
                </a:lnTo>
                <a:lnTo>
                  <a:pt x="170" y="236"/>
                </a:lnTo>
                <a:lnTo>
                  <a:pt x="171" y="225"/>
                </a:lnTo>
                <a:lnTo>
                  <a:pt x="173" y="215"/>
                </a:lnTo>
                <a:lnTo>
                  <a:pt x="173" y="206"/>
                </a:lnTo>
                <a:lnTo>
                  <a:pt x="173" y="195"/>
                </a:lnTo>
                <a:lnTo>
                  <a:pt x="171" y="185"/>
                </a:lnTo>
                <a:lnTo>
                  <a:pt x="170" y="175"/>
                </a:lnTo>
                <a:lnTo>
                  <a:pt x="168" y="165"/>
                </a:lnTo>
                <a:lnTo>
                  <a:pt x="166" y="155"/>
                </a:lnTo>
                <a:lnTo>
                  <a:pt x="163" y="146"/>
                </a:lnTo>
                <a:lnTo>
                  <a:pt x="159" y="136"/>
                </a:lnTo>
                <a:lnTo>
                  <a:pt x="155" y="127"/>
                </a:lnTo>
                <a:lnTo>
                  <a:pt x="150" y="118"/>
                </a:lnTo>
                <a:lnTo>
                  <a:pt x="145" y="109"/>
                </a:lnTo>
                <a:lnTo>
                  <a:pt x="139" y="101"/>
                </a:lnTo>
                <a:lnTo>
                  <a:pt x="132" y="93"/>
                </a:lnTo>
                <a:lnTo>
                  <a:pt x="126" y="86"/>
                </a:lnTo>
                <a:lnTo>
                  <a:pt x="119" y="79"/>
                </a:lnTo>
                <a:lnTo>
                  <a:pt x="111" y="72"/>
                </a:lnTo>
                <a:lnTo>
                  <a:pt x="103" y="66"/>
                </a:lnTo>
                <a:lnTo>
                  <a:pt x="95" y="60"/>
                </a:lnTo>
                <a:lnTo>
                  <a:pt x="86" y="55"/>
                </a:lnTo>
                <a:lnTo>
                  <a:pt x="78" y="50"/>
                </a:lnTo>
                <a:lnTo>
                  <a:pt x="68" y="46"/>
                </a:lnTo>
                <a:lnTo>
                  <a:pt x="59" y="42"/>
                </a:lnTo>
                <a:lnTo>
                  <a:pt x="49" y="39"/>
                </a:lnTo>
                <a:lnTo>
                  <a:pt x="40" y="37"/>
                </a:lnTo>
                <a:lnTo>
                  <a:pt x="30" y="35"/>
                </a:lnTo>
                <a:lnTo>
                  <a:pt x="20" y="34"/>
                </a:lnTo>
                <a:lnTo>
                  <a:pt x="10" y="33"/>
                </a:lnTo>
                <a:lnTo>
                  <a:pt x="0" y="33"/>
                </a:lnTo>
                <a:lnTo>
                  <a:pt x="0" y="0"/>
                </a:lnTo>
                <a:lnTo>
                  <a:pt x="11" y="0"/>
                </a:lnTo>
                <a:lnTo>
                  <a:pt x="22" y="1"/>
                </a:lnTo>
                <a:lnTo>
                  <a:pt x="32" y="2"/>
                </a:lnTo>
                <a:lnTo>
                  <a:pt x="43" y="4"/>
                </a:lnTo>
                <a:lnTo>
                  <a:pt x="54" y="7"/>
                </a:lnTo>
                <a:lnTo>
                  <a:pt x="65" y="10"/>
                </a:lnTo>
                <a:lnTo>
                  <a:pt x="75" y="13"/>
                </a:lnTo>
                <a:lnTo>
                  <a:pt x="85" y="17"/>
                </a:lnTo>
                <a:lnTo>
                  <a:pt x="95" y="22"/>
                </a:lnTo>
                <a:lnTo>
                  <a:pt x="104" y="28"/>
                </a:lnTo>
                <a:lnTo>
                  <a:pt x="113" y="33"/>
                </a:lnTo>
                <a:lnTo>
                  <a:pt x="123" y="39"/>
                </a:lnTo>
                <a:lnTo>
                  <a:pt x="132" y="46"/>
                </a:lnTo>
                <a:lnTo>
                  <a:pt x="140" y="54"/>
                </a:lnTo>
                <a:lnTo>
                  <a:pt x="148" y="61"/>
                </a:lnTo>
                <a:lnTo>
                  <a:pt x="155" y="69"/>
                </a:lnTo>
                <a:lnTo>
                  <a:pt x="162" y="78"/>
                </a:lnTo>
                <a:lnTo>
                  <a:pt x="168" y="87"/>
                </a:lnTo>
                <a:lnTo>
                  <a:pt x="175" y="96"/>
                </a:lnTo>
                <a:lnTo>
                  <a:pt x="181" y="105"/>
                </a:lnTo>
                <a:lnTo>
                  <a:pt x="186" y="116"/>
                </a:lnTo>
                <a:lnTo>
                  <a:pt x="190" y="125"/>
                </a:lnTo>
                <a:lnTo>
                  <a:pt x="194" y="136"/>
                </a:lnTo>
                <a:lnTo>
                  <a:pt x="198" y="146"/>
                </a:lnTo>
                <a:lnTo>
                  <a:pt x="200" y="157"/>
                </a:lnTo>
                <a:lnTo>
                  <a:pt x="202" y="168"/>
                </a:lnTo>
                <a:lnTo>
                  <a:pt x="204" y="179"/>
                </a:lnTo>
                <a:lnTo>
                  <a:pt x="205" y="190"/>
                </a:lnTo>
                <a:lnTo>
                  <a:pt x="206" y="201"/>
                </a:lnTo>
                <a:lnTo>
                  <a:pt x="206" y="212"/>
                </a:lnTo>
                <a:lnTo>
                  <a:pt x="205" y="223"/>
                </a:lnTo>
                <a:lnTo>
                  <a:pt x="204" y="234"/>
                </a:lnTo>
                <a:lnTo>
                  <a:pt x="202" y="245"/>
                </a:lnTo>
                <a:lnTo>
                  <a:pt x="200" y="256"/>
                </a:lnTo>
                <a:lnTo>
                  <a:pt x="196" y="266"/>
                </a:lnTo>
                <a:lnTo>
                  <a:pt x="193" y="277"/>
                </a:lnTo>
                <a:lnTo>
                  <a:pt x="189" y="287"/>
                </a:lnTo>
                <a:lnTo>
                  <a:pt x="184" y="297"/>
                </a:lnTo>
                <a:lnTo>
                  <a:pt x="179" y="307"/>
                </a:lnTo>
                <a:lnTo>
                  <a:pt x="173" y="316"/>
                </a:lnTo>
                <a:lnTo>
                  <a:pt x="166" y="325"/>
                </a:lnTo>
                <a:lnTo>
                  <a:pt x="160" y="334"/>
                </a:lnTo>
                <a:lnTo>
                  <a:pt x="152" y="343"/>
                </a:lnTo>
                <a:lnTo>
                  <a:pt x="145" y="350"/>
                </a:lnTo>
                <a:lnTo>
                  <a:pt x="137" y="358"/>
                </a:lnTo>
                <a:lnTo>
                  <a:pt x="129" y="365"/>
                </a:lnTo>
                <a:lnTo>
                  <a:pt x="120" y="371"/>
                </a:lnTo>
                <a:lnTo>
                  <a:pt x="111" y="377"/>
                </a:lnTo>
                <a:lnTo>
                  <a:pt x="101" y="383"/>
                </a:lnTo>
                <a:lnTo>
                  <a:pt x="91" y="388"/>
                </a:lnTo>
                <a:lnTo>
                  <a:pt x="82" y="393"/>
                </a:lnTo>
                <a:lnTo>
                  <a:pt x="71" y="397"/>
                </a:lnTo>
                <a:lnTo>
                  <a:pt x="61" y="401"/>
                </a:lnTo>
                <a:lnTo>
                  <a:pt x="50" y="403"/>
                </a:lnTo>
                <a:lnTo>
                  <a:pt x="40" y="405"/>
                </a:lnTo>
                <a:lnTo>
                  <a:pt x="29" y="408"/>
                </a:lnTo>
                <a:lnTo>
                  <a:pt x="18" y="409"/>
                </a:lnTo>
                <a:lnTo>
                  <a:pt x="7" y="409"/>
                </a:lnTo>
                <a:lnTo>
                  <a:pt x="0" y="409"/>
                </a:lnTo>
                <a:lnTo>
                  <a:pt x="0" y="37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69" name="Freeform 6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493395" y="167640"/>
            <a:ext cx="80645" cy="128905"/>
          </a:xfrm>
          <a:custGeom>
            <a:avLst/>
            <a:gdLst>
              <a:gd name="T0" fmla="*/ 64 w 127"/>
              <a:gd name="T1" fmla="*/ 203 h 203"/>
              <a:gd name="T2" fmla="*/ 64 w 127"/>
              <a:gd name="T3" fmla="*/ 40 h 203"/>
              <a:gd name="T4" fmla="*/ 14 w 127"/>
              <a:gd name="T5" fmla="*/ 203 h 203"/>
              <a:gd name="T6" fmla="*/ 0 w 127"/>
              <a:gd name="T7" fmla="*/ 203 h 203"/>
              <a:gd name="T8" fmla="*/ 64 w 127"/>
              <a:gd name="T9" fmla="*/ 0 h 203"/>
              <a:gd name="T10" fmla="*/ 127 w 127"/>
              <a:gd name="T11" fmla="*/ 203 h 203"/>
              <a:gd name="T12" fmla="*/ 64 w 127"/>
              <a:gd name="T13" fmla="*/ 203 h 20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27" h="203">
                <a:moveTo>
                  <a:pt x="64" y="203"/>
                </a:moveTo>
                <a:lnTo>
                  <a:pt x="64" y="40"/>
                </a:lnTo>
                <a:lnTo>
                  <a:pt x="14" y="203"/>
                </a:lnTo>
                <a:lnTo>
                  <a:pt x="0" y="203"/>
                </a:lnTo>
                <a:lnTo>
                  <a:pt x="64" y="0"/>
                </a:lnTo>
                <a:lnTo>
                  <a:pt x="127" y="203"/>
                </a:lnTo>
                <a:lnTo>
                  <a:pt x="64" y="20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70" name="Freeform 6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663575" y="383540"/>
            <a:ext cx="128905" cy="77470"/>
          </a:xfrm>
          <a:custGeom>
            <a:avLst/>
            <a:gdLst>
              <a:gd name="T0" fmla="*/ 0 w 203"/>
              <a:gd name="T1" fmla="*/ 61 h 122"/>
              <a:gd name="T2" fmla="*/ 163 w 203"/>
              <a:gd name="T3" fmla="*/ 61 h 122"/>
              <a:gd name="T4" fmla="*/ 0 w 203"/>
              <a:gd name="T5" fmla="*/ 13 h 122"/>
              <a:gd name="T6" fmla="*/ 0 w 203"/>
              <a:gd name="T7" fmla="*/ 0 h 122"/>
              <a:gd name="T8" fmla="*/ 203 w 203"/>
              <a:gd name="T9" fmla="*/ 61 h 122"/>
              <a:gd name="T10" fmla="*/ 0 w 203"/>
              <a:gd name="T11" fmla="*/ 122 h 122"/>
              <a:gd name="T12" fmla="*/ 0 w 203"/>
              <a:gd name="T13" fmla="*/ 61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03" h="122">
                <a:moveTo>
                  <a:pt x="0" y="61"/>
                </a:moveTo>
                <a:lnTo>
                  <a:pt x="163" y="61"/>
                </a:lnTo>
                <a:lnTo>
                  <a:pt x="0" y="13"/>
                </a:lnTo>
                <a:lnTo>
                  <a:pt x="0" y="0"/>
                </a:lnTo>
                <a:lnTo>
                  <a:pt x="203" y="61"/>
                </a:lnTo>
                <a:lnTo>
                  <a:pt x="0" y="122"/>
                </a:lnTo>
                <a:lnTo>
                  <a:pt x="0" y="6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71" name="Freeform 7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493395" y="538480"/>
            <a:ext cx="80645" cy="128905"/>
          </a:xfrm>
          <a:custGeom>
            <a:avLst/>
            <a:gdLst>
              <a:gd name="T0" fmla="*/ 63 w 127"/>
              <a:gd name="T1" fmla="*/ 0 h 203"/>
              <a:gd name="T2" fmla="*/ 63 w 127"/>
              <a:gd name="T3" fmla="*/ 163 h 203"/>
              <a:gd name="T4" fmla="*/ 113 w 127"/>
              <a:gd name="T5" fmla="*/ 0 h 203"/>
              <a:gd name="T6" fmla="*/ 127 w 127"/>
              <a:gd name="T7" fmla="*/ 0 h 203"/>
              <a:gd name="T8" fmla="*/ 63 w 127"/>
              <a:gd name="T9" fmla="*/ 203 h 203"/>
              <a:gd name="T10" fmla="*/ 0 w 127"/>
              <a:gd name="T11" fmla="*/ 0 h 203"/>
              <a:gd name="T12" fmla="*/ 63 w 127"/>
              <a:gd name="T13" fmla="*/ 0 h 20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27" h="203">
                <a:moveTo>
                  <a:pt x="63" y="0"/>
                </a:moveTo>
                <a:lnTo>
                  <a:pt x="63" y="163"/>
                </a:lnTo>
                <a:lnTo>
                  <a:pt x="113" y="0"/>
                </a:lnTo>
                <a:lnTo>
                  <a:pt x="127" y="0"/>
                </a:lnTo>
                <a:lnTo>
                  <a:pt x="63" y="203"/>
                </a:lnTo>
                <a:lnTo>
                  <a:pt x="0" y="0"/>
                </a:lnTo>
                <a:lnTo>
                  <a:pt x="63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72" name="Freeform 7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/>
          </xdr:cNvSpPr>
        </xdr:nvSpPr>
        <xdr:spPr bwMode="auto">
          <a:xfrm>
            <a:off x="274320" y="383540"/>
            <a:ext cx="128905" cy="77470"/>
          </a:xfrm>
          <a:custGeom>
            <a:avLst/>
            <a:gdLst>
              <a:gd name="T0" fmla="*/ 203 w 203"/>
              <a:gd name="T1" fmla="*/ 61 h 122"/>
              <a:gd name="T2" fmla="*/ 40 w 203"/>
              <a:gd name="T3" fmla="*/ 61 h 122"/>
              <a:gd name="T4" fmla="*/ 203 w 203"/>
              <a:gd name="T5" fmla="*/ 109 h 122"/>
              <a:gd name="T6" fmla="*/ 203 w 203"/>
              <a:gd name="T7" fmla="*/ 122 h 122"/>
              <a:gd name="T8" fmla="*/ 0 w 203"/>
              <a:gd name="T9" fmla="*/ 61 h 122"/>
              <a:gd name="T10" fmla="*/ 203 w 203"/>
              <a:gd name="T11" fmla="*/ 0 h 122"/>
              <a:gd name="T12" fmla="*/ 203 w 203"/>
              <a:gd name="T13" fmla="*/ 61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03" h="122">
                <a:moveTo>
                  <a:pt x="203" y="61"/>
                </a:moveTo>
                <a:lnTo>
                  <a:pt x="40" y="61"/>
                </a:lnTo>
                <a:lnTo>
                  <a:pt x="203" y="109"/>
                </a:lnTo>
                <a:lnTo>
                  <a:pt x="203" y="122"/>
                </a:lnTo>
                <a:lnTo>
                  <a:pt x="0" y="61"/>
                </a:lnTo>
                <a:lnTo>
                  <a:pt x="203" y="0"/>
                </a:lnTo>
                <a:lnTo>
                  <a:pt x="203" y="6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73" name="Freeform 7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/>
          </xdr:cNvSpPr>
        </xdr:nvSpPr>
        <xdr:spPr bwMode="auto">
          <a:xfrm>
            <a:off x="383540" y="271145"/>
            <a:ext cx="79375" cy="86360"/>
          </a:xfrm>
          <a:custGeom>
            <a:avLst/>
            <a:gdLst>
              <a:gd name="T0" fmla="*/ 64 w 125"/>
              <a:gd name="T1" fmla="*/ 136 h 136"/>
              <a:gd name="T2" fmla="*/ 0 w 125"/>
              <a:gd name="T3" fmla="*/ 0 h 136"/>
              <a:gd name="T4" fmla="*/ 125 w 125"/>
              <a:gd name="T5" fmla="*/ 70 h 136"/>
              <a:gd name="T6" fmla="*/ 121 w 125"/>
              <a:gd name="T7" fmla="*/ 73 h 136"/>
              <a:gd name="T8" fmla="*/ 10 w 125"/>
              <a:gd name="T9" fmla="*/ 11 h 136"/>
              <a:gd name="T10" fmla="*/ 67 w 125"/>
              <a:gd name="T11" fmla="*/ 133 h 136"/>
              <a:gd name="T12" fmla="*/ 64 w 125"/>
              <a:gd name="T13" fmla="*/ 136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25" h="136">
                <a:moveTo>
                  <a:pt x="64" y="136"/>
                </a:moveTo>
                <a:lnTo>
                  <a:pt x="0" y="0"/>
                </a:lnTo>
                <a:lnTo>
                  <a:pt x="125" y="70"/>
                </a:lnTo>
                <a:lnTo>
                  <a:pt x="121" y="73"/>
                </a:lnTo>
                <a:lnTo>
                  <a:pt x="10" y="11"/>
                </a:lnTo>
                <a:lnTo>
                  <a:pt x="67" y="133"/>
                </a:lnTo>
                <a:lnTo>
                  <a:pt x="64" y="13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74" name="Freeform 7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/>
          </xdr:cNvSpPr>
        </xdr:nvSpPr>
        <xdr:spPr bwMode="auto">
          <a:xfrm>
            <a:off x="383540" y="278765"/>
            <a:ext cx="59690" cy="52705"/>
          </a:xfrm>
          <a:custGeom>
            <a:avLst/>
            <a:gdLst>
              <a:gd name="T0" fmla="*/ 0 w 94"/>
              <a:gd name="T1" fmla="*/ 3 h 83"/>
              <a:gd name="T2" fmla="*/ 4 w 94"/>
              <a:gd name="T3" fmla="*/ 0 h 83"/>
              <a:gd name="T4" fmla="*/ 94 w 94"/>
              <a:gd name="T5" fmla="*/ 80 h 83"/>
              <a:gd name="T6" fmla="*/ 90 w 94"/>
              <a:gd name="T7" fmla="*/ 83 h 83"/>
              <a:gd name="T8" fmla="*/ 0 w 94"/>
              <a:gd name="T9" fmla="*/ 3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94" h="83">
                <a:moveTo>
                  <a:pt x="0" y="3"/>
                </a:moveTo>
                <a:lnTo>
                  <a:pt x="4" y="0"/>
                </a:lnTo>
                <a:lnTo>
                  <a:pt x="94" y="80"/>
                </a:lnTo>
                <a:lnTo>
                  <a:pt x="90" y="83"/>
                </a:lnTo>
                <a:lnTo>
                  <a:pt x="0" y="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75" name="Freeform 7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/>
          </xdr:cNvSpPr>
        </xdr:nvSpPr>
        <xdr:spPr bwMode="auto">
          <a:xfrm>
            <a:off x="602615" y="271145"/>
            <a:ext cx="80645" cy="86360"/>
          </a:xfrm>
          <a:custGeom>
            <a:avLst/>
            <a:gdLst>
              <a:gd name="T0" fmla="*/ 62 w 127"/>
              <a:gd name="T1" fmla="*/ 136 h 136"/>
              <a:gd name="T2" fmla="*/ 127 w 127"/>
              <a:gd name="T3" fmla="*/ 0 h 136"/>
              <a:gd name="T4" fmla="*/ 0 w 127"/>
              <a:gd name="T5" fmla="*/ 70 h 136"/>
              <a:gd name="T6" fmla="*/ 3 w 127"/>
              <a:gd name="T7" fmla="*/ 73 h 136"/>
              <a:gd name="T8" fmla="*/ 117 w 127"/>
              <a:gd name="T9" fmla="*/ 11 h 136"/>
              <a:gd name="T10" fmla="*/ 58 w 127"/>
              <a:gd name="T11" fmla="*/ 133 h 136"/>
              <a:gd name="T12" fmla="*/ 62 w 127"/>
              <a:gd name="T13" fmla="*/ 136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27" h="136">
                <a:moveTo>
                  <a:pt x="62" y="136"/>
                </a:moveTo>
                <a:lnTo>
                  <a:pt x="127" y="0"/>
                </a:lnTo>
                <a:lnTo>
                  <a:pt x="0" y="70"/>
                </a:lnTo>
                <a:lnTo>
                  <a:pt x="3" y="73"/>
                </a:lnTo>
                <a:lnTo>
                  <a:pt x="117" y="11"/>
                </a:lnTo>
                <a:lnTo>
                  <a:pt x="58" y="133"/>
                </a:lnTo>
                <a:lnTo>
                  <a:pt x="62" y="13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/>
          </xdr:cNvSpPr>
        </xdr:nvSpPr>
        <xdr:spPr bwMode="auto">
          <a:xfrm>
            <a:off x="622300" y="278765"/>
            <a:ext cx="50165" cy="52705"/>
          </a:xfrm>
          <a:custGeom>
            <a:avLst/>
            <a:gdLst>
              <a:gd name="T0" fmla="*/ 79 w 79"/>
              <a:gd name="T1" fmla="*/ 3 h 83"/>
              <a:gd name="T2" fmla="*/ 76 w 79"/>
              <a:gd name="T3" fmla="*/ 0 h 83"/>
              <a:gd name="T4" fmla="*/ 0 w 79"/>
              <a:gd name="T5" fmla="*/ 80 h 83"/>
              <a:gd name="T6" fmla="*/ 3 w 79"/>
              <a:gd name="T7" fmla="*/ 83 h 83"/>
              <a:gd name="T8" fmla="*/ 79 w 79"/>
              <a:gd name="T9" fmla="*/ 3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79" h="83">
                <a:moveTo>
                  <a:pt x="79" y="3"/>
                </a:moveTo>
                <a:lnTo>
                  <a:pt x="76" y="0"/>
                </a:lnTo>
                <a:lnTo>
                  <a:pt x="0" y="80"/>
                </a:lnTo>
                <a:lnTo>
                  <a:pt x="3" y="83"/>
                </a:lnTo>
                <a:lnTo>
                  <a:pt x="79" y="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77" name="Freeform 7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/>
          </xdr:cNvSpPr>
        </xdr:nvSpPr>
        <xdr:spPr bwMode="auto">
          <a:xfrm>
            <a:off x="383540" y="486410"/>
            <a:ext cx="79375" cy="77470"/>
          </a:xfrm>
          <a:custGeom>
            <a:avLst/>
            <a:gdLst>
              <a:gd name="T0" fmla="*/ 64 w 125"/>
              <a:gd name="T1" fmla="*/ 0 h 122"/>
              <a:gd name="T2" fmla="*/ 0 w 125"/>
              <a:gd name="T3" fmla="*/ 122 h 122"/>
              <a:gd name="T4" fmla="*/ 125 w 125"/>
              <a:gd name="T5" fmla="*/ 60 h 122"/>
              <a:gd name="T6" fmla="*/ 121 w 125"/>
              <a:gd name="T7" fmla="*/ 57 h 122"/>
              <a:gd name="T8" fmla="*/ 10 w 125"/>
              <a:gd name="T9" fmla="*/ 113 h 122"/>
              <a:gd name="T10" fmla="*/ 67 w 125"/>
              <a:gd name="T11" fmla="*/ 3 h 122"/>
              <a:gd name="T12" fmla="*/ 64 w 125"/>
              <a:gd name="T13" fmla="*/ 0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25" h="122">
                <a:moveTo>
                  <a:pt x="64" y="0"/>
                </a:moveTo>
                <a:lnTo>
                  <a:pt x="0" y="122"/>
                </a:lnTo>
                <a:lnTo>
                  <a:pt x="125" y="60"/>
                </a:lnTo>
                <a:lnTo>
                  <a:pt x="121" y="57"/>
                </a:lnTo>
                <a:lnTo>
                  <a:pt x="10" y="113"/>
                </a:lnTo>
                <a:lnTo>
                  <a:pt x="67" y="3"/>
                </a:lnTo>
                <a:lnTo>
                  <a:pt x="64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78" name="Freeform 7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/>
          </xdr:cNvSpPr>
        </xdr:nvSpPr>
        <xdr:spPr bwMode="auto">
          <a:xfrm>
            <a:off x="383540" y="503555"/>
            <a:ext cx="59690" cy="60325"/>
          </a:xfrm>
          <a:custGeom>
            <a:avLst/>
            <a:gdLst>
              <a:gd name="T0" fmla="*/ 0 w 94"/>
              <a:gd name="T1" fmla="*/ 92 h 95"/>
              <a:gd name="T2" fmla="*/ 4 w 94"/>
              <a:gd name="T3" fmla="*/ 95 h 95"/>
              <a:gd name="T4" fmla="*/ 94 w 94"/>
              <a:gd name="T5" fmla="*/ 3 h 95"/>
              <a:gd name="T6" fmla="*/ 90 w 94"/>
              <a:gd name="T7" fmla="*/ 0 h 95"/>
              <a:gd name="T8" fmla="*/ 0 w 94"/>
              <a:gd name="T9" fmla="*/ 92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94" h="95">
                <a:moveTo>
                  <a:pt x="0" y="92"/>
                </a:moveTo>
                <a:lnTo>
                  <a:pt x="4" y="95"/>
                </a:lnTo>
                <a:lnTo>
                  <a:pt x="94" y="3"/>
                </a:lnTo>
                <a:lnTo>
                  <a:pt x="90" y="0"/>
                </a:lnTo>
                <a:lnTo>
                  <a:pt x="0" y="9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79" name="Freeform 7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/>
          </xdr:cNvSpPr>
        </xdr:nvSpPr>
        <xdr:spPr bwMode="auto">
          <a:xfrm>
            <a:off x="602615" y="486410"/>
            <a:ext cx="80645" cy="77470"/>
          </a:xfrm>
          <a:custGeom>
            <a:avLst/>
            <a:gdLst>
              <a:gd name="T0" fmla="*/ 62 w 127"/>
              <a:gd name="T1" fmla="*/ 0 h 122"/>
              <a:gd name="T2" fmla="*/ 127 w 127"/>
              <a:gd name="T3" fmla="*/ 122 h 122"/>
              <a:gd name="T4" fmla="*/ 0 w 127"/>
              <a:gd name="T5" fmla="*/ 60 h 122"/>
              <a:gd name="T6" fmla="*/ 3 w 127"/>
              <a:gd name="T7" fmla="*/ 57 h 122"/>
              <a:gd name="T8" fmla="*/ 117 w 127"/>
              <a:gd name="T9" fmla="*/ 113 h 122"/>
              <a:gd name="T10" fmla="*/ 58 w 127"/>
              <a:gd name="T11" fmla="*/ 3 h 122"/>
              <a:gd name="T12" fmla="*/ 62 w 127"/>
              <a:gd name="T13" fmla="*/ 0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27" h="122">
                <a:moveTo>
                  <a:pt x="62" y="0"/>
                </a:moveTo>
                <a:lnTo>
                  <a:pt x="127" y="122"/>
                </a:lnTo>
                <a:lnTo>
                  <a:pt x="0" y="60"/>
                </a:lnTo>
                <a:lnTo>
                  <a:pt x="3" y="57"/>
                </a:lnTo>
                <a:lnTo>
                  <a:pt x="117" y="113"/>
                </a:lnTo>
                <a:lnTo>
                  <a:pt x="58" y="3"/>
                </a:lnTo>
                <a:lnTo>
                  <a:pt x="6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80" name="Freeform 7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/>
          </xdr:cNvSpPr>
        </xdr:nvSpPr>
        <xdr:spPr bwMode="auto">
          <a:xfrm>
            <a:off x="622300" y="503555"/>
            <a:ext cx="50165" cy="60325"/>
          </a:xfrm>
          <a:custGeom>
            <a:avLst/>
            <a:gdLst>
              <a:gd name="T0" fmla="*/ 79 w 79"/>
              <a:gd name="T1" fmla="*/ 92 h 95"/>
              <a:gd name="T2" fmla="*/ 76 w 79"/>
              <a:gd name="T3" fmla="*/ 95 h 95"/>
              <a:gd name="T4" fmla="*/ 0 w 79"/>
              <a:gd name="T5" fmla="*/ 3 h 95"/>
              <a:gd name="T6" fmla="*/ 3 w 79"/>
              <a:gd name="T7" fmla="*/ 0 h 95"/>
              <a:gd name="T8" fmla="*/ 79 w 79"/>
              <a:gd name="T9" fmla="*/ 92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79" h="95">
                <a:moveTo>
                  <a:pt x="79" y="92"/>
                </a:moveTo>
                <a:lnTo>
                  <a:pt x="76" y="95"/>
                </a:lnTo>
                <a:lnTo>
                  <a:pt x="0" y="3"/>
                </a:lnTo>
                <a:lnTo>
                  <a:pt x="3" y="0"/>
                </a:lnTo>
                <a:lnTo>
                  <a:pt x="79" y="9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81" name="Freeform 8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/>
          </xdr:cNvSpPr>
        </xdr:nvSpPr>
        <xdr:spPr bwMode="auto">
          <a:xfrm>
            <a:off x="552450" y="252730"/>
            <a:ext cx="89535" cy="43815"/>
          </a:xfrm>
          <a:custGeom>
            <a:avLst/>
            <a:gdLst>
              <a:gd name="T0" fmla="*/ 141 w 141"/>
              <a:gd name="T1" fmla="*/ 65 h 69"/>
              <a:gd name="T2" fmla="*/ 131 w 141"/>
              <a:gd name="T3" fmla="*/ 57 h 69"/>
              <a:gd name="T4" fmla="*/ 121 w 141"/>
              <a:gd name="T5" fmla="*/ 49 h 69"/>
              <a:gd name="T6" fmla="*/ 111 w 141"/>
              <a:gd name="T7" fmla="*/ 42 h 69"/>
              <a:gd name="T8" fmla="*/ 100 w 141"/>
              <a:gd name="T9" fmla="*/ 35 h 69"/>
              <a:gd name="T10" fmla="*/ 89 w 141"/>
              <a:gd name="T11" fmla="*/ 29 h 69"/>
              <a:gd name="T12" fmla="*/ 77 w 141"/>
              <a:gd name="T13" fmla="*/ 23 h 69"/>
              <a:gd name="T14" fmla="*/ 66 w 141"/>
              <a:gd name="T15" fmla="*/ 18 h 69"/>
              <a:gd name="T16" fmla="*/ 53 w 141"/>
              <a:gd name="T17" fmla="*/ 14 h 69"/>
              <a:gd name="T18" fmla="*/ 41 w 141"/>
              <a:gd name="T19" fmla="*/ 10 h 69"/>
              <a:gd name="T20" fmla="*/ 29 w 141"/>
              <a:gd name="T21" fmla="*/ 6 h 69"/>
              <a:gd name="T22" fmla="*/ 17 w 141"/>
              <a:gd name="T23" fmla="*/ 4 h 69"/>
              <a:gd name="T24" fmla="*/ 4 w 141"/>
              <a:gd name="T25" fmla="*/ 1 h 69"/>
              <a:gd name="T26" fmla="*/ 0 w 141"/>
              <a:gd name="T27" fmla="*/ 0 h 69"/>
              <a:gd name="T28" fmla="*/ 0 w 141"/>
              <a:gd name="T29" fmla="*/ 11 h 69"/>
              <a:gd name="T30" fmla="*/ 10 w 141"/>
              <a:gd name="T31" fmla="*/ 12 h 69"/>
              <a:gd name="T32" fmla="*/ 22 w 141"/>
              <a:gd name="T33" fmla="*/ 15 h 69"/>
              <a:gd name="T34" fmla="*/ 34 w 141"/>
              <a:gd name="T35" fmla="*/ 17 h 69"/>
              <a:gd name="T36" fmla="*/ 46 w 141"/>
              <a:gd name="T37" fmla="*/ 22 h 69"/>
              <a:gd name="T38" fmla="*/ 57 w 141"/>
              <a:gd name="T39" fmla="*/ 25 h 69"/>
              <a:gd name="T40" fmla="*/ 69 w 141"/>
              <a:gd name="T41" fmla="*/ 30 h 69"/>
              <a:gd name="T42" fmla="*/ 80 w 141"/>
              <a:gd name="T43" fmla="*/ 35 h 69"/>
              <a:gd name="T44" fmla="*/ 91 w 141"/>
              <a:gd name="T45" fmla="*/ 41 h 69"/>
              <a:gd name="T46" fmla="*/ 102 w 141"/>
              <a:gd name="T47" fmla="*/ 48 h 69"/>
              <a:gd name="T48" fmla="*/ 112 w 141"/>
              <a:gd name="T49" fmla="*/ 55 h 69"/>
              <a:gd name="T50" fmla="*/ 122 w 141"/>
              <a:gd name="T51" fmla="*/ 62 h 69"/>
              <a:gd name="T52" fmla="*/ 131 w 141"/>
              <a:gd name="T53" fmla="*/ 69 h 69"/>
              <a:gd name="T54" fmla="*/ 141 w 141"/>
              <a:gd name="T55" fmla="*/ 65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141" h="69">
                <a:moveTo>
                  <a:pt x="141" y="65"/>
                </a:moveTo>
                <a:lnTo>
                  <a:pt x="131" y="57"/>
                </a:lnTo>
                <a:lnTo>
                  <a:pt x="121" y="49"/>
                </a:lnTo>
                <a:lnTo>
                  <a:pt x="111" y="42"/>
                </a:lnTo>
                <a:lnTo>
                  <a:pt x="100" y="35"/>
                </a:lnTo>
                <a:lnTo>
                  <a:pt x="89" y="29"/>
                </a:lnTo>
                <a:lnTo>
                  <a:pt x="77" y="23"/>
                </a:lnTo>
                <a:lnTo>
                  <a:pt x="66" y="18"/>
                </a:lnTo>
                <a:lnTo>
                  <a:pt x="53" y="14"/>
                </a:lnTo>
                <a:lnTo>
                  <a:pt x="41" y="10"/>
                </a:lnTo>
                <a:lnTo>
                  <a:pt x="29" y="6"/>
                </a:lnTo>
                <a:lnTo>
                  <a:pt x="17" y="4"/>
                </a:lnTo>
                <a:lnTo>
                  <a:pt x="4" y="1"/>
                </a:lnTo>
                <a:lnTo>
                  <a:pt x="0" y="0"/>
                </a:lnTo>
                <a:lnTo>
                  <a:pt x="0" y="11"/>
                </a:lnTo>
                <a:lnTo>
                  <a:pt x="10" y="12"/>
                </a:lnTo>
                <a:lnTo>
                  <a:pt x="22" y="15"/>
                </a:lnTo>
                <a:lnTo>
                  <a:pt x="34" y="17"/>
                </a:lnTo>
                <a:lnTo>
                  <a:pt x="46" y="22"/>
                </a:lnTo>
                <a:lnTo>
                  <a:pt x="57" y="25"/>
                </a:lnTo>
                <a:lnTo>
                  <a:pt x="69" y="30"/>
                </a:lnTo>
                <a:lnTo>
                  <a:pt x="80" y="35"/>
                </a:lnTo>
                <a:lnTo>
                  <a:pt x="91" y="41"/>
                </a:lnTo>
                <a:lnTo>
                  <a:pt x="102" y="48"/>
                </a:lnTo>
                <a:lnTo>
                  <a:pt x="112" y="55"/>
                </a:lnTo>
                <a:lnTo>
                  <a:pt x="122" y="62"/>
                </a:lnTo>
                <a:lnTo>
                  <a:pt x="131" y="69"/>
                </a:lnTo>
                <a:lnTo>
                  <a:pt x="141" y="6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82" name="Freeform 8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/>
          </xdr:cNvSpPr>
        </xdr:nvSpPr>
        <xdr:spPr bwMode="auto">
          <a:xfrm>
            <a:off x="543560" y="226695"/>
            <a:ext cx="128905" cy="60960"/>
          </a:xfrm>
          <a:custGeom>
            <a:avLst/>
            <a:gdLst>
              <a:gd name="T0" fmla="*/ 0 w 203"/>
              <a:gd name="T1" fmla="*/ 0 h 96"/>
              <a:gd name="T2" fmla="*/ 11 w 203"/>
              <a:gd name="T3" fmla="*/ 1 h 96"/>
              <a:gd name="T4" fmla="*/ 26 w 203"/>
              <a:gd name="T5" fmla="*/ 3 h 96"/>
              <a:gd name="T6" fmla="*/ 40 w 203"/>
              <a:gd name="T7" fmla="*/ 6 h 96"/>
              <a:gd name="T8" fmla="*/ 54 w 203"/>
              <a:gd name="T9" fmla="*/ 9 h 96"/>
              <a:gd name="T10" fmla="*/ 68 w 203"/>
              <a:gd name="T11" fmla="*/ 12 h 96"/>
              <a:gd name="T12" fmla="*/ 82 w 203"/>
              <a:gd name="T13" fmla="*/ 17 h 96"/>
              <a:gd name="T14" fmla="*/ 95 w 203"/>
              <a:gd name="T15" fmla="*/ 21 h 96"/>
              <a:gd name="T16" fmla="*/ 108 w 203"/>
              <a:gd name="T17" fmla="*/ 27 h 96"/>
              <a:gd name="T18" fmla="*/ 122 w 203"/>
              <a:gd name="T19" fmla="*/ 33 h 96"/>
              <a:gd name="T20" fmla="*/ 134 w 203"/>
              <a:gd name="T21" fmla="*/ 39 h 96"/>
              <a:gd name="T22" fmla="*/ 147 w 203"/>
              <a:gd name="T23" fmla="*/ 47 h 96"/>
              <a:gd name="T24" fmla="*/ 159 w 203"/>
              <a:gd name="T25" fmla="*/ 54 h 96"/>
              <a:gd name="T26" fmla="*/ 171 w 203"/>
              <a:gd name="T27" fmla="*/ 63 h 96"/>
              <a:gd name="T28" fmla="*/ 182 w 203"/>
              <a:gd name="T29" fmla="*/ 72 h 96"/>
              <a:gd name="T30" fmla="*/ 193 w 203"/>
              <a:gd name="T31" fmla="*/ 82 h 96"/>
              <a:gd name="T32" fmla="*/ 203 w 203"/>
              <a:gd name="T33" fmla="*/ 92 h 96"/>
              <a:gd name="T34" fmla="*/ 194 w 203"/>
              <a:gd name="T35" fmla="*/ 96 h 96"/>
              <a:gd name="T36" fmla="*/ 183 w 203"/>
              <a:gd name="T37" fmla="*/ 87 h 96"/>
              <a:gd name="T38" fmla="*/ 172 w 203"/>
              <a:gd name="T39" fmla="*/ 77 h 96"/>
              <a:gd name="T40" fmla="*/ 161 w 203"/>
              <a:gd name="T41" fmla="*/ 69 h 96"/>
              <a:gd name="T42" fmla="*/ 149 w 203"/>
              <a:gd name="T43" fmla="*/ 61 h 96"/>
              <a:gd name="T44" fmla="*/ 137 w 203"/>
              <a:gd name="T45" fmla="*/ 53 h 96"/>
              <a:gd name="T46" fmla="*/ 124 w 203"/>
              <a:gd name="T47" fmla="*/ 47 h 96"/>
              <a:gd name="T48" fmla="*/ 110 w 203"/>
              <a:gd name="T49" fmla="*/ 40 h 96"/>
              <a:gd name="T50" fmla="*/ 97 w 203"/>
              <a:gd name="T51" fmla="*/ 34 h 96"/>
              <a:gd name="T52" fmla="*/ 85 w 203"/>
              <a:gd name="T53" fmla="*/ 29 h 96"/>
              <a:gd name="T54" fmla="*/ 70 w 203"/>
              <a:gd name="T55" fmla="*/ 25 h 96"/>
              <a:gd name="T56" fmla="*/ 56 w 203"/>
              <a:gd name="T57" fmla="*/ 20 h 96"/>
              <a:gd name="T58" fmla="*/ 43 w 203"/>
              <a:gd name="T59" fmla="*/ 17 h 96"/>
              <a:gd name="T60" fmla="*/ 28 w 203"/>
              <a:gd name="T61" fmla="*/ 14 h 96"/>
              <a:gd name="T62" fmla="*/ 14 w 203"/>
              <a:gd name="T63" fmla="*/ 13 h 96"/>
              <a:gd name="T64" fmla="*/ 3 w 203"/>
              <a:gd name="T65" fmla="*/ 12 h 96"/>
              <a:gd name="T66" fmla="*/ 0 w 203"/>
              <a:gd name="T6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03" h="96">
                <a:moveTo>
                  <a:pt x="0" y="0"/>
                </a:moveTo>
                <a:lnTo>
                  <a:pt x="11" y="1"/>
                </a:lnTo>
                <a:lnTo>
                  <a:pt x="26" y="3"/>
                </a:lnTo>
                <a:lnTo>
                  <a:pt x="40" y="6"/>
                </a:lnTo>
                <a:lnTo>
                  <a:pt x="54" y="9"/>
                </a:lnTo>
                <a:lnTo>
                  <a:pt x="68" y="12"/>
                </a:lnTo>
                <a:lnTo>
                  <a:pt x="82" y="17"/>
                </a:lnTo>
                <a:lnTo>
                  <a:pt x="95" y="21"/>
                </a:lnTo>
                <a:lnTo>
                  <a:pt x="108" y="27"/>
                </a:lnTo>
                <a:lnTo>
                  <a:pt x="122" y="33"/>
                </a:lnTo>
                <a:lnTo>
                  <a:pt x="134" y="39"/>
                </a:lnTo>
                <a:lnTo>
                  <a:pt x="147" y="47"/>
                </a:lnTo>
                <a:lnTo>
                  <a:pt x="159" y="54"/>
                </a:lnTo>
                <a:lnTo>
                  <a:pt x="171" y="63"/>
                </a:lnTo>
                <a:lnTo>
                  <a:pt x="182" y="72"/>
                </a:lnTo>
                <a:lnTo>
                  <a:pt x="193" y="82"/>
                </a:lnTo>
                <a:lnTo>
                  <a:pt x="203" y="92"/>
                </a:lnTo>
                <a:lnTo>
                  <a:pt x="194" y="96"/>
                </a:lnTo>
                <a:lnTo>
                  <a:pt x="183" y="87"/>
                </a:lnTo>
                <a:lnTo>
                  <a:pt x="172" y="77"/>
                </a:lnTo>
                <a:lnTo>
                  <a:pt x="161" y="69"/>
                </a:lnTo>
                <a:lnTo>
                  <a:pt x="149" y="61"/>
                </a:lnTo>
                <a:lnTo>
                  <a:pt x="137" y="53"/>
                </a:lnTo>
                <a:lnTo>
                  <a:pt x="124" y="47"/>
                </a:lnTo>
                <a:lnTo>
                  <a:pt x="110" y="40"/>
                </a:lnTo>
                <a:lnTo>
                  <a:pt x="97" y="34"/>
                </a:lnTo>
                <a:lnTo>
                  <a:pt x="85" y="29"/>
                </a:lnTo>
                <a:lnTo>
                  <a:pt x="70" y="25"/>
                </a:lnTo>
                <a:lnTo>
                  <a:pt x="56" y="20"/>
                </a:lnTo>
                <a:lnTo>
                  <a:pt x="43" y="17"/>
                </a:lnTo>
                <a:lnTo>
                  <a:pt x="28" y="14"/>
                </a:lnTo>
                <a:lnTo>
                  <a:pt x="14" y="13"/>
                </a:lnTo>
                <a:lnTo>
                  <a:pt x="3" y="12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83" name="Freeform 8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663575" y="306070"/>
            <a:ext cx="39370" cy="93980"/>
          </a:xfrm>
          <a:custGeom>
            <a:avLst/>
            <a:gdLst>
              <a:gd name="T0" fmla="*/ 4 w 62"/>
              <a:gd name="T1" fmla="*/ 0 h 148"/>
              <a:gd name="T2" fmla="*/ 7 w 62"/>
              <a:gd name="T3" fmla="*/ 4 h 148"/>
              <a:gd name="T4" fmla="*/ 14 w 62"/>
              <a:gd name="T5" fmla="*/ 14 h 148"/>
              <a:gd name="T6" fmla="*/ 21 w 62"/>
              <a:gd name="T7" fmla="*/ 25 h 148"/>
              <a:gd name="T8" fmla="*/ 27 w 62"/>
              <a:gd name="T9" fmla="*/ 36 h 148"/>
              <a:gd name="T10" fmla="*/ 33 w 62"/>
              <a:gd name="T11" fmla="*/ 47 h 148"/>
              <a:gd name="T12" fmla="*/ 38 w 62"/>
              <a:gd name="T13" fmla="*/ 59 h 148"/>
              <a:gd name="T14" fmla="*/ 44 w 62"/>
              <a:gd name="T15" fmla="*/ 71 h 148"/>
              <a:gd name="T16" fmla="*/ 48 w 62"/>
              <a:gd name="T17" fmla="*/ 83 h 148"/>
              <a:gd name="T18" fmla="*/ 52 w 62"/>
              <a:gd name="T19" fmla="*/ 96 h 148"/>
              <a:gd name="T20" fmla="*/ 56 w 62"/>
              <a:gd name="T21" fmla="*/ 108 h 148"/>
              <a:gd name="T22" fmla="*/ 58 w 62"/>
              <a:gd name="T23" fmla="*/ 121 h 148"/>
              <a:gd name="T24" fmla="*/ 61 w 62"/>
              <a:gd name="T25" fmla="*/ 135 h 148"/>
              <a:gd name="T26" fmla="*/ 62 w 62"/>
              <a:gd name="T27" fmla="*/ 148 h 148"/>
              <a:gd name="T28" fmla="*/ 53 w 62"/>
              <a:gd name="T29" fmla="*/ 148 h 148"/>
              <a:gd name="T30" fmla="*/ 51 w 62"/>
              <a:gd name="T31" fmla="*/ 135 h 148"/>
              <a:gd name="T32" fmla="*/ 49 w 62"/>
              <a:gd name="T33" fmla="*/ 122 h 148"/>
              <a:gd name="T34" fmla="*/ 46 w 62"/>
              <a:gd name="T35" fmla="*/ 110 h 148"/>
              <a:gd name="T36" fmla="*/ 43 w 62"/>
              <a:gd name="T37" fmla="*/ 97 h 148"/>
              <a:gd name="T38" fmla="*/ 39 w 62"/>
              <a:gd name="T39" fmla="*/ 85 h 148"/>
              <a:gd name="T40" fmla="*/ 35 w 62"/>
              <a:gd name="T41" fmla="*/ 73 h 148"/>
              <a:gd name="T42" fmla="*/ 29 w 62"/>
              <a:gd name="T43" fmla="*/ 61 h 148"/>
              <a:gd name="T44" fmla="*/ 24 w 62"/>
              <a:gd name="T45" fmla="*/ 49 h 148"/>
              <a:gd name="T46" fmla="*/ 18 w 62"/>
              <a:gd name="T47" fmla="*/ 39 h 148"/>
              <a:gd name="T48" fmla="*/ 12 w 62"/>
              <a:gd name="T49" fmla="*/ 27 h 148"/>
              <a:gd name="T50" fmla="*/ 5 w 62"/>
              <a:gd name="T51" fmla="*/ 17 h 148"/>
              <a:gd name="T52" fmla="*/ 0 w 62"/>
              <a:gd name="T53" fmla="*/ 9 h 148"/>
              <a:gd name="T54" fmla="*/ 4 w 62"/>
              <a:gd name="T55" fmla="*/ 0 h 1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62" h="148">
                <a:moveTo>
                  <a:pt x="4" y="0"/>
                </a:moveTo>
                <a:lnTo>
                  <a:pt x="7" y="4"/>
                </a:lnTo>
                <a:lnTo>
                  <a:pt x="14" y="14"/>
                </a:lnTo>
                <a:lnTo>
                  <a:pt x="21" y="25"/>
                </a:lnTo>
                <a:lnTo>
                  <a:pt x="27" y="36"/>
                </a:lnTo>
                <a:lnTo>
                  <a:pt x="33" y="47"/>
                </a:lnTo>
                <a:lnTo>
                  <a:pt x="38" y="59"/>
                </a:lnTo>
                <a:lnTo>
                  <a:pt x="44" y="71"/>
                </a:lnTo>
                <a:lnTo>
                  <a:pt x="48" y="83"/>
                </a:lnTo>
                <a:lnTo>
                  <a:pt x="52" y="96"/>
                </a:lnTo>
                <a:lnTo>
                  <a:pt x="56" y="108"/>
                </a:lnTo>
                <a:lnTo>
                  <a:pt x="58" y="121"/>
                </a:lnTo>
                <a:lnTo>
                  <a:pt x="61" y="135"/>
                </a:lnTo>
                <a:lnTo>
                  <a:pt x="62" y="148"/>
                </a:lnTo>
                <a:lnTo>
                  <a:pt x="53" y="148"/>
                </a:lnTo>
                <a:lnTo>
                  <a:pt x="51" y="135"/>
                </a:lnTo>
                <a:lnTo>
                  <a:pt x="49" y="122"/>
                </a:lnTo>
                <a:lnTo>
                  <a:pt x="46" y="110"/>
                </a:lnTo>
                <a:lnTo>
                  <a:pt x="43" y="97"/>
                </a:lnTo>
                <a:lnTo>
                  <a:pt x="39" y="85"/>
                </a:lnTo>
                <a:lnTo>
                  <a:pt x="35" y="73"/>
                </a:lnTo>
                <a:lnTo>
                  <a:pt x="29" y="61"/>
                </a:lnTo>
                <a:lnTo>
                  <a:pt x="24" y="49"/>
                </a:lnTo>
                <a:lnTo>
                  <a:pt x="18" y="39"/>
                </a:lnTo>
                <a:lnTo>
                  <a:pt x="12" y="27"/>
                </a:lnTo>
                <a:lnTo>
                  <a:pt x="5" y="17"/>
                </a:lnTo>
                <a:lnTo>
                  <a:pt x="0" y="9"/>
                </a:lnTo>
                <a:lnTo>
                  <a:pt x="4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84" name="Freeform 8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672465" y="287655"/>
            <a:ext cx="59055" cy="112395"/>
          </a:xfrm>
          <a:custGeom>
            <a:avLst/>
            <a:gdLst>
              <a:gd name="T0" fmla="*/ 5 w 93"/>
              <a:gd name="T1" fmla="*/ 0 h 177"/>
              <a:gd name="T2" fmla="*/ 10 w 93"/>
              <a:gd name="T3" fmla="*/ 5 h 177"/>
              <a:gd name="T4" fmla="*/ 19 w 93"/>
              <a:gd name="T5" fmla="*/ 14 h 177"/>
              <a:gd name="T6" fmla="*/ 28 w 93"/>
              <a:gd name="T7" fmla="*/ 24 h 177"/>
              <a:gd name="T8" fmla="*/ 36 w 93"/>
              <a:gd name="T9" fmla="*/ 34 h 177"/>
              <a:gd name="T10" fmla="*/ 44 w 93"/>
              <a:gd name="T11" fmla="*/ 45 h 177"/>
              <a:gd name="T12" fmla="*/ 52 w 93"/>
              <a:gd name="T13" fmla="*/ 56 h 177"/>
              <a:gd name="T14" fmla="*/ 58 w 93"/>
              <a:gd name="T15" fmla="*/ 67 h 177"/>
              <a:gd name="T16" fmla="*/ 65 w 93"/>
              <a:gd name="T17" fmla="*/ 79 h 177"/>
              <a:gd name="T18" fmla="*/ 71 w 93"/>
              <a:gd name="T19" fmla="*/ 90 h 177"/>
              <a:gd name="T20" fmla="*/ 75 w 93"/>
              <a:gd name="T21" fmla="*/ 102 h 177"/>
              <a:gd name="T22" fmla="*/ 80 w 93"/>
              <a:gd name="T23" fmla="*/ 114 h 177"/>
              <a:gd name="T24" fmla="*/ 84 w 93"/>
              <a:gd name="T25" fmla="*/ 126 h 177"/>
              <a:gd name="T26" fmla="*/ 88 w 93"/>
              <a:gd name="T27" fmla="*/ 139 h 177"/>
              <a:gd name="T28" fmla="*/ 90 w 93"/>
              <a:gd name="T29" fmla="*/ 152 h 177"/>
              <a:gd name="T30" fmla="*/ 92 w 93"/>
              <a:gd name="T31" fmla="*/ 165 h 177"/>
              <a:gd name="T32" fmla="*/ 93 w 93"/>
              <a:gd name="T33" fmla="*/ 177 h 177"/>
              <a:gd name="T34" fmla="*/ 83 w 93"/>
              <a:gd name="T35" fmla="*/ 176 h 177"/>
              <a:gd name="T36" fmla="*/ 81 w 93"/>
              <a:gd name="T37" fmla="*/ 164 h 177"/>
              <a:gd name="T38" fmla="*/ 79 w 93"/>
              <a:gd name="T39" fmla="*/ 151 h 177"/>
              <a:gd name="T40" fmla="*/ 76 w 93"/>
              <a:gd name="T41" fmla="*/ 139 h 177"/>
              <a:gd name="T42" fmla="*/ 73 w 93"/>
              <a:gd name="T43" fmla="*/ 126 h 177"/>
              <a:gd name="T44" fmla="*/ 69 w 93"/>
              <a:gd name="T45" fmla="*/ 114 h 177"/>
              <a:gd name="T46" fmla="*/ 65 w 93"/>
              <a:gd name="T47" fmla="*/ 103 h 177"/>
              <a:gd name="T48" fmla="*/ 59 w 93"/>
              <a:gd name="T49" fmla="*/ 91 h 177"/>
              <a:gd name="T50" fmla="*/ 54 w 93"/>
              <a:gd name="T51" fmla="*/ 79 h 177"/>
              <a:gd name="T52" fmla="*/ 48 w 93"/>
              <a:gd name="T53" fmla="*/ 68 h 177"/>
              <a:gd name="T54" fmla="*/ 41 w 93"/>
              <a:gd name="T55" fmla="*/ 57 h 177"/>
              <a:gd name="T56" fmla="*/ 33 w 93"/>
              <a:gd name="T57" fmla="*/ 47 h 177"/>
              <a:gd name="T58" fmla="*/ 26 w 93"/>
              <a:gd name="T59" fmla="*/ 36 h 177"/>
              <a:gd name="T60" fmla="*/ 17 w 93"/>
              <a:gd name="T61" fmla="*/ 26 h 177"/>
              <a:gd name="T62" fmla="*/ 8 w 93"/>
              <a:gd name="T63" fmla="*/ 17 h 177"/>
              <a:gd name="T64" fmla="*/ 0 w 93"/>
              <a:gd name="T65" fmla="*/ 9 h 177"/>
              <a:gd name="T66" fmla="*/ 5 w 93"/>
              <a:gd name="T67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93" h="177">
                <a:moveTo>
                  <a:pt x="5" y="0"/>
                </a:moveTo>
                <a:lnTo>
                  <a:pt x="10" y="5"/>
                </a:lnTo>
                <a:lnTo>
                  <a:pt x="19" y="14"/>
                </a:lnTo>
                <a:lnTo>
                  <a:pt x="28" y="24"/>
                </a:lnTo>
                <a:lnTo>
                  <a:pt x="36" y="34"/>
                </a:lnTo>
                <a:lnTo>
                  <a:pt x="44" y="45"/>
                </a:lnTo>
                <a:lnTo>
                  <a:pt x="52" y="56"/>
                </a:lnTo>
                <a:lnTo>
                  <a:pt x="58" y="67"/>
                </a:lnTo>
                <a:lnTo>
                  <a:pt x="65" y="79"/>
                </a:lnTo>
                <a:lnTo>
                  <a:pt x="71" y="90"/>
                </a:lnTo>
                <a:lnTo>
                  <a:pt x="75" y="102"/>
                </a:lnTo>
                <a:lnTo>
                  <a:pt x="80" y="114"/>
                </a:lnTo>
                <a:lnTo>
                  <a:pt x="84" y="126"/>
                </a:lnTo>
                <a:lnTo>
                  <a:pt x="88" y="139"/>
                </a:lnTo>
                <a:lnTo>
                  <a:pt x="90" y="152"/>
                </a:lnTo>
                <a:lnTo>
                  <a:pt x="92" y="165"/>
                </a:lnTo>
                <a:lnTo>
                  <a:pt x="93" y="177"/>
                </a:lnTo>
                <a:lnTo>
                  <a:pt x="83" y="176"/>
                </a:lnTo>
                <a:lnTo>
                  <a:pt x="81" y="164"/>
                </a:lnTo>
                <a:lnTo>
                  <a:pt x="79" y="151"/>
                </a:lnTo>
                <a:lnTo>
                  <a:pt x="76" y="139"/>
                </a:lnTo>
                <a:lnTo>
                  <a:pt x="73" y="126"/>
                </a:lnTo>
                <a:lnTo>
                  <a:pt x="69" y="114"/>
                </a:lnTo>
                <a:lnTo>
                  <a:pt x="65" y="103"/>
                </a:lnTo>
                <a:lnTo>
                  <a:pt x="59" y="91"/>
                </a:lnTo>
                <a:lnTo>
                  <a:pt x="54" y="79"/>
                </a:lnTo>
                <a:lnTo>
                  <a:pt x="48" y="68"/>
                </a:lnTo>
                <a:lnTo>
                  <a:pt x="41" y="57"/>
                </a:lnTo>
                <a:lnTo>
                  <a:pt x="33" y="47"/>
                </a:lnTo>
                <a:lnTo>
                  <a:pt x="26" y="36"/>
                </a:lnTo>
                <a:lnTo>
                  <a:pt x="17" y="26"/>
                </a:lnTo>
                <a:lnTo>
                  <a:pt x="8" y="17"/>
                </a:lnTo>
                <a:lnTo>
                  <a:pt x="0" y="9"/>
                </a:lnTo>
                <a:lnTo>
                  <a:pt x="5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85" name="Freeform 8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/>
          </xdr:cNvSpPr>
        </xdr:nvSpPr>
        <xdr:spPr bwMode="auto">
          <a:xfrm>
            <a:off x="663575" y="443865"/>
            <a:ext cx="39370" cy="85090"/>
          </a:xfrm>
          <a:custGeom>
            <a:avLst/>
            <a:gdLst>
              <a:gd name="T0" fmla="*/ 4 w 62"/>
              <a:gd name="T1" fmla="*/ 134 h 134"/>
              <a:gd name="T2" fmla="*/ 11 w 62"/>
              <a:gd name="T3" fmla="*/ 125 h 134"/>
              <a:gd name="T4" fmla="*/ 18 w 62"/>
              <a:gd name="T5" fmla="*/ 116 h 134"/>
              <a:gd name="T6" fmla="*/ 25 w 62"/>
              <a:gd name="T7" fmla="*/ 105 h 134"/>
              <a:gd name="T8" fmla="*/ 31 w 62"/>
              <a:gd name="T9" fmla="*/ 96 h 134"/>
              <a:gd name="T10" fmla="*/ 37 w 62"/>
              <a:gd name="T11" fmla="*/ 85 h 134"/>
              <a:gd name="T12" fmla="*/ 42 w 62"/>
              <a:gd name="T13" fmla="*/ 74 h 134"/>
              <a:gd name="T14" fmla="*/ 46 w 62"/>
              <a:gd name="T15" fmla="*/ 63 h 134"/>
              <a:gd name="T16" fmla="*/ 50 w 62"/>
              <a:gd name="T17" fmla="*/ 52 h 134"/>
              <a:gd name="T18" fmla="*/ 54 w 62"/>
              <a:gd name="T19" fmla="*/ 40 h 134"/>
              <a:gd name="T20" fmla="*/ 57 w 62"/>
              <a:gd name="T21" fmla="*/ 29 h 134"/>
              <a:gd name="T22" fmla="*/ 60 w 62"/>
              <a:gd name="T23" fmla="*/ 17 h 134"/>
              <a:gd name="T24" fmla="*/ 62 w 62"/>
              <a:gd name="T25" fmla="*/ 4 h 134"/>
              <a:gd name="T26" fmla="*/ 62 w 62"/>
              <a:gd name="T27" fmla="*/ 0 h 134"/>
              <a:gd name="T28" fmla="*/ 53 w 62"/>
              <a:gd name="T29" fmla="*/ 0 h 134"/>
              <a:gd name="T30" fmla="*/ 52 w 62"/>
              <a:gd name="T31" fmla="*/ 10 h 134"/>
              <a:gd name="T32" fmla="*/ 49 w 62"/>
              <a:gd name="T33" fmla="*/ 22 h 134"/>
              <a:gd name="T34" fmla="*/ 46 w 62"/>
              <a:gd name="T35" fmla="*/ 33 h 134"/>
              <a:gd name="T36" fmla="*/ 43 w 62"/>
              <a:gd name="T37" fmla="*/ 45 h 134"/>
              <a:gd name="T38" fmla="*/ 40 w 62"/>
              <a:gd name="T39" fmla="*/ 55 h 134"/>
              <a:gd name="T40" fmla="*/ 36 w 62"/>
              <a:gd name="T41" fmla="*/ 66 h 134"/>
              <a:gd name="T42" fmla="*/ 30 w 62"/>
              <a:gd name="T43" fmla="*/ 76 h 134"/>
              <a:gd name="T44" fmla="*/ 25 w 62"/>
              <a:gd name="T45" fmla="*/ 87 h 134"/>
              <a:gd name="T46" fmla="*/ 20 w 62"/>
              <a:gd name="T47" fmla="*/ 98 h 134"/>
              <a:gd name="T48" fmla="*/ 13 w 62"/>
              <a:gd name="T49" fmla="*/ 107 h 134"/>
              <a:gd name="T50" fmla="*/ 6 w 62"/>
              <a:gd name="T51" fmla="*/ 117 h 134"/>
              <a:gd name="T52" fmla="*/ 0 w 62"/>
              <a:gd name="T53" fmla="*/ 126 h 134"/>
              <a:gd name="T54" fmla="*/ 4 w 62"/>
              <a:gd name="T55" fmla="*/ 134 h 13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62" h="134">
                <a:moveTo>
                  <a:pt x="4" y="134"/>
                </a:moveTo>
                <a:lnTo>
                  <a:pt x="11" y="125"/>
                </a:lnTo>
                <a:lnTo>
                  <a:pt x="18" y="116"/>
                </a:lnTo>
                <a:lnTo>
                  <a:pt x="25" y="105"/>
                </a:lnTo>
                <a:lnTo>
                  <a:pt x="31" y="96"/>
                </a:lnTo>
                <a:lnTo>
                  <a:pt x="37" y="85"/>
                </a:lnTo>
                <a:lnTo>
                  <a:pt x="42" y="74"/>
                </a:lnTo>
                <a:lnTo>
                  <a:pt x="46" y="63"/>
                </a:lnTo>
                <a:lnTo>
                  <a:pt x="50" y="52"/>
                </a:lnTo>
                <a:lnTo>
                  <a:pt x="54" y="40"/>
                </a:lnTo>
                <a:lnTo>
                  <a:pt x="57" y="29"/>
                </a:lnTo>
                <a:lnTo>
                  <a:pt x="60" y="17"/>
                </a:lnTo>
                <a:lnTo>
                  <a:pt x="62" y="4"/>
                </a:lnTo>
                <a:lnTo>
                  <a:pt x="62" y="0"/>
                </a:lnTo>
                <a:lnTo>
                  <a:pt x="53" y="0"/>
                </a:lnTo>
                <a:lnTo>
                  <a:pt x="52" y="10"/>
                </a:lnTo>
                <a:lnTo>
                  <a:pt x="49" y="22"/>
                </a:lnTo>
                <a:lnTo>
                  <a:pt x="46" y="33"/>
                </a:lnTo>
                <a:lnTo>
                  <a:pt x="43" y="45"/>
                </a:lnTo>
                <a:lnTo>
                  <a:pt x="40" y="55"/>
                </a:lnTo>
                <a:lnTo>
                  <a:pt x="36" y="66"/>
                </a:lnTo>
                <a:lnTo>
                  <a:pt x="30" y="76"/>
                </a:lnTo>
                <a:lnTo>
                  <a:pt x="25" y="87"/>
                </a:lnTo>
                <a:lnTo>
                  <a:pt x="20" y="98"/>
                </a:lnTo>
                <a:lnTo>
                  <a:pt x="13" y="107"/>
                </a:lnTo>
                <a:lnTo>
                  <a:pt x="6" y="117"/>
                </a:lnTo>
                <a:lnTo>
                  <a:pt x="0" y="126"/>
                </a:lnTo>
                <a:lnTo>
                  <a:pt x="4" y="13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86" name="Freeform 8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/>
          </xdr:cNvSpPr>
        </xdr:nvSpPr>
        <xdr:spPr bwMode="auto">
          <a:xfrm>
            <a:off x="672465" y="434975"/>
            <a:ext cx="59055" cy="112395"/>
          </a:xfrm>
          <a:custGeom>
            <a:avLst/>
            <a:gdLst>
              <a:gd name="T0" fmla="*/ 93 w 93"/>
              <a:gd name="T1" fmla="*/ 0 h 177"/>
              <a:gd name="T2" fmla="*/ 93 w 93"/>
              <a:gd name="T3" fmla="*/ 10 h 177"/>
              <a:gd name="T4" fmla="*/ 91 w 93"/>
              <a:gd name="T5" fmla="*/ 23 h 177"/>
              <a:gd name="T6" fmla="*/ 89 w 93"/>
              <a:gd name="T7" fmla="*/ 35 h 177"/>
              <a:gd name="T8" fmla="*/ 86 w 93"/>
              <a:gd name="T9" fmla="*/ 47 h 177"/>
              <a:gd name="T10" fmla="*/ 82 w 93"/>
              <a:gd name="T11" fmla="*/ 59 h 177"/>
              <a:gd name="T12" fmla="*/ 78 w 93"/>
              <a:gd name="T13" fmla="*/ 71 h 177"/>
              <a:gd name="T14" fmla="*/ 73 w 93"/>
              <a:gd name="T15" fmla="*/ 83 h 177"/>
              <a:gd name="T16" fmla="*/ 68 w 93"/>
              <a:gd name="T17" fmla="*/ 94 h 177"/>
              <a:gd name="T18" fmla="*/ 62 w 93"/>
              <a:gd name="T19" fmla="*/ 106 h 177"/>
              <a:gd name="T20" fmla="*/ 55 w 93"/>
              <a:gd name="T21" fmla="*/ 117 h 177"/>
              <a:gd name="T22" fmla="*/ 49 w 93"/>
              <a:gd name="T23" fmla="*/ 128 h 177"/>
              <a:gd name="T24" fmla="*/ 41 w 93"/>
              <a:gd name="T25" fmla="*/ 139 h 177"/>
              <a:gd name="T26" fmla="*/ 32 w 93"/>
              <a:gd name="T27" fmla="*/ 148 h 177"/>
              <a:gd name="T28" fmla="*/ 24 w 93"/>
              <a:gd name="T29" fmla="*/ 158 h 177"/>
              <a:gd name="T30" fmla="*/ 14 w 93"/>
              <a:gd name="T31" fmla="*/ 168 h 177"/>
              <a:gd name="T32" fmla="*/ 5 w 93"/>
              <a:gd name="T33" fmla="*/ 177 h 177"/>
              <a:gd name="T34" fmla="*/ 0 w 93"/>
              <a:gd name="T35" fmla="*/ 169 h 177"/>
              <a:gd name="T36" fmla="*/ 10 w 93"/>
              <a:gd name="T37" fmla="*/ 160 h 177"/>
              <a:gd name="T38" fmla="*/ 18 w 93"/>
              <a:gd name="T39" fmla="*/ 150 h 177"/>
              <a:gd name="T40" fmla="*/ 27 w 93"/>
              <a:gd name="T41" fmla="*/ 140 h 177"/>
              <a:gd name="T42" fmla="*/ 34 w 93"/>
              <a:gd name="T43" fmla="*/ 130 h 177"/>
              <a:gd name="T44" fmla="*/ 42 w 93"/>
              <a:gd name="T45" fmla="*/ 119 h 177"/>
              <a:gd name="T46" fmla="*/ 49 w 93"/>
              <a:gd name="T47" fmla="*/ 108 h 177"/>
              <a:gd name="T48" fmla="*/ 55 w 93"/>
              <a:gd name="T49" fmla="*/ 96 h 177"/>
              <a:gd name="T50" fmla="*/ 61 w 93"/>
              <a:gd name="T51" fmla="*/ 85 h 177"/>
              <a:gd name="T52" fmla="*/ 66 w 93"/>
              <a:gd name="T53" fmla="*/ 74 h 177"/>
              <a:gd name="T54" fmla="*/ 71 w 93"/>
              <a:gd name="T55" fmla="*/ 62 h 177"/>
              <a:gd name="T56" fmla="*/ 74 w 93"/>
              <a:gd name="T57" fmla="*/ 49 h 177"/>
              <a:gd name="T58" fmla="*/ 77 w 93"/>
              <a:gd name="T59" fmla="*/ 37 h 177"/>
              <a:gd name="T60" fmla="*/ 80 w 93"/>
              <a:gd name="T61" fmla="*/ 25 h 177"/>
              <a:gd name="T62" fmla="*/ 81 w 93"/>
              <a:gd name="T63" fmla="*/ 13 h 177"/>
              <a:gd name="T64" fmla="*/ 83 w 93"/>
              <a:gd name="T65" fmla="*/ 2 h 177"/>
              <a:gd name="T66" fmla="*/ 93 w 93"/>
              <a:gd name="T67" fmla="*/ 0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93" h="177">
                <a:moveTo>
                  <a:pt x="93" y="0"/>
                </a:moveTo>
                <a:lnTo>
                  <a:pt x="93" y="10"/>
                </a:lnTo>
                <a:lnTo>
                  <a:pt x="91" y="23"/>
                </a:lnTo>
                <a:lnTo>
                  <a:pt x="89" y="35"/>
                </a:lnTo>
                <a:lnTo>
                  <a:pt x="86" y="47"/>
                </a:lnTo>
                <a:lnTo>
                  <a:pt x="82" y="59"/>
                </a:lnTo>
                <a:lnTo>
                  <a:pt x="78" y="71"/>
                </a:lnTo>
                <a:lnTo>
                  <a:pt x="73" y="83"/>
                </a:lnTo>
                <a:lnTo>
                  <a:pt x="68" y="94"/>
                </a:lnTo>
                <a:lnTo>
                  <a:pt x="62" y="106"/>
                </a:lnTo>
                <a:lnTo>
                  <a:pt x="55" y="117"/>
                </a:lnTo>
                <a:lnTo>
                  <a:pt x="49" y="128"/>
                </a:lnTo>
                <a:lnTo>
                  <a:pt x="41" y="139"/>
                </a:lnTo>
                <a:lnTo>
                  <a:pt x="32" y="148"/>
                </a:lnTo>
                <a:lnTo>
                  <a:pt x="24" y="158"/>
                </a:lnTo>
                <a:lnTo>
                  <a:pt x="14" y="168"/>
                </a:lnTo>
                <a:lnTo>
                  <a:pt x="5" y="177"/>
                </a:lnTo>
                <a:lnTo>
                  <a:pt x="0" y="169"/>
                </a:lnTo>
                <a:lnTo>
                  <a:pt x="10" y="160"/>
                </a:lnTo>
                <a:lnTo>
                  <a:pt x="18" y="150"/>
                </a:lnTo>
                <a:lnTo>
                  <a:pt x="27" y="140"/>
                </a:lnTo>
                <a:lnTo>
                  <a:pt x="34" y="130"/>
                </a:lnTo>
                <a:lnTo>
                  <a:pt x="42" y="119"/>
                </a:lnTo>
                <a:lnTo>
                  <a:pt x="49" y="108"/>
                </a:lnTo>
                <a:lnTo>
                  <a:pt x="55" y="96"/>
                </a:lnTo>
                <a:lnTo>
                  <a:pt x="61" y="85"/>
                </a:lnTo>
                <a:lnTo>
                  <a:pt x="66" y="74"/>
                </a:lnTo>
                <a:lnTo>
                  <a:pt x="71" y="62"/>
                </a:lnTo>
                <a:lnTo>
                  <a:pt x="74" y="49"/>
                </a:lnTo>
                <a:lnTo>
                  <a:pt x="77" y="37"/>
                </a:lnTo>
                <a:lnTo>
                  <a:pt x="80" y="25"/>
                </a:lnTo>
                <a:lnTo>
                  <a:pt x="81" y="13"/>
                </a:lnTo>
                <a:lnTo>
                  <a:pt x="83" y="2"/>
                </a:lnTo>
                <a:lnTo>
                  <a:pt x="93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87" name="Freeform 8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/>
          </xdr:cNvSpPr>
        </xdr:nvSpPr>
        <xdr:spPr bwMode="auto">
          <a:xfrm>
            <a:off x="552450" y="547370"/>
            <a:ext cx="89535" cy="42545"/>
          </a:xfrm>
          <a:custGeom>
            <a:avLst/>
            <a:gdLst>
              <a:gd name="T0" fmla="*/ 141 w 141"/>
              <a:gd name="T1" fmla="*/ 5 h 67"/>
              <a:gd name="T2" fmla="*/ 137 w 141"/>
              <a:gd name="T3" fmla="*/ 8 h 67"/>
              <a:gd name="T4" fmla="*/ 127 w 141"/>
              <a:gd name="T5" fmla="*/ 16 h 67"/>
              <a:gd name="T6" fmla="*/ 116 w 141"/>
              <a:gd name="T7" fmla="*/ 23 h 67"/>
              <a:gd name="T8" fmla="*/ 106 w 141"/>
              <a:gd name="T9" fmla="*/ 30 h 67"/>
              <a:gd name="T10" fmla="*/ 95 w 141"/>
              <a:gd name="T11" fmla="*/ 36 h 67"/>
              <a:gd name="T12" fmla="*/ 84 w 141"/>
              <a:gd name="T13" fmla="*/ 42 h 67"/>
              <a:gd name="T14" fmla="*/ 73 w 141"/>
              <a:gd name="T15" fmla="*/ 47 h 67"/>
              <a:gd name="T16" fmla="*/ 61 w 141"/>
              <a:gd name="T17" fmla="*/ 52 h 67"/>
              <a:gd name="T18" fmla="*/ 49 w 141"/>
              <a:gd name="T19" fmla="*/ 56 h 67"/>
              <a:gd name="T20" fmla="*/ 37 w 141"/>
              <a:gd name="T21" fmla="*/ 60 h 67"/>
              <a:gd name="T22" fmla="*/ 25 w 141"/>
              <a:gd name="T23" fmla="*/ 63 h 67"/>
              <a:gd name="T24" fmla="*/ 12 w 141"/>
              <a:gd name="T25" fmla="*/ 65 h 67"/>
              <a:gd name="T26" fmla="*/ 0 w 141"/>
              <a:gd name="T27" fmla="*/ 67 h 67"/>
              <a:gd name="T28" fmla="*/ 0 w 141"/>
              <a:gd name="T29" fmla="*/ 58 h 67"/>
              <a:gd name="T30" fmla="*/ 12 w 141"/>
              <a:gd name="T31" fmla="*/ 55 h 67"/>
              <a:gd name="T32" fmla="*/ 25 w 141"/>
              <a:gd name="T33" fmla="*/ 53 h 67"/>
              <a:gd name="T34" fmla="*/ 36 w 141"/>
              <a:gd name="T35" fmla="*/ 50 h 67"/>
              <a:gd name="T36" fmla="*/ 48 w 141"/>
              <a:gd name="T37" fmla="*/ 46 h 67"/>
              <a:gd name="T38" fmla="*/ 60 w 141"/>
              <a:gd name="T39" fmla="*/ 42 h 67"/>
              <a:gd name="T40" fmla="*/ 71 w 141"/>
              <a:gd name="T41" fmla="*/ 37 h 67"/>
              <a:gd name="T42" fmla="*/ 83 w 141"/>
              <a:gd name="T43" fmla="*/ 32 h 67"/>
              <a:gd name="T44" fmla="*/ 93 w 141"/>
              <a:gd name="T45" fmla="*/ 26 h 67"/>
              <a:gd name="T46" fmla="*/ 104 w 141"/>
              <a:gd name="T47" fmla="*/ 20 h 67"/>
              <a:gd name="T48" fmla="*/ 114 w 141"/>
              <a:gd name="T49" fmla="*/ 13 h 67"/>
              <a:gd name="T50" fmla="*/ 124 w 141"/>
              <a:gd name="T51" fmla="*/ 6 h 67"/>
              <a:gd name="T52" fmla="*/ 131 w 141"/>
              <a:gd name="T53" fmla="*/ 0 h 67"/>
              <a:gd name="T54" fmla="*/ 141 w 141"/>
              <a:gd name="T55" fmla="*/ 5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141" h="67">
                <a:moveTo>
                  <a:pt x="141" y="5"/>
                </a:moveTo>
                <a:lnTo>
                  <a:pt x="137" y="8"/>
                </a:lnTo>
                <a:lnTo>
                  <a:pt x="127" y="16"/>
                </a:lnTo>
                <a:lnTo>
                  <a:pt x="116" y="23"/>
                </a:lnTo>
                <a:lnTo>
                  <a:pt x="106" y="30"/>
                </a:lnTo>
                <a:lnTo>
                  <a:pt x="95" y="36"/>
                </a:lnTo>
                <a:lnTo>
                  <a:pt x="84" y="42"/>
                </a:lnTo>
                <a:lnTo>
                  <a:pt x="73" y="47"/>
                </a:lnTo>
                <a:lnTo>
                  <a:pt x="61" y="52"/>
                </a:lnTo>
                <a:lnTo>
                  <a:pt x="49" y="56"/>
                </a:lnTo>
                <a:lnTo>
                  <a:pt x="37" y="60"/>
                </a:lnTo>
                <a:lnTo>
                  <a:pt x="25" y="63"/>
                </a:lnTo>
                <a:lnTo>
                  <a:pt x="12" y="65"/>
                </a:lnTo>
                <a:lnTo>
                  <a:pt x="0" y="67"/>
                </a:lnTo>
                <a:lnTo>
                  <a:pt x="0" y="58"/>
                </a:lnTo>
                <a:lnTo>
                  <a:pt x="12" y="55"/>
                </a:lnTo>
                <a:lnTo>
                  <a:pt x="25" y="53"/>
                </a:lnTo>
                <a:lnTo>
                  <a:pt x="36" y="50"/>
                </a:lnTo>
                <a:lnTo>
                  <a:pt x="48" y="46"/>
                </a:lnTo>
                <a:lnTo>
                  <a:pt x="60" y="42"/>
                </a:lnTo>
                <a:lnTo>
                  <a:pt x="71" y="37"/>
                </a:lnTo>
                <a:lnTo>
                  <a:pt x="83" y="32"/>
                </a:lnTo>
                <a:lnTo>
                  <a:pt x="93" y="26"/>
                </a:lnTo>
                <a:lnTo>
                  <a:pt x="104" y="20"/>
                </a:lnTo>
                <a:lnTo>
                  <a:pt x="114" y="13"/>
                </a:lnTo>
                <a:lnTo>
                  <a:pt x="124" y="6"/>
                </a:lnTo>
                <a:lnTo>
                  <a:pt x="131" y="0"/>
                </a:lnTo>
                <a:lnTo>
                  <a:pt x="141" y="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88" name="Freeform 8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/>
          </xdr:cNvSpPr>
        </xdr:nvSpPr>
        <xdr:spPr bwMode="auto">
          <a:xfrm>
            <a:off x="543560" y="554990"/>
            <a:ext cx="128905" cy="53340"/>
          </a:xfrm>
          <a:custGeom>
            <a:avLst/>
            <a:gdLst>
              <a:gd name="T0" fmla="*/ 203 w 203"/>
              <a:gd name="T1" fmla="*/ 4 h 84"/>
              <a:gd name="T2" fmla="*/ 198 w 203"/>
              <a:gd name="T3" fmla="*/ 9 h 84"/>
              <a:gd name="T4" fmla="*/ 188 w 203"/>
              <a:gd name="T5" fmla="*/ 17 h 84"/>
              <a:gd name="T6" fmla="*/ 176 w 203"/>
              <a:gd name="T7" fmla="*/ 25 h 84"/>
              <a:gd name="T8" fmla="*/ 164 w 203"/>
              <a:gd name="T9" fmla="*/ 33 h 84"/>
              <a:gd name="T10" fmla="*/ 152 w 203"/>
              <a:gd name="T11" fmla="*/ 40 h 84"/>
              <a:gd name="T12" fmla="*/ 139 w 203"/>
              <a:gd name="T13" fmla="*/ 46 h 84"/>
              <a:gd name="T14" fmla="*/ 126 w 203"/>
              <a:gd name="T15" fmla="*/ 52 h 84"/>
              <a:gd name="T16" fmla="*/ 113 w 203"/>
              <a:gd name="T17" fmla="*/ 58 h 84"/>
              <a:gd name="T18" fmla="*/ 100 w 203"/>
              <a:gd name="T19" fmla="*/ 63 h 84"/>
              <a:gd name="T20" fmla="*/ 86 w 203"/>
              <a:gd name="T21" fmla="*/ 68 h 84"/>
              <a:gd name="T22" fmla="*/ 72 w 203"/>
              <a:gd name="T23" fmla="*/ 72 h 84"/>
              <a:gd name="T24" fmla="*/ 58 w 203"/>
              <a:gd name="T25" fmla="*/ 76 h 84"/>
              <a:gd name="T26" fmla="*/ 44 w 203"/>
              <a:gd name="T27" fmla="*/ 78 h 84"/>
              <a:gd name="T28" fmla="*/ 29 w 203"/>
              <a:gd name="T29" fmla="*/ 81 h 84"/>
              <a:gd name="T30" fmla="*/ 15 w 203"/>
              <a:gd name="T31" fmla="*/ 83 h 84"/>
              <a:gd name="T32" fmla="*/ 0 w 203"/>
              <a:gd name="T33" fmla="*/ 84 h 84"/>
              <a:gd name="T34" fmla="*/ 1 w 203"/>
              <a:gd name="T35" fmla="*/ 75 h 84"/>
              <a:gd name="T36" fmla="*/ 16 w 203"/>
              <a:gd name="T37" fmla="*/ 74 h 84"/>
              <a:gd name="T38" fmla="*/ 30 w 203"/>
              <a:gd name="T39" fmla="*/ 72 h 84"/>
              <a:gd name="T40" fmla="*/ 44 w 203"/>
              <a:gd name="T41" fmla="*/ 69 h 84"/>
              <a:gd name="T42" fmla="*/ 58 w 203"/>
              <a:gd name="T43" fmla="*/ 66 h 84"/>
              <a:gd name="T44" fmla="*/ 72 w 203"/>
              <a:gd name="T45" fmla="*/ 62 h 84"/>
              <a:gd name="T46" fmla="*/ 86 w 203"/>
              <a:gd name="T47" fmla="*/ 58 h 84"/>
              <a:gd name="T48" fmla="*/ 99 w 203"/>
              <a:gd name="T49" fmla="*/ 54 h 84"/>
              <a:gd name="T50" fmla="*/ 112 w 203"/>
              <a:gd name="T51" fmla="*/ 48 h 84"/>
              <a:gd name="T52" fmla="*/ 125 w 203"/>
              <a:gd name="T53" fmla="*/ 43 h 84"/>
              <a:gd name="T54" fmla="*/ 137 w 203"/>
              <a:gd name="T55" fmla="*/ 36 h 84"/>
              <a:gd name="T56" fmla="*/ 150 w 203"/>
              <a:gd name="T57" fmla="*/ 30 h 84"/>
              <a:gd name="T58" fmla="*/ 161 w 203"/>
              <a:gd name="T59" fmla="*/ 23 h 84"/>
              <a:gd name="T60" fmla="*/ 174 w 203"/>
              <a:gd name="T61" fmla="*/ 15 h 84"/>
              <a:gd name="T62" fmla="*/ 184 w 203"/>
              <a:gd name="T63" fmla="*/ 8 h 84"/>
              <a:gd name="T64" fmla="*/ 194 w 203"/>
              <a:gd name="T65" fmla="*/ 0 h 84"/>
              <a:gd name="T66" fmla="*/ 203 w 203"/>
              <a:gd name="T67" fmla="*/ 4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03" h="84">
                <a:moveTo>
                  <a:pt x="203" y="4"/>
                </a:moveTo>
                <a:lnTo>
                  <a:pt x="198" y="9"/>
                </a:lnTo>
                <a:lnTo>
                  <a:pt x="188" y="17"/>
                </a:lnTo>
                <a:lnTo>
                  <a:pt x="176" y="25"/>
                </a:lnTo>
                <a:lnTo>
                  <a:pt x="164" y="33"/>
                </a:lnTo>
                <a:lnTo>
                  <a:pt x="152" y="40"/>
                </a:lnTo>
                <a:lnTo>
                  <a:pt x="139" y="46"/>
                </a:lnTo>
                <a:lnTo>
                  <a:pt x="126" y="52"/>
                </a:lnTo>
                <a:lnTo>
                  <a:pt x="113" y="58"/>
                </a:lnTo>
                <a:lnTo>
                  <a:pt x="100" y="63"/>
                </a:lnTo>
                <a:lnTo>
                  <a:pt x="86" y="68"/>
                </a:lnTo>
                <a:lnTo>
                  <a:pt x="72" y="72"/>
                </a:lnTo>
                <a:lnTo>
                  <a:pt x="58" y="76"/>
                </a:lnTo>
                <a:lnTo>
                  <a:pt x="44" y="78"/>
                </a:lnTo>
                <a:lnTo>
                  <a:pt x="29" y="81"/>
                </a:lnTo>
                <a:lnTo>
                  <a:pt x="15" y="83"/>
                </a:lnTo>
                <a:lnTo>
                  <a:pt x="0" y="84"/>
                </a:lnTo>
                <a:lnTo>
                  <a:pt x="1" y="75"/>
                </a:lnTo>
                <a:lnTo>
                  <a:pt x="16" y="74"/>
                </a:lnTo>
                <a:lnTo>
                  <a:pt x="30" y="72"/>
                </a:lnTo>
                <a:lnTo>
                  <a:pt x="44" y="69"/>
                </a:lnTo>
                <a:lnTo>
                  <a:pt x="58" y="66"/>
                </a:lnTo>
                <a:lnTo>
                  <a:pt x="72" y="62"/>
                </a:lnTo>
                <a:lnTo>
                  <a:pt x="86" y="58"/>
                </a:lnTo>
                <a:lnTo>
                  <a:pt x="99" y="54"/>
                </a:lnTo>
                <a:lnTo>
                  <a:pt x="112" y="48"/>
                </a:lnTo>
                <a:lnTo>
                  <a:pt x="125" y="43"/>
                </a:lnTo>
                <a:lnTo>
                  <a:pt x="137" y="36"/>
                </a:lnTo>
                <a:lnTo>
                  <a:pt x="150" y="30"/>
                </a:lnTo>
                <a:lnTo>
                  <a:pt x="161" y="23"/>
                </a:lnTo>
                <a:lnTo>
                  <a:pt x="174" y="15"/>
                </a:lnTo>
                <a:lnTo>
                  <a:pt x="184" y="8"/>
                </a:lnTo>
                <a:lnTo>
                  <a:pt x="194" y="0"/>
                </a:lnTo>
                <a:lnTo>
                  <a:pt x="203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89" name="Freeform 8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/>
          </xdr:cNvSpPr>
        </xdr:nvSpPr>
        <xdr:spPr bwMode="auto">
          <a:xfrm>
            <a:off x="414020" y="538480"/>
            <a:ext cx="89535" cy="43815"/>
          </a:xfrm>
          <a:custGeom>
            <a:avLst/>
            <a:gdLst>
              <a:gd name="T0" fmla="*/ 0 w 141"/>
              <a:gd name="T1" fmla="*/ 4 h 69"/>
              <a:gd name="T2" fmla="*/ 10 w 141"/>
              <a:gd name="T3" fmla="*/ 13 h 69"/>
              <a:gd name="T4" fmla="*/ 20 w 141"/>
              <a:gd name="T5" fmla="*/ 20 h 69"/>
              <a:gd name="T6" fmla="*/ 30 w 141"/>
              <a:gd name="T7" fmla="*/ 28 h 69"/>
              <a:gd name="T8" fmla="*/ 41 w 141"/>
              <a:gd name="T9" fmla="*/ 34 h 69"/>
              <a:gd name="T10" fmla="*/ 52 w 141"/>
              <a:gd name="T11" fmla="*/ 41 h 69"/>
              <a:gd name="T12" fmla="*/ 64 w 141"/>
              <a:gd name="T13" fmla="*/ 46 h 69"/>
              <a:gd name="T14" fmla="*/ 75 w 141"/>
              <a:gd name="T15" fmla="*/ 52 h 69"/>
              <a:gd name="T16" fmla="*/ 88 w 141"/>
              <a:gd name="T17" fmla="*/ 56 h 69"/>
              <a:gd name="T18" fmla="*/ 100 w 141"/>
              <a:gd name="T19" fmla="*/ 60 h 69"/>
              <a:gd name="T20" fmla="*/ 111 w 141"/>
              <a:gd name="T21" fmla="*/ 63 h 69"/>
              <a:gd name="T22" fmla="*/ 124 w 141"/>
              <a:gd name="T23" fmla="*/ 66 h 69"/>
              <a:gd name="T24" fmla="*/ 137 w 141"/>
              <a:gd name="T25" fmla="*/ 69 h 69"/>
              <a:gd name="T26" fmla="*/ 141 w 141"/>
              <a:gd name="T27" fmla="*/ 69 h 69"/>
              <a:gd name="T28" fmla="*/ 141 w 141"/>
              <a:gd name="T29" fmla="*/ 59 h 69"/>
              <a:gd name="T30" fmla="*/ 131 w 141"/>
              <a:gd name="T31" fmla="*/ 57 h 69"/>
              <a:gd name="T32" fmla="*/ 119 w 141"/>
              <a:gd name="T33" fmla="*/ 55 h 69"/>
              <a:gd name="T34" fmla="*/ 107 w 141"/>
              <a:gd name="T35" fmla="*/ 52 h 69"/>
              <a:gd name="T36" fmla="*/ 95 w 141"/>
              <a:gd name="T37" fmla="*/ 48 h 69"/>
              <a:gd name="T38" fmla="*/ 84 w 141"/>
              <a:gd name="T39" fmla="*/ 44 h 69"/>
              <a:gd name="T40" fmla="*/ 72 w 141"/>
              <a:gd name="T41" fmla="*/ 39 h 69"/>
              <a:gd name="T42" fmla="*/ 61 w 141"/>
              <a:gd name="T43" fmla="*/ 34 h 69"/>
              <a:gd name="T44" fmla="*/ 50 w 141"/>
              <a:gd name="T45" fmla="*/ 28 h 69"/>
              <a:gd name="T46" fmla="*/ 40 w 141"/>
              <a:gd name="T47" fmla="*/ 22 h 69"/>
              <a:gd name="T48" fmla="*/ 29 w 141"/>
              <a:gd name="T49" fmla="*/ 15 h 69"/>
              <a:gd name="T50" fmla="*/ 19 w 141"/>
              <a:gd name="T51" fmla="*/ 8 h 69"/>
              <a:gd name="T52" fmla="*/ 9 w 141"/>
              <a:gd name="T53" fmla="*/ 0 h 69"/>
              <a:gd name="T54" fmla="*/ 0 w 141"/>
              <a:gd name="T55" fmla="*/ 4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141" h="69">
                <a:moveTo>
                  <a:pt x="0" y="4"/>
                </a:moveTo>
                <a:lnTo>
                  <a:pt x="10" y="13"/>
                </a:lnTo>
                <a:lnTo>
                  <a:pt x="20" y="20"/>
                </a:lnTo>
                <a:lnTo>
                  <a:pt x="30" y="28"/>
                </a:lnTo>
                <a:lnTo>
                  <a:pt x="41" y="34"/>
                </a:lnTo>
                <a:lnTo>
                  <a:pt x="52" y="41"/>
                </a:lnTo>
                <a:lnTo>
                  <a:pt x="64" y="46"/>
                </a:lnTo>
                <a:lnTo>
                  <a:pt x="75" y="52"/>
                </a:lnTo>
                <a:lnTo>
                  <a:pt x="88" y="56"/>
                </a:lnTo>
                <a:lnTo>
                  <a:pt x="100" y="60"/>
                </a:lnTo>
                <a:lnTo>
                  <a:pt x="111" y="63"/>
                </a:lnTo>
                <a:lnTo>
                  <a:pt x="124" y="66"/>
                </a:lnTo>
                <a:lnTo>
                  <a:pt x="137" y="69"/>
                </a:lnTo>
                <a:lnTo>
                  <a:pt x="141" y="69"/>
                </a:lnTo>
                <a:lnTo>
                  <a:pt x="141" y="59"/>
                </a:lnTo>
                <a:lnTo>
                  <a:pt x="131" y="57"/>
                </a:lnTo>
                <a:lnTo>
                  <a:pt x="119" y="55"/>
                </a:lnTo>
                <a:lnTo>
                  <a:pt x="107" y="52"/>
                </a:lnTo>
                <a:lnTo>
                  <a:pt x="95" y="48"/>
                </a:lnTo>
                <a:lnTo>
                  <a:pt x="84" y="44"/>
                </a:lnTo>
                <a:lnTo>
                  <a:pt x="72" y="39"/>
                </a:lnTo>
                <a:lnTo>
                  <a:pt x="61" y="34"/>
                </a:lnTo>
                <a:lnTo>
                  <a:pt x="50" y="28"/>
                </a:lnTo>
                <a:lnTo>
                  <a:pt x="40" y="22"/>
                </a:lnTo>
                <a:lnTo>
                  <a:pt x="29" y="15"/>
                </a:lnTo>
                <a:lnTo>
                  <a:pt x="19" y="8"/>
                </a:lnTo>
                <a:lnTo>
                  <a:pt x="9" y="0"/>
                </a:lnTo>
                <a:lnTo>
                  <a:pt x="0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90" name="Freeform 8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394335" y="554990"/>
            <a:ext cx="118745" cy="53340"/>
          </a:xfrm>
          <a:custGeom>
            <a:avLst/>
            <a:gdLst>
              <a:gd name="T0" fmla="*/ 187 w 187"/>
              <a:gd name="T1" fmla="*/ 84 h 84"/>
              <a:gd name="T2" fmla="*/ 176 w 187"/>
              <a:gd name="T3" fmla="*/ 83 h 84"/>
              <a:gd name="T4" fmla="*/ 163 w 187"/>
              <a:gd name="T5" fmla="*/ 81 h 84"/>
              <a:gd name="T6" fmla="*/ 150 w 187"/>
              <a:gd name="T7" fmla="*/ 79 h 84"/>
              <a:gd name="T8" fmla="*/ 137 w 187"/>
              <a:gd name="T9" fmla="*/ 77 h 84"/>
              <a:gd name="T10" fmla="*/ 124 w 187"/>
              <a:gd name="T11" fmla="*/ 74 h 84"/>
              <a:gd name="T12" fmla="*/ 112 w 187"/>
              <a:gd name="T13" fmla="*/ 70 h 84"/>
              <a:gd name="T14" fmla="*/ 99 w 187"/>
              <a:gd name="T15" fmla="*/ 65 h 84"/>
              <a:gd name="T16" fmla="*/ 87 w 187"/>
              <a:gd name="T17" fmla="*/ 61 h 84"/>
              <a:gd name="T18" fmla="*/ 75 w 187"/>
              <a:gd name="T19" fmla="*/ 55 h 84"/>
              <a:gd name="T20" fmla="*/ 63 w 187"/>
              <a:gd name="T21" fmla="*/ 50 h 84"/>
              <a:gd name="T22" fmla="*/ 52 w 187"/>
              <a:gd name="T23" fmla="*/ 43 h 84"/>
              <a:gd name="T24" fmla="*/ 41 w 187"/>
              <a:gd name="T25" fmla="*/ 36 h 84"/>
              <a:gd name="T26" fmla="*/ 30 w 187"/>
              <a:gd name="T27" fmla="*/ 29 h 84"/>
              <a:gd name="T28" fmla="*/ 20 w 187"/>
              <a:gd name="T29" fmla="*/ 21 h 84"/>
              <a:gd name="T30" fmla="*/ 10 w 187"/>
              <a:gd name="T31" fmla="*/ 13 h 84"/>
              <a:gd name="T32" fmla="*/ 0 w 187"/>
              <a:gd name="T33" fmla="*/ 4 h 84"/>
              <a:gd name="T34" fmla="*/ 8 w 187"/>
              <a:gd name="T35" fmla="*/ 0 h 84"/>
              <a:gd name="T36" fmla="*/ 19 w 187"/>
              <a:gd name="T37" fmla="*/ 9 h 84"/>
              <a:gd name="T38" fmla="*/ 28 w 187"/>
              <a:gd name="T39" fmla="*/ 16 h 84"/>
              <a:gd name="T40" fmla="*/ 40 w 187"/>
              <a:gd name="T41" fmla="*/ 24 h 84"/>
              <a:gd name="T42" fmla="*/ 51 w 187"/>
              <a:gd name="T43" fmla="*/ 31 h 84"/>
              <a:gd name="T44" fmla="*/ 62 w 187"/>
              <a:gd name="T45" fmla="*/ 38 h 84"/>
              <a:gd name="T46" fmla="*/ 73 w 187"/>
              <a:gd name="T47" fmla="*/ 44 h 84"/>
              <a:gd name="T48" fmla="*/ 85 w 187"/>
              <a:gd name="T49" fmla="*/ 49 h 84"/>
              <a:gd name="T50" fmla="*/ 97 w 187"/>
              <a:gd name="T51" fmla="*/ 54 h 84"/>
              <a:gd name="T52" fmla="*/ 110 w 187"/>
              <a:gd name="T53" fmla="*/ 59 h 84"/>
              <a:gd name="T54" fmla="*/ 122 w 187"/>
              <a:gd name="T55" fmla="*/ 63 h 84"/>
              <a:gd name="T56" fmla="*/ 134 w 187"/>
              <a:gd name="T57" fmla="*/ 66 h 84"/>
              <a:gd name="T58" fmla="*/ 147 w 187"/>
              <a:gd name="T59" fmla="*/ 69 h 84"/>
              <a:gd name="T60" fmla="*/ 160 w 187"/>
              <a:gd name="T61" fmla="*/ 71 h 84"/>
              <a:gd name="T62" fmla="*/ 173 w 187"/>
              <a:gd name="T63" fmla="*/ 74 h 84"/>
              <a:gd name="T64" fmla="*/ 184 w 187"/>
              <a:gd name="T65" fmla="*/ 75 h 84"/>
              <a:gd name="T66" fmla="*/ 187 w 187"/>
              <a:gd name="T67" fmla="*/ 84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7" h="84">
                <a:moveTo>
                  <a:pt x="187" y="84"/>
                </a:moveTo>
                <a:lnTo>
                  <a:pt x="176" y="83"/>
                </a:lnTo>
                <a:lnTo>
                  <a:pt x="163" y="81"/>
                </a:lnTo>
                <a:lnTo>
                  <a:pt x="150" y="79"/>
                </a:lnTo>
                <a:lnTo>
                  <a:pt x="137" y="77"/>
                </a:lnTo>
                <a:lnTo>
                  <a:pt x="124" y="74"/>
                </a:lnTo>
                <a:lnTo>
                  <a:pt x="112" y="70"/>
                </a:lnTo>
                <a:lnTo>
                  <a:pt x="99" y="65"/>
                </a:lnTo>
                <a:lnTo>
                  <a:pt x="87" y="61"/>
                </a:lnTo>
                <a:lnTo>
                  <a:pt x="75" y="55"/>
                </a:lnTo>
                <a:lnTo>
                  <a:pt x="63" y="50"/>
                </a:lnTo>
                <a:lnTo>
                  <a:pt x="52" y="43"/>
                </a:lnTo>
                <a:lnTo>
                  <a:pt x="41" y="36"/>
                </a:lnTo>
                <a:lnTo>
                  <a:pt x="30" y="29"/>
                </a:lnTo>
                <a:lnTo>
                  <a:pt x="20" y="21"/>
                </a:lnTo>
                <a:lnTo>
                  <a:pt x="10" y="13"/>
                </a:lnTo>
                <a:lnTo>
                  <a:pt x="0" y="4"/>
                </a:lnTo>
                <a:lnTo>
                  <a:pt x="8" y="0"/>
                </a:lnTo>
                <a:lnTo>
                  <a:pt x="19" y="9"/>
                </a:lnTo>
                <a:lnTo>
                  <a:pt x="28" y="16"/>
                </a:lnTo>
                <a:lnTo>
                  <a:pt x="40" y="24"/>
                </a:lnTo>
                <a:lnTo>
                  <a:pt x="51" y="31"/>
                </a:lnTo>
                <a:lnTo>
                  <a:pt x="62" y="38"/>
                </a:lnTo>
                <a:lnTo>
                  <a:pt x="73" y="44"/>
                </a:lnTo>
                <a:lnTo>
                  <a:pt x="85" y="49"/>
                </a:lnTo>
                <a:lnTo>
                  <a:pt x="97" y="54"/>
                </a:lnTo>
                <a:lnTo>
                  <a:pt x="110" y="59"/>
                </a:lnTo>
                <a:lnTo>
                  <a:pt x="122" y="63"/>
                </a:lnTo>
                <a:lnTo>
                  <a:pt x="134" y="66"/>
                </a:lnTo>
                <a:lnTo>
                  <a:pt x="147" y="69"/>
                </a:lnTo>
                <a:lnTo>
                  <a:pt x="160" y="71"/>
                </a:lnTo>
                <a:lnTo>
                  <a:pt x="173" y="74"/>
                </a:lnTo>
                <a:lnTo>
                  <a:pt x="184" y="75"/>
                </a:lnTo>
                <a:lnTo>
                  <a:pt x="187" y="8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91" name="Freeform 9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353060" y="443865"/>
            <a:ext cx="50165" cy="85090"/>
          </a:xfrm>
          <a:custGeom>
            <a:avLst/>
            <a:gdLst>
              <a:gd name="T0" fmla="*/ 74 w 79"/>
              <a:gd name="T1" fmla="*/ 134 h 134"/>
              <a:gd name="T2" fmla="*/ 70 w 79"/>
              <a:gd name="T3" fmla="*/ 131 h 134"/>
              <a:gd name="T4" fmla="*/ 62 w 79"/>
              <a:gd name="T5" fmla="*/ 121 h 134"/>
              <a:gd name="T6" fmla="*/ 52 w 79"/>
              <a:gd name="T7" fmla="*/ 112 h 134"/>
              <a:gd name="T8" fmla="*/ 45 w 79"/>
              <a:gd name="T9" fmla="*/ 101 h 134"/>
              <a:gd name="T10" fmla="*/ 37 w 79"/>
              <a:gd name="T11" fmla="*/ 91 h 134"/>
              <a:gd name="T12" fmla="*/ 30 w 79"/>
              <a:gd name="T13" fmla="*/ 81 h 134"/>
              <a:gd name="T14" fmla="*/ 24 w 79"/>
              <a:gd name="T15" fmla="*/ 69 h 134"/>
              <a:gd name="T16" fmla="*/ 19 w 79"/>
              <a:gd name="T17" fmla="*/ 59 h 134"/>
              <a:gd name="T18" fmla="*/ 14 w 79"/>
              <a:gd name="T19" fmla="*/ 47 h 134"/>
              <a:gd name="T20" fmla="*/ 10 w 79"/>
              <a:gd name="T21" fmla="*/ 35 h 134"/>
              <a:gd name="T22" fmla="*/ 6 w 79"/>
              <a:gd name="T23" fmla="*/ 24 h 134"/>
              <a:gd name="T24" fmla="*/ 3 w 79"/>
              <a:gd name="T25" fmla="*/ 12 h 134"/>
              <a:gd name="T26" fmla="*/ 0 w 79"/>
              <a:gd name="T27" fmla="*/ 0 h 134"/>
              <a:gd name="T28" fmla="*/ 12 w 79"/>
              <a:gd name="T29" fmla="*/ 0 h 134"/>
              <a:gd name="T30" fmla="*/ 15 w 79"/>
              <a:gd name="T31" fmla="*/ 12 h 134"/>
              <a:gd name="T32" fmla="*/ 17 w 79"/>
              <a:gd name="T33" fmla="*/ 24 h 134"/>
              <a:gd name="T34" fmla="*/ 21 w 79"/>
              <a:gd name="T35" fmla="*/ 35 h 134"/>
              <a:gd name="T36" fmla="*/ 25 w 79"/>
              <a:gd name="T37" fmla="*/ 46 h 134"/>
              <a:gd name="T38" fmla="*/ 30 w 79"/>
              <a:gd name="T39" fmla="*/ 57 h 134"/>
              <a:gd name="T40" fmla="*/ 36 w 79"/>
              <a:gd name="T41" fmla="*/ 68 h 134"/>
              <a:gd name="T42" fmla="*/ 42 w 79"/>
              <a:gd name="T43" fmla="*/ 79 h 134"/>
              <a:gd name="T44" fmla="*/ 49 w 79"/>
              <a:gd name="T45" fmla="*/ 89 h 134"/>
              <a:gd name="T46" fmla="*/ 57 w 79"/>
              <a:gd name="T47" fmla="*/ 100 h 134"/>
              <a:gd name="T48" fmla="*/ 64 w 79"/>
              <a:gd name="T49" fmla="*/ 109 h 134"/>
              <a:gd name="T50" fmla="*/ 73 w 79"/>
              <a:gd name="T51" fmla="*/ 119 h 134"/>
              <a:gd name="T52" fmla="*/ 79 w 79"/>
              <a:gd name="T53" fmla="*/ 125 h 134"/>
              <a:gd name="T54" fmla="*/ 74 w 79"/>
              <a:gd name="T55" fmla="*/ 134 h 13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79" h="134">
                <a:moveTo>
                  <a:pt x="74" y="134"/>
                </a:moveTo>
                <a:lnTo>
                  <a:pt x="70" y="131"/>
                </a:lnTo>
                <a:lnTo>
                  <a:pt x="62" y="121"/>
                </a:lnTo>
                <a:lnTo>
                  <a:pt x="52" y="112"/>
                </a:lnTo>
                <a:lnTo>
                  <a:pt x="45" y="101"/>
                </a:lnTo>
                <a:lnTo>
                  <a:pt x="37" y="91"/>
                </a:lnTo>
                <a:lnTo>
                  <a:pt x="30" y="81"/>
                </a:lnTo>
                <a:lnTo>
                  <a:pt x="24" y="69"/>
                </a:lnTo>
                <a:lnTo>
                  <a:pt x="19" y="59"/>
                </a:lnTo>
                <a:lnTo>
                  <a:pt x="14" y="47"/>
                </a:lnTo>
                <a:lnTo>
                  <a:pt x="10" y="35"/>
                </a:lnTo>
                <a:lnTo>
                  <a:pt x="6" y="24"/>
                </a:lnTo>
                <a:lnTo>
                  <a:pt x="3" y="12"/>
                </a:lnTo>
                <a:lnTo>
                  <a:pt x="0" y="0"/>
                </a:lnTo>
                <a:lnTo>
                  <a:pt x="12" y="0"/>
                </a:lnTo>
                <a:lnTo>
                  <a:pt x="15" y="12"/>
                </a:lnTo>
                <a:lnTo>
                  <a:pt x="17" y="24"/>
                </a:lnTo>
                <a:lnTo>
                  <a:pt x="21" y="35"/>
                </a:lnTo>
                <a:lnTo>
                  <a:pt x="25" y="46"/>
                </a:lnTo>
                <a:lnTo>
                  <a:pt x="30" y="57"/>
                </a:lnTo>
                <a:lnTo>
                  <a:pt x="36" y="68"/>
                </a:lnTo>
                <a:lnTo>
                  <a:pt x="42" y="79"/>
                </a:lnTo>
                <a:lnTo>
                  <a:pt x="49" y="89"/>
                </a:lnTo>
                <a:lnTo>
                  <a:pt x="57" y="100"/>
                </a:lnTo>
                <a:lnTo>
                  <a:pt x="64" y="109"/>
                </a:lnTo>
                <a:lnTo>
                  <a:pt x="73" y="119"/>
                </a:lnTo>
                <a:lnTo>
                  <a:pt x="79" y="125"/>
                </a:lnTo>
                <a:lnTo>
                  <a:pt x="74" y="13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92" name="Freeform 9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333375" y="434975"/>
            <a:ext cx="60960" cy="112395"/>
          </a:xfrm>
          <a:custGeom>
            <a:avLst/>
            <a:gdLst>
              <a:gd name="T0" fmla="*/ 91 w 96"/>
              <a:gd name="T1" fmla="*/ 177 h 177"/>
              <a:gd name="T2" fmla="*/ 86 w 96"/>
              <a:gd name="T3" fmla="*/ 173 h 177"/>
              <a:gd name="T4" fmla="*/ 76 w 96"/>
              <a:gd name="T5" fmla="*/ 163 h 177"/>
              <a:gd name="T6" fmla="*/ 67 w 96"/>
              <a:gd name="T7" fmla="*/ 153 h 177"/>
              <a:gd name="T8" fmla="*/ 59 w 96"/>
              <a:gd name="T9" fmla="*/ 143 h 177"/>
              <a:gd name="T10" fmla="*/ 51 w 96"/>
              <a:gd name="T11" fmla="*/ 132 h 177"/>
              <a:gd name="T12" fmla="*/ 43 w 96"/>
              <a:gd name="T13" fmla="*/ 121 h 177"/>
              <a:gd name="T14" fmla="*/ 37 w 96"/>
              <a:gd name="T15" fmla="*/ 110 h 177"/>
              <a:gd name="T16" fmla="*/ 30 w 96"/>
              <a:gd name="T17" fmla="*/ 99 h 177"/>
              <a:gd name="T18" fmla="*/ 24 w 96"/>
              <a:gd name="T19" fmla="*/ 87 h 177"/>
              <a:gd name="T20" fmla="*/ 18 w 96"/>
              <a:gd name="T21" fmla="*/ 75 h 177"/>
              <a:gd name="T22" fmla="*/ 14 w 96"/>
              <a:gd name="T23" fmla="*/ 63 h 177"/>
              <a:gd name="T24" fmla="*/ 10 w 96"/>
              <a:gd name="T25" fmla="*/ 50 h 177"/>
              <a:gd name="T26" fmla="*/ 6 w 96"/>
              <a:gd name="T27" fmla="*/ 38 h 177"/>
              <a:gd name="T28" fmla="*/ 4 w 96"/>
              <a:gd name="T29" fmla="*/ 26 h 177"/>
              <a:gd name="T30" fmla="*/ 2 w 96"/>
              <a:gd name="T31" fmla="*/ 13 h 177"/>
              <a:gd name="T32" fmla="*/ 0 w 96"/>
              <a:gd name="T33" fmla="*/ 0 h 177"/>
              <a:gd name="T34" fmla="*/ 11 w 96"/>
              <a:gd name="T35" fmla="*/ 2 h 177"/>
              <a:gd name="T36" fmla="*/ 12 w 96"/>
              <a:gd name="T37" fmla="*/ 14 h 177"/>
              <a:gd name="T38" fmla="*/ 15 w 96"/>
              <a:gd name="T39" fmla="*/ 27 h 177"/>
              <a:gd name="T40" fmla="*/ 17 w 96"/>
              <a:gd name="T41" fmla="*/ 39 h 177"/>
              <a:gd name="T42" fmla="*/ 21 w 96"/>
              <a:gd name="T43" fmla="*/ 51 h 177"/>
              <a:gd name="T44" fmla="*/ 25 w 96"/>
              <a:gd name="T45" fmla="*/ 63 h 177"/>
              <a:gd name="T46" fmla="*/ 30 w 96"/>
              <a:gd name="T47" fmla="*/ 75 h 177"/>
              <a:gd name="T48" fmla="*/ 35 w 96"/>
              <a:gd name="T49" fmla="*/ 86 h 177"/>
              <a:gd name="T50" fmla="*/ 41 w 96"/>
              <a:gd name="T51" fmla="*/ 98 h 177"/>
              <a:gd name="T52" fmla="*/ 47 w 96"/>
              <a:gd name="T53" fmla="*/ 109 h 177"/>
              <a:gd name="T54" fmla="*/ 55 w 96"/>
              <a:gd name="T55" fmla="*/ 120 h 177"/>
              <a:gd name="T56" fmla="*/ 62 w 96"/>
              <a:gd name="T57" fmla="*/ 130 h 177"/>
              <a:gd name="T58" fmla="*/ 71 w 96"/>
              <a:gd name="T59" fmla="*/ 141 h 177"/>
              <a:gd name="T60" fmla="*/ 79 w 96"/>
              <a:gd name="T61" fmla="*/ 151 h 177"/>
              <a:gd name="T62" fmla="*/ 87 w 96"/>
              <a:gd name="T63" fmla="*/ 160 h 177"/>
              <a:gd name="T64" fmla="*/ 96 w 96"/>
              <a:gd name="T65" fmla="*/ 168 h 177"/>
              <a:gd name="T66" fmla="*/ 91 w 96"/>
              <a:gd name="T67" fmla="*/ 177 h 1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96" h="177">
                <a:moveTo>
                  <a:pt x="91" y="177"/>
                </a:moveTo>
                <a:lnTo>
                  <a:pt x="86" y="173"/>
                </a:lnTo>
                <a:lnTo>
                  <a:pt x="76" y="163"/>
                </a:lnTo>
                <a:lnTo>
                  <a:pt x="67" y="153"/>
                </a:lnTo>
                <a:lnTo>
                  <a:pt x="59" y="143"/>
                </a:lnTo>
                <a:lnTo>
                  <a:pt x="51" y="132"/>
                </a:lnTo>
                <a:lnTo>
                  <a:pt x="43" y="121"/>
                </a:lnTo>
                <a:lnTo>
                  <a:pt x="37" y="110"/>
                </a:lnTo>
                <a:lnTo>
                  <a:pt x="30" y="99"/>
                </a:lnTo>
                <a:lnTo>
                  <a:pt x="24" y="87"/>
                </a:lnTo>
                <a:lnTo>
                  <a:pt x="18" y="75"/>
                </a:lnTo>
                <a:lnTo>
                  <a:pt x="14" y="63"/>
                </a:lnTo>
                <a:lnTo>
                  <a:pt x="10" y="50"/>
                </a:lnTo>
                <a:lnTo>
                  <a:pt x="6" y="38"/>
                </a:lnTo>
                <a:lnTo>
                  <a:pt x="4" y="26"/>
                </a:lnTo>
                <a:lnTo>
                  <a:pt x="2" y="13"/>
                </a:lnTo>
                <a:lnTo>
                  <a:pt x="0" y="0"/>
                </a:lnTo>
                <a:lnTo>
                  <a:pt x="11" y="2"/>
                </a:lnTo>
                <a:lnTo>
                  <a:pt x="12" y="14"/>
                </a:lnTo>
                <a:lnTo>
                  <a:pt x="15" y="27"/>
                </a:lnTo>
                <a:lnTo>
                  <a:pt x="17" y="39"/>
                </a:lnTo>
                <a:lnTo>
                  <a:pt x="21" y="51"/>
                </a:lnTo>
                <a:lnTo>
                  <a:pt x="25" y="63"/>
                </a:lnTo>
                <a:lnTo>
                  <a:pt x="30" y="75"/>
                </a:lnTo>
                <a:lnTo>
                  <a:pt x="35" y="86"/>
                </a:lnTo>
                <a:lnTo>
                  <a:pt x="41" y="98"/>
                </a:lnTo>
                <a:lnTo>
                  <a:pt x="47" y="109"/>
                </a:lnTo>
                <a:lnTo>
                  <a:pt x="55" y="120"/>
                </a:lnTo>
                <a:lnTo>
                  <a:pt x="62" y="130"/>
                </a:lnTo>
                <a:lnTo>
                  <a:pt x="71" y="141"/>
                </a:lnTo>
                <a:lnTo>
                  <a:pt x="79" y="151"/>
                </a:lnTo>
                <a:lnTo>
                  <a:pt x="87" y="160"/>
                </a:lnTo>
                <a:lnTo>
                  <a:pt x="96" y="168"/>
                </a:lnTo>
                <a:lnTo>
                  <a:pt x="91" y="177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93" name="Freeform 9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363855" y="313690"/>
            <a:ext cx="39370" cy="86360"/>
          </a:xfrm>
          <a:custGeom>
            <a:avLst/>
            <a:gdLst>
              <a:gd name="T0" fmla="*/ 58 w 62"/>
              <a:gd name="T1" fmla="*/ 0 h 136"/>
              <a:gd name="T2" fmla="*/ 50 w 62"/>
              <a:gd name="T3" fmla="*/ 9 h 136"/>
              <a:gd name="T4" fmla="*/ 44 w 62"/>
              <a:gd name="T5" fmla="*/ 19 h 136"/>
              <a:gd name="T6" fmla="*/ 37 w 62"/>
              <a:gd name="T7" fmla="*/ 29 h 136"/>
              <a:gd name="T8" fmla="*/ 31 w 62"/>
              <a:gd name="T9" fmla="*/ 39 h 136"/>
              <a:gd name="T10" fmla="*/ 26 w 62"/>
              <a:gd name="T11" fmla="*/ 50 h 136"/>
              <a:gd name="T12" fmla="*/ 20 w 62"/>
              <a:gd name="T13" fmla="*/ 61 h 136"/>
              <a:gd name="T14" fmla="*/ 16 w 62"/>
              <a:gd name="T15" fmla="*/ 73 h 136"/>
              <a:gd name="T16" fmla="*/ 12 w 62"/>
              <a:gd name="T17" fmla="*/ 84 h 136"/>
              <a:gd name="T18" fmla="*/ 9 w 62"/>
              <a:gd name="T19" fmla="*/ 96 h 136"/>
              <a:gd name="T20" fmla="*/ 5 w 62"/>
              <a:gd name="T21" fmla="*/ 108 h 136"/>
              <a:gd name="T22" fmla="*/ 3 w 62"/>
              <a:gd name="T23" fmla="*/ 120 h 136"/>
              <a:gd name="T24" fmla="*/ 1 w 62"/>
              <a:gd name="T25" fmla="*/ 132 h 136"/>
              <a:gd name="T26" fmla="*/ 0 w 62"/>
              <a:gd name="T27" fmla="*/ 136 h 136"/>
              <a:gd name="T28" fmla="*/ 9 w 62"/>
              <a:gd name="T29" fmla="*/ 136 h 136"/>
              <a:gd name="T30" fmla="*/ 11 w 62"/>
              <a:gd name="T31" fmla="*/ 126 h 136"/>
              <a:gd name="T32" fmla="*/ 13 w 62"/>
              <a:gd name="T33" fmla="*/ 114 h 136"/>
              <a:gd name="T34" fmla="*/ 15 w 62"/>
              <a:gd name="T35" fmla="*/ 103 h 136"/>
              <a:gd name="T36" fmla="*/ 18 w 62"/>
              <a:gd name="T37" fmla="*/ 91 h 136"/>
              <a:gd name="T38" fmla="*/ 22 w 62"/>
              <a:gd name="T39" fmla="*/ 80 h 136"/>
              <a:gd name="T40" fmla="*/ 27 w 62"/>
              <a:gd name="T41" fmla="*/ 69 h 136"/>
              <a:gd name="T42" fmla="*/ 32 w 62"/>
              <a:gd name="T43" fmla="*/ 58 h 136"/>
              <a:gd name="T44" fmla="*/ 37 w 62"/>
              <a:gd name="T45" fmla="*/ 48 h 136"/>
              <a:gd name="T46" fmla="*/ 43 w 62"/>
              <a:gd name="T47" fmla="*/ 38 h 136"/>
              <a:gd name="T48" fmla="*/ 49 w 62"/>
              <a:gd name="T49" fmla="*/ 27 h 136"/>
              <a:gd name="T50" fmla="*/ 55 w 62"/>
              <a:gd name="T51" fmla="*/ 18 h 136"/>
              <a:gd name="T52" fmla="*/ 62 w 62"/>
              <a:gd name="T53" fmla="*/ 8 h 136"/>
              <a:gd name="T54" fmla="*/ 58 w 62"/>
              <a:gd name="T5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62" h="136">
                <a:moveTo>
                  <a:pt x="58" y="0"/>
                </a:moveTo>
                <a:lnTo>
                  <a:pt x="50" y="9"/>
                </a:lnTo>
                <a:lnTo>
                  <a:pt x="44" y="19"/>
                </a:lnTo>
                <a:lnTo>
                  <a:pt x="37" y="29"/>
                </a:lnTo>
                <a:lnTo>
                  <a:pt x="31" y="39"/>
                </a:lnTo>
                <a:lnTo>
                  <a:pt x="26" y="50"/>
                </a:lnTo>
                <a:lnTo>
                  <a:pt x="20" y="61"/>
                </a:lnTo>
                <a:lnTo>
                  <a:pt x="16" y="73"/>
                </a:lnTo>
                <a:lnTo>
                  <a:pt x="12" y="84"/>
                </a:lnTo>
                <a:lnTo>
                  <a:pt x="9" y="96"/>
                </a:lnTo>
                <a:lnTo>
                  <a:pt x="5" y="108"/>
                </a:lnTo>
                <a:lnTo>
                  <a:pt x="3" y="120"/>
                </a:lnTo>
                <a:lnTo>
                  <a:pt x="1" y="132"/>
                </a:lnTo>
                <a:lnTo>
                  <a:pt x="0" y="136"/>
                </a:lnTo>
                <a:lnTo>
                  <a:pt x="9" y="136"/>
                </a:lnTo>
                <a:lnTo>
                  <a:pt x="11" y="126"/>
                </a:lnTo>
                <a:lnTo>
                  <a:pt x="13" y="114"/>
                </a:lnTo>
                <a:lnTo>
                  <a:pt x="15" y="103"/>
                </a:lnTo>
                <a:lnTo>
                  <a:pt x="18" y="91"/>
                </a:lnTo>
                <a:lnTo>
                  <a:pt x="22" y="80"/>
                </a:lnTo>
                <a:lnTo>
                  <a:pt x="27" y="69"/>
                </a:lnTo>
                <a:lnTo>
                  <a:pt x="32" y="58"/>
                </a:lnTo>
                <a:lnTo>
                  <a:pt x="37" y="48"/>
                </a:lnTo>
                <a:lnTo>
                  <a:pt x="43" y="38"/>
                </a:lnTo>
                <a:lnTo>
                  <a:pt x="49" y="27"/>
                </a:lnTo>
                <a:lnTo>
                  <a:pt x="55" y="18"/>
                </a:lnTo>
                <a:lnTo>
                  <a:pt x="62" y="8"/>
                </a:lnTo>
                <a:lnTo>
                  <a:pt x="58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94" name="Freeform 9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333375" y="287655"/>
            <a:ext cx="60960" cy="121285"/>
          </a:xfrm>
          <a:custGeom>
            <a:avLst/>
            <a:gdLst>
              <a:gd name="T0" fmla="*/ 0 w 96"/>
              <a:gd name="T1" fmla="*/ 191 h 191"/>
              <a:gd name="T2" fmla="*/ 1 w 96"/>
              <a:gd name="T3" fmla="*/ 180 h 191"/>
              <a:gd name="T4" fmla="*/ 3 w 96"/>
              <a:gd name="T5" fmla="*/ 167 h 191"/>
              <a:gd name="T6" fmla="*/ 5 w 96"/>
              <a:gd name="T7" fmla="*/ 154 h 191"/>
              <a:gd name="T8" fmla="*/ 8 w 96"/>
              <a:gd name="T9" fmla="*/ 140 h 191"/>
              <a:gd name="T10" fmla="*/ 12 w 96"/>
              <a:gd name="T11" fmla="*/ 127 h 191"/>
              <a:gd name="T12" fmla="*/ 16 w 96"/>
              <a:gd name="T13" fmla="*/ 114 h 191"/>
              <a:gd name="T14" fmla="*/ 21 w 96"/>
              <a:gd name="T15" fmla="*/ 102 h 191"/>
              <a:gd name="T16" fmla="*/ 26 w 96"/>
              <a:gd name="T17" fmla="*/ 89 h 191"/>
              <a:gd name="T18" fmla="*/ 33 w 96"/>
              <a:gd name="T19" fmla="*/ 77 h 191"/>
              <a:gd name="T20" fmla="*/ 39 w 96"/>
              <a:gd name="T21" fmla="*/ 65 h 191"/>
              <a:gd name="T22" fmla="*/ 46 w 96"/>
              <a:gd name="T23" fmla="*/ 53 h 191"/>
              <a:gd name="T24" fmla="*/ 54 w 96"/>
              <a:gd name="T25" fmla="*/ 42 h 191"/>
              <a:gd name="T26" fmla="*/ 62 w 96"/>
              <a:gd name="T27" fmla="*/ 31 h 191"/>
              <a:gd name="T28" fmla="*/ 72 w 96"/>
              <a:gd name="T29" fmla="*/ 20 h 191"/>
              <a:gd name="T30" fmla="*/ 81 w 96"/>
              <a:gd name="T31" fmla="*/ 10 h 191"/>
              <a:gd name="T32" fmla="*/ 91 w 96"/>
              <a:gd name="T33" fmla="*/ 0 h 191"/>
              <a:gd name="T34" fmla="*/ 96 w 96"/>
              <a:gd name="T35" fmla="*/ 9 h 191"/>
              <a:gd name="T36" fmla="*/ 86 w 96"/>
              <a:gd name="T37" fmla="*/ 19 h 191"/>
              <a:gd name="T38" fmla="*/ 77 w 96"/>
              <a:gd name="T39" fmla="*/ 29 h 191"/>
              <a:gd name="T40" fmla="*/ 68 w 96"/>
              <a:gd name="T41" fmla="*/ 40 h 191"/>
              <a:gd name="T42" fmla="*/ 60 w 96"/>
              <a:gd name="T43" fmla="*/ 52 h 191"/>
              <a:gd name="T44" fmla="*/ 53 w 96"/>
              <a:gd name="T45" fmla="*/ 63 h 191"/>
              <a:gd name="T46" fmla="*/ 46 w 96"/>
              <a:gd name="T47" fmla="*/ 75 h 191"/>
              <a:gd name="T48" fmla="*/ 39 w 96"/>
              <a:gd name="T49" fmla="*/ 87 h 191"/>
              <a:gd name="T50" fmla="*/ 34 w 96"/>
              <a:gd name="T51" fmla="*/ 99 h 191"/>
              <a:gd name="T52" fmla="*/ 29 w 96"/>
              <a:gd name="T53" fmla="*/ 112 h 191"/>
              <a:gd name="T54" fmla="*/ 24 w 96"/>
              <a:gd name="T55" fmla="*/ 124 h 191"/>
              <a:gd name="T56" fmla="*/ 20 w 96"/>
              <a:gd name="T57" fmla="*/ 138 h 191"/>
              <a:gd name="T58" fmla="*/ 17 w 96"/>
              <a:gd name="T59" fmla="*/ 151 h 191"/>
              <a:gd name="T60" fmla="*/ 14 w 96"/>
              <a:gd name="T61" fmla="*/ 164 h 191"/>
              <a:gd name="T62" fmla="*/ 12 w 96"/>
              <a:gd name="T63" fmla="*/ 178 h 191"/>
              <a:gd name="T64" fmla="*/ 12 w 96"/>
              <a:gd name="T65" fmla="*/ 188 h 191"/>
              <a:gd name="T66" fmla="*/ 0 w 96"/>
              <a:gd name="T67" fmla="*/ 191 h 1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96" h="191">
                <a:moveTo>
                  <a:pt x="0" y="191"/>
                </a:moveTo>
                <a:lnTo>
                  <a:pt x="1" y="180"/>
                </a:lnTo>
                <a:lnTo>
                  <a:pt x="3" y="167"/>
                </a:lnTo>
                <a:lnTo>
                  <a:pt x="5" y="154"/>
                </a:lnTo>
                <a:lnTo>
                  <a:pt x="8" y="140"/>
                </a:lnTo>
                <a:lnTo>
                  <a:pt x="12" y="127"/>
                </a:lnTo>
                <a:lnTo>
                  <a:pt x="16" y="114"/>
                </a:lnTo>
                <a:lnTo>
                  <a:pt x="21" y="102"/>
                </a:lnTo>
                <a:lnTo>
                  <a:pt x="26" y="89"/>
                </a:lnTo>
                <a:lnTo>
                  <a:pt x="33" y="77"/>
                </a:lnTo>
                <a:lnTo>
                  <a:pt x="39" y="65"/>
                </a:lnTo>
                <a:lnTo>
                  <a:pt x="46" y="53"/>
                </a:lnTo>
                <a:lnTo>
                  <a:pt x="54" y="42"/>
                </a:lnTo>
                <a:lnTo>
                  <a:pt x="62" y="31"/>
                </a:lnTo>
                <a:lnTo>
                  <a:pt x="72" y="20"/>
                </a:lnTo>
                <a:lnTo>
                  <a:pt x="81" y="10"/>
                </a:lnTo>
                <a:lnTo>
                  <a:pt x="91" y="0"/>
                </a:lnTo>
                <a:lnTo>
                  <a:pt x="96" y="9"/>
                </a:lnTo>
                <a:lnTo>
                  <a:pt x="86" y="19"/>
                </a:lnTo>
                <a:lnTo>
                  <a:pt x="77" y="29"/>
                </a:lnTo>
                <a:lnTo>
                  <a:pt x="68" y="40"/>
                </a:lnTo>
                <a:lnTo>
                  <a:pt x="60" y="52"/>
                </a:lnTo>
                <a:lnTo>
                  <a:pt x="53" y="63"/>
                </a:lnTo>
                <a:lnTo>
                  <a:pt x="46" y="75"/>
                </a:lnTo>
                <a:lnTo>
                  <a:pt x="39" y="87"/>
                </a:lnTo>
                <a:lnTo>
                  <a:pt x="34" y="99"/>
                </a:lnTo>
                <a:lnTo>
                  <a:pt x="29" y="112"/>
                </a:lnTo>
                <a:lnTo>
                  <a:pt x="24" y="124"/>
                </a:lnTo>
                <a:lnTo>
                  <a:pt x="20" y="138"/>
                </a:lnTo>
                <a:lnTo>
                  <a:pt x="17" y="151"/>
                </a:lnTo>
                <a:lnTo>
                  <a:pt x="14" y="164"/>
                </a:lnTo>
                <a:lnTo>
                  <a:pt x="12" y="178"/>
                </a:lnTo>
                <a:lnTo>
                  <a:pt x="12" y="188"/>
                </a:lnTo>
                <a:lnTo>
                  <a:pt x="0" y="19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95" name="Freeform 9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/>
          </xdr:cNvSpPr>
        </xdr:nvSpPr>
        <xdr:spPr bwMode="auto">
          <a:xfrm>
            <a:off x="414020" y="252730"/>
            <a:ext cx="89535" cy="43815"/>
          </a:xfrm>
          <a:custGeom>
            <a:avLst/>
            <a:gdLst>
              <a:gd name="T0" fmla="*/ 0 w 141"/>
              <a:gd name="T1" fmla="*/ 65 h 69"/>
              <a:gd name="T2" fmla="*/ 4 w 141"/>
              <a:gd name="T3" fmla="*/ 61 h 69"/>
              <a:gd name="T4" fmla="*/ 14 w 141"/>
              <a:gd name="T5" fmla="*/ 54 h 69"/>
              <a:gd name="T6" fmla="*/ 24 w 141"/>
              <a:gd name="T7" fmla="*/ 46 h 69"/>
              <a:gd name="T8" fmla="*/ 35 w 141"/>
              <a:gd name="T9" fmla="*/ 39 h 69"/>
              <a:gd name="T10" fmla="*/ 45 w 141"/>
              <a:gd name="T11" fmla="*/ 32 h 69"/>
              <a:gd name="T12" fmla="*/ 57 w 141"/>
              <a:gd name="T13" fmla="*/ 26 h 69"/>
              <a:gd name="T14" fmla="*/ 68 w 141"/>
              <a:gd name="T15" fmla="*/ 21 h 69"/>
              <a:gd name="T16" fmla="*/ 80 w 141"/>
              <a:gd name="T17" fmla="*/ 16 h 69"/>
              <a:gd name="T18" fmla="*/ 92 w 141"/>
              <a:gd name="T19" fmla="*/ 11 h 69"/>
              <a:gd name="T20" fmla="*/ 104 w 141"/>
              <a:gd name="T21" fmla="*/ 8 h 69"/>
              <a:gd name="T22" fmla="*/ 116 w 141"/>
              <a:gd name="T23" fmla="*/ 5 h 69"/>
              <a:gd name="T24" fmla="*/ 129 w 141"/>
              <a:gd name="T25" fmla="*/ 2 h 69"/>
              <a:gd name="T26" fmla="*/ 141 w 141"/>
              <a:gd name="T27" fmla="*/ 0 h 69"/>
              <a:gd name="T28" fmla="*/ 141 w 141"/>
              <a:gd name="T29" fmla="*/ 10 h 69"/>
              <a:gd name="T30" fmla="*/ 129 w 141"/>
              <a:gd name="T31" fmla="*/ 12 h 69"/>
              <a:gd name="T32" fmla="*/ 117 w 141"/>
              <a:gd name="T33" fmla="*/ 14 h 69"/>
              <a:gd name="T34" fmla="*/ 105 w 141"/>
              <a:gd name="T35" fmla="*/ 18 h 69"/>
              <a:gd name="T36" fmla="*/ 93 w 141"/>
              <a:gd name="T37" fmla="*/ 22 h 69"/>
              <a:gd name="T38" fmla="*/ 81 w 141"/>
              <a:gd name="T39" fmla="*/ 26 h 69"/>
              <a:gd name="T40" fmla="*/ 70 w 141"/>
              <a:gd name="T41" fmla="*/ 31 h 69"/>
              <a:gd name="T42" fmla="*/ 59 w 141"/>
              <a:gd name="T43" fmla="*/ 36 h 69"/>
              <a:gd name="T44" fmla="*/ 47 w 141"/>
              <a:gd name="T45" fmla="*/ 43 h 69"/>
              <a:gd name="T46" fmla="*/ 37 w 141"/>
              <a:gd name="T47" fmla="*/ 49 h 69"/>
              <a:gd name="T48" fmla="*/ 27 w 141"/>
              <a:gd name="T49" fmla="*/ 56 h 69"/>
              <a:gd name="T50" fmla="*/ 16 w 141"/>
              <a:gd name="T51" fmla="*/ 63 h 69"/>
              <a:gd name="T52" fmla="*/ 10 w 141"/>
              <a:gd name="T53" fmla="*/ 69 h 69"/>
              <a:gd name="T54" fmla="*/ 0 w 141"/>
              <a:gd name="T55" fmla="*/ 65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141" h="69">
                <a:moveTo>
                  <a:pt x="0" y="65"/>
                </a:moveTo>
                <a:lnTo>
                  <a:pt x="4" y="61"/>
                </a:lnTo>
                <a:lnTo>
                  <a:pt x="14" y="54"/>
                </a:lnTo>
                <a:lnTo>
                  <a:pt x="24" y="46"/>
                </a:lnTo>
                <a:lnTo>
                  <a:pt x="35" y="39"/>
                </a:lnTo>
                <a:lnTo>
                  <a:pt x="45" y="32"/>
                </a:lnTo>
                <a:lnTo>
                  <a:pt x="57" y="26"/>
                </a:lnTo>
                <a:lnTo>
                  <a:pt x="68" y="21"/>
                </a:lnTo>
                <a:lnTo>
                  <a:pt x="80" y="16"/>
                </a:lnTo>
                <a:lnTo>
                  <a:pt x="92" y="11"/>
                </a:lnTo>
                <a:lnTo>
                  <a:pt x="104" y="8"/>
                </a:lnTo>
                <a:lnTo>
                  <a:pt x="116" y="5"/>
                </a:lnTo>
                <a:lnTo>
                  <a:pt x="129" y="2"/>
                </a:lnTo>
                <a:lnTo>
                  <a:pt x="141" y="0"/>
                </a:lnTo>
                <a:lnTo>
                  <a:pt x="141" y="10"/>
                </a:lnTo>
                <a:lnTo>
                  <a:pt x="129" y="12"/>
                </a:lnTo>
                <a:lnTo>
                  <a:pt x="117" y="14"/>
                </a:lnTo>
                <a:lnTo>
                  <a:pt x="105" y="18"/>
                </a:lnTo>
                <a:lnTo>
                  <a:pt x="93" y="22"/>
                </a:lnTo>
                <a:lnTo>
                  <a:pt x="81" y="26"/>
                </a:lnTo>
                <a:lnTo>
                  <a:pt x="70" y="31"/>
                </a:lnTo>
                <a:lnTo>
                  <a:pt x="59" y="36"/>
                </a:lnTo>
                <a:lnTo>
                  <a:pt x="47" y="43"/>
                </a:lnTo>
                <a:lnTo>
                  <a:pt x="37" y="49"/>
                </a:lnTo>
                <a:lnTo>
                  <a:pt x="27" y="56"/>
                </a:lnTo>
                <a:lnTo>
                  <a:pt x="16" y="63"/>
                </a:lnTo>
                <a:lnTo>
                  <a:pt x="10" y="69"/>
                </a:lnTo>
                <a:lnTo>
                  <a:pt x="0" y="6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96" name="Freeform 9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/>
          </xdr:cNvSpPr>
        </xdr:nvSpPr>
        <xdr:spPr bwMode="auto">
          <a:xfrm>
            <a:off x="394335" y="226695"/>
            <a:ext cx="118745" cy="60960"/>
          </a:xfrm>
          <a:custGeom>
            <a:avLst/>
            <a:gdLst>
              <a:gd name="T0" fmla="*/ 0 w 187"/>
              <a:gd name="T1" fmla="*/ 91 h 96"/>
              <a:gd name="T2" fmla="*/ 4 w 187"/>
              <a:gd name="T3" fmla="*/ 87 h 96"/>
              <a:gd name="T4" fmla="*/ 15 w 187"/>
              <a:gd name="T5" fmla="*/ 77 h 96"/>
              <a:gd name="T6" fmla="*/ 25 w 187"/>
              <a:gd name="T7" fmla="*/ 68 h 96"/>
              <a:gd name="T8" fmla="*/ 36 w 187"/>
              <a:gd name="T9" fmla="*/ 59 h 96"/>
              <a:gd name="T10" fmla="*/ 47 w 187"/>
              <a:gd name="T11" fmla="*/ 51 h 96"/>
              <a:gd name="T12" fmla="*/ 59 w 187"/>
              <a:gd name="T13" fmla="*/ 44 h 96"/>
              <a:gd name="T14" fmla="*/ 70 w 187"/>
              <a:gd name="T15" fmla="*/ 37 h 96"/>
              <a:gd name="T16" fmla="*/ 83 w 187"/>
              <a:gd name="T17" fmla="*/ 30 h 96"/>
              <a:gd name="T18" fmla="*/ 95 w 187"/>
              <a:gd name="T19" fmla="*/ 25 h 96"/>
              <a:gd name="T20" fmla="*/ 107 w 187"/>
              <a:gd name="T21" fmla="*/ 19 h 96"/>
              <a:gd name="T22" fmla="*/ 120 w 187"/>
              <a:gd name="T23" fmla="*/ 14 h 96"/>
              <a:gd name="T24" fmla="*/ 134 w 187"/>
              <a:gd name="T25" fmla="*/ 10 h 96"/>
              <a:gd name="T26" fmla="*/ 146 w 187"/>
              <a:gd name="T27" fmla="*/ 7 h 96"/>
              <a:gd name="T28" fmla="*/ 160 w 187"/>
              <a:gd name="T29" fmla="*/ 5 h 96"/>
              <a:gd name="T30" fmla="*/ 174 w 187"/>
              <a:gd name="T31" fmla="*/ 2 h 96"/>
              <a:gd name="T32" fmla="*/ 187 w 187"/>
              <a:gd name="T33" fmla="*/ 0 h 96"/>
              <a:gd name="T34" fmla="*/ 185 w 187"/>
              <a:gd name="T35" fmla="*/ 12 h 96"/>
              <a:gd name="T36" fmla="*/ 173 w 187"/>
              <a:gd name="T37" fmla="*/ 13 h 96"/>
              <a:gd name="T38" fmla="*/ 159 w 187"/>
              <a:gd name="T39" fmla="*/ 15 h 96"/>
              <a:gd name="T40" fmla="*/ 146 w 187"/>
              <a:gd name="T41" fmla="*/ 18 h 96"/>
              <a:gd name="T42" fmla="*/ 134 w 187"/>
              <a:gd name="T43" fmla="*/ 21 h 96"/>
              <a:gd name="T44" fmla="*/ 120 w 187"/>
              <a:gd name="T45" fmla="*/ 26 h 96"/>
              <a:gd name="T46" fmla="*/ 107 w 187"/>
              <a:gd name="T47" fmla="*/ 30 h 96"/>
              <a:gd name="T48" fmla="*/ 96 w 187"/>
              <a:gd name="T49" fmla="*/ 36 h 96"/>
              <a:gd name="T50" fmla="*/ 84 w 187"/>
              <a:gd name="T51" fmla="*/ 42 h 96"/>
              <a:gd name="T52" fmla="*/ 72 w 187"/>
              <a:gd name="T53" fmla="*/ 48 h 96"/>
              <a:gd name="T54" fmla="*/ 61 w 187"/>
              <a:gd name="T55" fmla="*/ 55 h 96"/>
              <a:gd name="T56" fmla="*/ 49 w 187"/>
              <a:gd name="T57" fmla="*/ 62 h 96"/>
              <a:gd name="T58" fmla="*/ 38 w 187"/>
              <a:gd name="T59" fmla="*/ 71 h 96"/>
              <a:gd name="T60" fmla="*/ 27 w 187"/>
              <a:gd name="T61" fmla="*/ 79 h 96"/>
              <a:gd name="T62" fmla="*/ 18 w 187"/>
              <a:gd name="T63" fmla="*/ 88 h 96"/>
              <a:gd name="T64" fmla="*/ 9 w 187"/>
              <a:gd name="T65" fmla="*/ 96 h 96"/>
              <a:gd name="T66" fmla="*/ 0 w 187"/>
              <a:gd name="T67" fmla="*/ 91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7" h="96">
                <a:moveTo>
                  <a:pt x="0" y="91"/>
                </a:moveTo>
                <a:lnTo>
                  <a:pt x="4" y="87"/>
                </a:lnTo>
                <a:lnTo>
                  <a:pt x="15" y="77"/>
                </a:lnTo>
                <a:lnTo>
                  <a:pt x="25" y="68"/>
                </a:lnTo>
                <a:lnTo>
                  <a:pt x="36" y="59"/>
                </a:lnTo>
                <a:lnTo>
                  <a:pt x="47" y="51"/>
                </a:lnTo>
                <a:lnTo>
                  <a:pt x="59" y="44"/>
                </a:lnTo>
                <a:lnTo>
                  <a:pt x="70" y="37"/>
                </a:lnTo>
                <a:lnTo>
                  <a:pt x="83" y="30"/>
                </a:lnTo>
                <a:lnTo>
                  <a:pt x="95" y="25"/>
                </a:lnTo>
                <a:lnTo>
                  <a:pt x="107" y="19"/>
                </a:lnTo>
                <a:lnTo>
                  <a:pt x="120" y="14"/>
                </a:lnTo>
                <a:lnTo>
                  <a:pt x="134" y="10"/>
                </a:lnTo>
                <a:lnTo>
                  <a:pt x="146" y="7"/>
                </a:lnTo>
                <a:lnTo>
                  <a:pt x="160" y="5"/>
                </a:lnTo>
                <a:lnTo>
                  <a:pt x="174" y="2"/>
                </a:lnTo>
                <a:lnTo>
                  <a:pt x="187" y="0"/>
                </a:lnTo>
                <a:lnTo>
                  <a:pt x="185" y="12"/>
                </a:lnTo>
                <a:lnTo>
                  <a:pt x="173" y="13"/>
                </a:lnTo>
                <a:lnTo>
                  <a:pt x="159" y="15"/>
                </a:lnTo>
                <a:lnTo>
                  <a:pt x="146" y="18"/>
                </a:lnTo>
                <a:lnTo>
                  <a:pt x="134" y="21"/>
                </a:lnTo>
                <a:lnTo>
                  <a:pt x="120" y="26"/>
                </a:lnTo>
                <a:lnTo>
                  <a:pt x="107" y="30"/>
                </a:lnTo>
                <a:lnTo>
                  <a:pt x="96" y="36"/>
                </a:lnTo>
                <a:lnTo>
                  <a:pt x="84" y="42"/>
                </a:lnTo>
                <a:lnTo>
                  <a:pt x="72" y="48"/>
                </a:lnTo>
                <a:lnTo>
                  <a:pt x="61" y="55"/>
                </a:lnTo>
                <a:lnTo>
                  <a:pt x="49" y="62"/>
                </a:lnTo>
                <a:lnTo>
                  <a:pt x="38" y="71"/>
                </a:lnTo>
                <a:lnTo>
                  <a:pt x="27" y="79"/>
                </a:lnTo>
                <a:lnTo>
                  <a:pt x="18" y="88"/>
                </a:lnTo>
                <a:lnTo>
                  <a:pt x="9" y="96"/>
                </a:lnTo>
                <a:lnTo>
                  <a:pt x="0" y="9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97" name="Rectangle 9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503555" y="72390"/>
            <a:ext cx="9525" cy="77470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98" name="Freeform 9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/>
          </xdr:cNvSpPr>
        </xdr:nvSpPr>
        <xdr:spPr bwMode="auto">
          <a:xfrm>
            <a:off x="493395" y="72390"/>
            <a:ext cx="80645" cy="77470"/>
          </a:xfrm>
          <a:custGeom>
            <a:avLst/>
            <a:gdLst>
              <a:gd name="T0" fmla="*/ 127 w 127"/>
              <a:gd name="T1" fmla="*/ 122 h 122"/>
              <a:gd name="T2" fmla="*/ 29 w 127"/>
              <a:gd name="T3" fmla="*/ 0 h 122"/>
              <a:gd name="T4" fmla="*/ 0 w 127"/>
              <a:gd name="T5" fmla="*/ 0 h 122"/>
              <a:gd name="T6" fmla="*/ 95 w 127"/>
              <a:gd name="T7" fmla="*/ 122 h 122"/>
              <a:gd name="T8" fmla="*/ 127 w 127"/>
              <a:gd name="T9" fmla="*/ 122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27" h="122">
                <a:moveTo>
                  <a:pt x="127" y="122"/>
                </a:moveTo>
                <a:lnTo>
                  <a:pt x="29" y="0"/>
                </a:lnTo>
                <a:lnTo>
                  <a:pt x="0" y="0"/>
                </a:lnTo>
                <a:lnTo>
                  <a:pt x="95" y="122"/>
                </a:lnTo>
                <a:lnTo>
                  <a:pt x="127" y="12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99" name="Rectangle 9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ChangeArrowheads="1"/>
          </xdr:cNvSpPr>
        </xdr:nvSpPr>
        <xdr:spPr bwMode="auto">
          <a:xfrm>
            <a:off x="563245" y="72390"/>
            <a:ext cx="10795" cy="77470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100" name="Freeform 9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802005" y="383540"/>
            <a:ext cx="69850" cy="86360"/>
          </a:xfrm>
          <a:custGeom>
            <a:avLst/>
            <a:gdLst>
              <a:gd name="T0" fmla="*/ 0 w 110"/>
              <a:gd name="T1" fmla="*/ 0 h 136"/>
              <a:gd name="T2" fmla="*/ 9 w 110"/>
              <a:gd name="T3" fmla="*/ 14 h 136"/>
              <a:gd name="T4" fmla="*/ 9 w 110"/>
              <a:gd name="T5" fmla="*/ 122 h 136"/>
              <a:gd name="T6" fmla="*/ 0 w 110"/>
              <a:gd name="T7" fmla="*/ 136 h 136"/>
              <a:gd name="T8" fmla="*/ 110 w 110"/>
              <a:gd name="T9" fmla="*/ 136 h 136"/>
              <a:gd name="T10" fmla="*/ 110 w 110"/>
              <a:gd name="T11" fmla="*/ 127 h 136"/>
              <a:gd name="T12" fmla="*/ 35 w 110"/>
              <a:gd name="T13" fmla="*/ 127 h 136"/>
              <a:gd name="T14" fmla="*/ 35 w 110"/>
              <a:gd name="T15" fmla="*/ 68 h 136"/>
              <a:gd name="T16" fmla="*/ 103 w 110"/>
              <a:gd name="T17" fmla="*/ 68 h 136"/>
              <a:gd name="T18" fmla="*/ 103 w 110"/>
              <a:gd name="T19" fmla="*/ 59 h 136"/>
              <a:gd name="T20" fmla="*/ 35 w 110"/>
              <a:gd name="T21" fmla="*/ 59 h 136"/>
              <a:gd name="T22" fmla="*/ 35 w 110"/>
              <a:gd name="T23" fmla="*/ 9 h 136"/>
              <a:gd name="T24" fmla="*/ 110 w 110"/>
              <a:gd name="T25" fmla="*/ 9 h 136"/>
              <a:gd name="T26" fmla="*/ 110 w 110"/>
              <a:gd name="T27" fmla="*/ 0 h 136"/>
              <a:gd name="T28" fmla="*/ 0 w 110"/>
              <a:gd name="T29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0" h="136">
                <a:moveTo>
                  <a:pt x="0" y="0"/>
                </a:moveTo>
                <a:lnTo>
                  <a:pt x="9" y="14"/>
                </a:lnTo>
                <a:lnTo>
                  <a:pt x="9" y="122"/>
                </a:lnTo>
                <a:lnTo>
                  <a:pt x="0" y="136"/>
                </a:lnTo>
                <a:lnTo>
                  <a:pt x="110" y="136"/>
                </a:lnTo>
                <a:lnTo>
                  <a:pt x="110" y="127"/>
                </a:lnTo>
                <a:lnTo>
                  <a:pt x="35" y="127"/>
                </a:lnTo>
                <a:lnTo>
                  <a:pt x="35" y="68"/>
                </a:lnTo>
                <a:lnTo>
                  <a:pt x="103" y="68"/>
                </a:lnTo>
                <a:lnTo>
                  <a:pt x="103" y="59"/>
                </a:lnTo>
                <a:lnTo>
                  <a:pt x="35" y="59"/>
                </a:lnTo>
                <a:lnTo>
                  <a:pt x="35" y="9"/>
                </a:lnTo>
                <a:lnTo>
                  <a:pt x="110" y="9"/>
                </a:lnTo>
                <a:lnTo>
                  <a:pt x="110" y="0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101" name="Freeform 10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503555" y="693420"/>
            <a:ext cx="48895" cy="78740"/>
          </a:xfrm>
          <a:custGeom>
            <a:avLst/>
            <a:gdLst>
              <a:gd name="T0" fmla="*/ 55 w 77"/>
              <a:gd name="T1" fmla="*/ 24 h 124"/>
              <a:gd name="T2" fmla="*/ 63 w 77"/>
              <a:gd name="T3" fmla="*/ 24 h 124"/>
              <a:gd name="T4" fmla="*/ 63 w 77"/>
              <a:gd name="T5" fmla="*/ 11 h 124"/>
              <a:gd name="T6" fmla="*/ 58 w 77"/>
              <a:gd name="T7" fmla="*/ 8 h 124"/>
              <a:gd name="T8" fmla="*/ 53 w 77"/>
              <a:gd name="T9" fmla="*/ 4 h 124"/>
              <a:gd name="T10" fmla="*/ 45 w 77"/>
              <a:gd name="T11" fmla="*/ 1 h 124"/>
              <a:gd name="T12" fmla="*/ 37 w 77"/>
              <a:gd name="T13" fmla="*/ 0 h 124"/>
              <a:gd name="T14" fmla="*/ 33 w 77"/>
              <a:gd name="T15" fmla="*/ 0 h 124"/>
              <a:gd name="T16" fmla="*/ 26 w 77"/>
              <a:gd name="T17" fmla="*/ 1 h 124"/>
              <a:gd name="T18" fmla="*/ 17 w 77"/>
              <a:gd name="T19" fmla="*/ 4 h 124"/>
              <a:gd name="T20" fmla="*/ 10 w 77"/>
              <a:gd name="T21" fmla="*/ 10 h 124"/>
              <a:gd name="T22" fmla="*/ 6 w 77"/>
              <a:gd name="T23" fmla="*/ 16 h 124"/>
              <a:gd name="T24" fmla="*/ 4 w 77"/>
              <a:gd name="T25" fmla="*/ 22 h 124"/>
              <a:gd name="T26" fmla="*/ 3 w 77"/>
              <a:gd name="T27" fmla="*/ 30 h 124"/>
              <a:gd name="T28" fmla="*/ 3 w 77"/>
              <a:gd name="T29" fmla="*/ 36 h 124"/>
              <a:gd name="T30" fmla="*/ 5 w 77"/>
              <a:gd name="T31" fmla="*/ 46 h 124"/>
              <a:gd name="T32" fmla="*/ 13 w 77"/>
              <a:gd name="T33" fmla="*/ 54 h 124"/>
              <a:gd name="T34" fmla="*/ 21 w 77"/>
              <a:gd name="T35" fmla="*/ 62 h 124"/>
              <a:gd name="T36" fmla="*/ 35 w 77"/>
              <a:gd name="T37" fmla="*/ 70 h 124"/>
              <a:gd name="T38" fmla="*/ 50 w 77"/>
              <a:gd name="T39" fmla="*/ 79 h 124"/>
              <a:gd name="T40" fmla="*/ 56 w 77"/>
              <a:gd name="T41" fmla="*/ 84 h 124"/>
              <a:gd name="T42" fmla="*/ 60 w 77"/>
              <a:gd name="T43" fmla="*/ 90 h 124"/>
              <a:gd name="T44" fmla="*/ 60 w 77"/>
              <a:gd name="T45" fmla="*/ 96 h 124"/>
              <a:gd name="T46" fmla="*/ 58 w 77"/>
              <a:gd name="T47" fmla="*/ 103 h 124"/>
              <a:gd name="T48" fmla="*/ 53 w 77"/>
              <a:gd name="T49" fmla="*/ 110 h 124"/>
              <a:gd name="T50" fmla="*/ 47 w 77"/>
              <a:gd name="T51" fmla="*/ 115 h 124"/>
              <a:gd name="T52" fmla="*/ 39 w 77"/>
              <a:gd name="T53" fmla="*/ 117 h 124"/>
              <a:gd name="T54" fmla="*/ 32 w 77"/>
              <a:gd name="T55" fmla="*/ 117 h 124"/>
              <a:gd name="T56" fmla="*/ 24 w 77"/>
              <a:gd name="T57" fmla="*/ 115 h 124"/>
              <a:gd name="T58" fmla="*/ 17 w 77"/>
              <a:gd name="T59" fmla="*/ 111 h 124"/>
              <a:gd name="T60" fmla="*/ 12 w 77"/>
              <a:gd name="T61" fmla="*/ 103 h 124"/>
              <a:gd name="T62" fmla="*/ 0 w 77"/>
              <a:gd name="T63" fmla="*/ 107 h 124"/>
              <a:gd name="T64" fmla="*/ 8 w 77"/>
              <a:gd name="T65" fmla="*/ 115 h 124"/>
              <a:gd name="T66" fmla="*/ 17 w 77"/>
              <a:gd name="T67" fmla="*/ 121 h 124"/>
              <a:gd name="T68" fmla="*/ 27 w 77"/>
              <a:gd name="T69" fmla="*/ 124 h 124"/>
              <a:gd name="T70" fmla="*/ 37 w 77"/>
              <a:gd name="T71" fmla="*/ 124 h 124"/>
              <a:gd name="T72" fmla="*/ 48 w 77"/>
              <a:gd name="T73" fmla="*/ 123 h 124"/>
              <a:gd name="T74" fmla="*/ 58 w 77"/>
              <a:gd name="T75" fmla="*/ 118 h 124"/>
              <a:gd name="T76" fmla="*/ 65 w 77"/>
              <a:gd name="T77" fmla="*/ 113 h 124"/>
              <a:gd name="T78" fmla="*/ 71 w 77"/>
              <a:gd name="T79" fmla="*/ 104 h 124"/>
              <a:gd name="T80" fmla="*/ 75 w 77"/>
              <a:gd name="T81" fmla="*/ 95 h 124"/>
              <a:gd name="T82" fmla="*/ 77 w 77"/>
              <a:gd name="T83" fmla="*/ 86 h 124"/>
              <a:gd name="T84" fmla="*/ 75 w 77"/>
              <a:gd name="T85" fmla="*/ 75 h 124"/>
              <a:gd name="T86" fmla="*/ 69 w 77"/>
              <a:gd name="T87" fmla="*/ 66 h 124"/>
              <a:gd name="T88" fmla="*/ 60 w 77"/>
              <a:gd name="T89" fmla="*/ 56 h 124"/>
              <a:gd name="T90" fmla="*/ 26 w 77"/>
              <a:gd name="T91" fmla="*/ 41 h 124"/>
              <a:gd name="T92" fmla="*/ 20 w 77"/>
              <a:gd name="T93" fmla="*/ 35 h 124"/>
              <a:gd name="T94" fmla="*/ 16 w 77"/>
              <a:gd name="T95" fmla="*/ 30 h 124"/>
              <a:gd name="T96" fmla="*/ 16 w 77"/>
              <a:gd name="T97" fmla="*/ 22 h 124"/>
              <a:gd name="T98" fmla="*/ 17 w 77"/>
              <a:gd name="T99" fmla="*/ 15 h 124"/>
              <a:gd name="T100" fmla="*/ 24 w 77"/>
              <a:gd name="T101" fmla="*/ 10 h 124"/>
              <a:gd name="T102" fmla="*/ 29 w 77"/>
              <a:gd name="T103" fmla="*/ 6 h 124"/>
              <a:gd name="T104" fmla="*/ 35 w 77"/>
              <a:gd name="T105" fmla="*/ 5 h 124"/>
              <a:gd name="T106" fmla="*/ 43 w 77"/>
              <a:gd name="T107" fmla="*/ 6 h 124"/>
              <a:gd name="T108" fmla="*/ 50 w 77"/>
              <a:gd name="T109" fmla="*/ 10 h 124"/>
              <a:gd name="T110" fmla="*/ 53 w 77"/>
              <a:gd name="T111" fmla="*/ 15 h 124"/>
              <a:gd name="T112" fmla="*/ 54 w 77"/>
              <a:gd name="T113" fmla="*/ 20 h 124"/>
              <a:gd name="T114" fmla="*/ 55 w 77"/>
              <a:gd name="T115" fmla="*/ 24 h 1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77" h="124">
                <a:moveTo>
                  <a:pt x="55" y="24"/>
                </a:moveTo>
                <a:lnTo>
                  <a:pt x="63" y="24"/>
                </a:lnTo>
                <a:lnTo>
                  <a:pt x="63" y="11"/>
                </a:lnTo>
                <a:lnTo>
                  <a:pt x="58" y="8"/>
                </a:lnTo>
                <a:lnTo>
                  <a:pt x="53" y="4"/>
                </a:lnTo>
                <a:lnTo>
                  <a:pt x="45" y="1"/>
                </a:lnTo>
                <a:lnTo>
                  <a:pt x="37" y="0"/>
                </a:lnTo>
                <a:lnTo>
                  <a:pt x="33" y="0"/>
                </a:lnTo>
                <a:lnTo>
                  <a:pt x="26" y="1"/>
                </a:lnTo>
                <a:lnTo>
                  <a:pt x="17" y="4"/>
                </a:lnTo>
                <a:lnTo>
                  <a:pt x="10" y="10"/>
                </a:lnTo>
                <a:lnTo>
                  <a:pt x="6" y="16"/>
                </a:lnTo>
                <a:lnTo>
                  <a:pt x="4" y="22"/>
                </a:lnTo>
                <a:lnTo>
                  <a:pt x="3" y="30"/>
                </a:lnTo>
                <a:lnTo>
                  <a:pt x="3" y="36"/>
                </a:lnTo>
                <a:lnTo>
                  <a:pt x="5" y="46"/>
                </a:lnTo>
                <a:lnTo>
                  <a:pt x="13" y="54"/>
                </a:lnTo>
                <a:lnTo>
                  <a:pt x="21" y="62"/>
                </a:lnTo>
                <a:lnTo>
                  <a:pt x="35" y="70"/>
                </a:lnTo>
                <a:lnTo>
                  <a:pt x="50" y="79"/>
                </a:lnTo>
                <a:lnTo>
                  <a:pt x="56" y="84"/>
                </a:lnTo>
                <a:lnTo>
                  <a:pt x="60" y="90"/>
                </a:lnTo>
                <a:lnTo>
                  <a:pt x="60" y="96"/>
                </a:lnTo>
                <a:lnTo>
                  <a:pt x="58" y="103"/>
                </a:lnTo>
                <a:lnTo>
                  <a:pt x="53" y="110"/>
                </a:lnTo>
                <a:lnTo>
                  <a:pt x="47" y="115"/>
                </a:lnTo>
                <a:lnTo>
                  <a:pt x="39" y="117"/>
                </a:lnTo>
                <a:lnTo>
                  <a:pt x="32" y="117"/>
                </a:lnTo>
                <a:lnTo>
                  <a:pt x="24" y="115"/>
                </a:lnTo>
                <a:lnTo>
                  <a:pt x="17" y="111"/>
                </a:lnTo>
                <a:lnTo>
                  <a:pt x="12" y="103"/>
                </a:lnTo>
                <a:lnTo>
                  <a:pt x="0" y="107"/>
                </a:lnTo>
                <a:lnTo>
                  <a:pt x="8" y="115"/>
                </a:lnTo>
                <a:lnTo>
                  <a:pt x="17" y="121"/>
                </a:lnTo>
                <a:lnTo>
                  <a:pt x="27" y="124"/>
                </a:lnTo>
                <a:lnTo>
                  <a:pt x="37" y="124"/>
                </a:lnTo>
                <a:lnTo>
                  <a:pt x="48" y="123"/>
                </a:lnTo>
                <a:lnTo>
                  <a:pt x="58" y="118"/>
                </a:lnTo>
                <a:lnTo>
                  <a:pt x="65" y="113"/>
                </a:lnTo>
                <a:lnTo>
                  <a:pt x="71" y="104"/>
                </a:lnTo>
                <a:lnTo>
                  <a:pt x="75" y="95"/>
                </a:lnTo>
                <a:lnTo>
                  <a:pt x="77" y="86"/>
                </a:lnTo>
                <a:lnTo>
                  <a:pt x="75" y="75"/>
                </a:lnTo>
                <a:lnTo>
                  <a:pt x="69" y="66"/>
                </a:lnTo>
                <a:lnTo>
                  <a:pt x="60" y="56"/>
                </a:lnTo>
                <a:lnTo>
                  <a:pt x="26" y="41"/>
                </a:lnTo>
                <a:lnTo>
                  <a:pt x="20" y="35"/>
                </a:lnTo>
                <a:lnTo>
                  <a:pt x="16" y="30"/>
                </a:lnTo>
                <a:lnTo>
                  <a:pt x="16" y="22"/>
                </a:lnTo>
                <a:lnTo>
                  <a:pt x="17" y="15"/>
                </a:lnTo>
                <a:lnTo>
                  <a:pt x="24" y="10"/>
                </a:lnTo>
                <a:lnTo>
                  <a:pt x="29" y="6"/>
                </a:lnTo>
                <a:lnTo>
                  <a:pt x="35" y="5"/>
                </a:lnTo>
                <a:lnTo>
                  <a:pt x="43" y="6"/>
                </a:lnTo>
                <a:lnTo>
                  <a:pt x="50" y="10"/>
                </a:lnTo>
                <a:lnTo>
                  <a:pt x="53" y="15"/>
                </a:lnTo>
                <a:lnTo>
                  <a:pt x="54" y="20"/>
                </a:lnTo>
                <a:lnTo>
                  <a:pt x="55" y="2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102" name="Freeform 10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173990" y="383540"/>
            <a:ext cx="30480" cy="86360"/>
          </a:xfrm>
          <a:custGeom>
            <a:avLst/>
            <a:gdLst>
              <a:gd name="T0" fmla="*/ 21 w 48"/>
              <a:gd name="T1" fmla="*/ 0 h 136"/>
              <a:gd name="T2" fmla="*/ 48 w 48"/>
              <a:gd name="T3" fmla="*/ 136 h 136"/>
              <a:gd name="T4" fmla="*/ 27 w 48"/>
              <a:gd name="T5" fmla="*/ 136 h 136"/>
              <a:gd name="T6" fmla="*/ 0 w 48"/>
              <a:gd name="T7" fmla="*/ 0 h 136"/>
              <a:gd name="T8" fmla="*/ 21 w 48"/>
              <a:gd name="T9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8" h="136">
                <a:moveTo>
                  <a:pt x="21" y="0"/>
                </a:moveTo>
                <a:lnTo>
                  <a:pt x="48" y="136"/>
                </a:lnTo>
                <a:lnTo>
                  <a:pt x="27" y="136"/>
                </a:lnTo>
                <a:lnTo>
                  <a:pt x="0" y="0"/>
                </a:lnTo>
                <a:lnTo>
                  <a:pt x="2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103" name="Freeform 10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204470" y="383540"/>
            <a:ext cx="19685" cy="86360"/>
          </a:xfrm>
          <a:custGeom>
            <a:avLst/>
            <a:gdLst>
              <a:gd name="T0" fmla="*/ 25 w 31"/>
              <a:gd name="T1" fmla="*/ 0 h 136"/>
              <a:gd name="T2" fmla="*/ 0 w 31"/>
              <a:gd name="T3" fmla="*/ 136 h 136"/>
              <a:gd name="T4" fmla="*/ 6 w 31"/>
              <a:gd name="T5" fmla="*/ 136 h 136"/>
              <a:gd name="T6" fmla="*/ 31 w 31"/>
              <a:gd name="T7" fmla="*/ 0 h 136"/>
              <a:gd name="T8" fmla="*/ 25 w 31"/>
              <a:gd name="T9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1" h="136">
                <a:moveTo>
                  <a:pt x="25" y="0"/>
                </a:moveTo>
                <a:lnTo>
                  <a:pt x="0" y="136"/>
                </a:lnTo>
                <a:lnTo>
                  <a:pt x="6" y="136"/>
                </a:lnTo>
                <a:lnTo>
                  <a:pt x="31" y="0"/>
                </a:lnTo>
                <a:lnTo>
                  <a:pt x="25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104" name="Freeform 10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215265" y="383540"/>
            <a:ext cx="28575" cy="86360"/>
          </a:xfrm>
          <a:custGeom>
            <a:avLst/>
            <a:gdLst>
              <a:gd name="T0" fmla="*/ 15 w 45"/>
              <a:gd name="T1" fmla="*/ 0 h 136"/>
              <a:gd name="T2" fmla="*/ 45 w 45"/>
              <a:gd name="T3" fmla="*/ 136 h 136"/>
              <a:gd name="T4" fmla="*/ 22 w 45"/>
              <a:gd name="T5" fmla="*/ 136 h 136"/>
              <a:gd name="T6" fmla="*/ 0 w 45"/>
              <a:gd name="T7" fmla="*/ 39 h 136"/>
              <a:gd name="T8" fmla="*/ 15 w 45"/>
              <a:gd name="T9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5" h="136">
                <a:moveTo>
                  <a:pt x="15" y="0"/>
                </a:moveTo>
                <a:lnTo>
                  <a:pt x="45" y="136"/>
                </a:lnTo>
                <a:lnTo>
                  <a:pt x="22" y="136"/>
                </a:lnTo>
                <a:lnTo>
                  <a:pt x="0" y="39"/>
                </a:lnTo>
                <a:lnTo>
                  <a:pt x="15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  <xdr:sp macro="" textlink="">
        <xdr:nvSpPr>
          <xdr:cNvPr id="105" name="Freeform 10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234950" y="383540"/>
            <a:ext cx="28575" cy="86360"/>
          </a:xfrm>
          <a:custGeom>
            <a:avLst/>
            <a:gdLst>
              <a:gd name="T0" fmla="*/ 37 w 45"/>
              <a:gd name="T1" fmla="*/ 0 h 136"/>
              <a:gd name="T2" fmla="*/ 0 w 45"/>
              <a:gd name="T3" fmla="*/ 136 h 136"/>
              <a:gd name="T4" fmla="*/ 8 w 45"/>
              <a:gd name="T5" fmla="*/ 136 h 136"/>
              <a:gd name="T6" fmla="*/ 45 w 45"/>
              <a:gd name="T7" fmla="*/ 0 h 136"/>
              <a:gd name="T8" fmla="*/ 37 w 45"/>
              <a:gd name="T9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5" h="136">
                <a:moveTo>
                  <a:pt x="37" y="0"/>
                </a:moveTo>
                <a:lnTo>
                  <a:pt x="0" y="136"/>
                </a:lnTo>
                <a:lnTo>
                  <a:pt x="8" y="136"/>
                </a:lnTo>
                <a:lnTo>
                  <a:pt x="45" y="0"/>
                </a:lnTo>
                <a:lnTo>
                  <a:pt x="37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en-ZA" sz="1100">
                <a:effectLst/>
                <a:latin typeface="Calibri"/>
                <a:ea typeface="Times New Roman"/>
                <a:cs typeface="Times New Roman"/>
              </a:rPr>
              <a:t> </a:t>
            </a:r>
            <a:endParaRPr lang="en-ZA" sz="1100">
              <a:effectLst/>
              <a:latin typeface="Calibri"/>
              <a:ea typeface="Calibri"/>
              <a:cs typeface="Times New Roman"/>
            </a:endParaRPr>
          </a:p>
        </xdr:txBody>
      </xdr:sp>
    </xdr:grpSp>
    <xdr:clientData/>
  </xdr:twoCellAnchor>
  <xdr:twoCellAnchor editAs="oneCell">
    <xdr:from>
      <xdr:col>1</xdr:col>
      <xdr:colOff>173182</xdr:colOff>
      <xdr:row>14</xdr:row>
      <xdr:rowOff>77932</xdr:rowOff>
    </xdr:from>
    <xdr:to>
      <xdr:col>7</xdr:col>
      <xdr:colOff>214584</xdr:colOff>
      <xdr:row>50</xdr:row>
      <xdr:rowOff>96981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58AE95-A3EA-4B6D-A917-7AAB40269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432" y="3429000"/>
          <a:ext cx="6111425" cy="5941867"/>
        </a:xfrm>
        <a:prstGeom prst="rect">
          <a:avLst/>
        </a:prstGeom>
      </xdr:spPr>
    </xdr:pic>
    <xdr:clientData/>
  </xdr:twoCellAnchor>
  <xdr:twoCellAnchor>
    <xdr:from>
      <xdr:col>3</xdr:col>
      <xdr:colOff>295275</xdr:colOff>
      <xdr:row>36</xdr:row>
      <xdr:rowOff>18184</xdr:rowOff>
    </xdr:from>
    <xdr:to>
      <xdr:col>4</xdr:col>
      <xdr:colOff>8659</xdr:colOff>
      <xdr:row>37</xdr:row>
      <xdr:rowOff>149801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533525" y="6988752"/>
          <a:ext cx="466725" cy="296140"/>
        </a:xfrm>
        <a:prstGeom prst="ellipse">
          <a:avLst/>
        </a:prstGeom>
        <a:noFill/>
        <a:ln w="38100"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 editAs="oneCell">
    <xdr:from>
      <xdr:col>1</xdr:col>
      <xdr:colOff>203488</xdr:colOff>
      <xdr:row>14</xdr:row>
      <xdr:rowOff>99580</xdr:rowOff>
    </xdr:from>
    <xdr:to>
      <xdr:col>2</xdr:col>
      <xdr:colOff>90054</xdr:colOff>
      <xdr:row>17</xdr:row>
      <xdr:rowOff>142644</xdr:rowOff>
    </xdr:to>
    <xdr:pic>
      <xdr:nvPicPr>
        <xdr:cNvPr id="4" name="Picture 548" descr="NORTH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8738" y="3450648"/>
          <a:ext cx="276225" cy="536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211137</xdr:colOff>
      <xdr:row>0</xdr:row>
      <xdr:rowOff>168564</xdr:rowOff>
    </xdr:from>
    <xdr:to>
      <xdr:col>3</xdr:col>
      <xdr:colOff>601085</xdr:colOff>
      <xdr:row>3</xdr:row>
      <xdr:rowOff>106219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98" r="63542"/>
        <a:stretch/>
      </xdr:blipFill>
      <xdr:spPr bwMode="auto">
        <a:xfrm>
          <a:off x="211137" y="168564"/>
          <a:ext cx="1362652" cy="5091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104775</xdr:rowOff>
    </xdr:from>
    <xdr:to>
      <xdr:col>4</xdr:col>
      <xdr:colOff>142875</xdr:colOff>
      <xdr:row>3</xdr:row>
      <xdr:rowOff>128154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98" r="63542"/>
        <a:stretch/>
      </xdr:blipFill>
      <xdr:spPr bwMode="auto">
        <a:xfrm>
          <a:off x="114300" y="104775"/>
          <a:ext cx="1352550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352425</xdr:colOff>
      <xdr:row>2</xdr:row>
      <xdr:rowOff>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2500-00005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98" r="63542"/>
        <a:stretch/>
      </xdr:blipFill>
      <xdr:spPr bwMode="auto">
        <a:xfrm>
          <a:off x="0" y="0"/>
          <a:ext cx="1095375" cy="390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133350</xdr:colOff>
      <xdr:row>4</xdr:row>
      <xdr:rowOff>9525</xdr:rowOff>
    </xdr:from>
    <xdr:to>
      <xdr:col>1</xdr:col>
      <xdr:colOff>276225</xdr:colOff>
      <xdr:row>5</xdr:row>
      <xdr:rowOff>114300</xdr:rowOff>
    </xdr:to>
    <xdr:pic>
      <xdr:nvPicPr>
        <xdr:cNvPr id="39" name="Picture 548" descr="NORTH">
          <a:extLst>
            <a:ext uri="{FF2B5EF4-FFF2-40B4-BE49-F238E27FC236}">
              <a16:creationId xmlns:a16="http://schemas.microsoft.com/office/drawing/2014/main" id="{00000000-0008-0000-2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4825" y="685800"/>
          <a:ext cx="1428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190500</xdr:colOff>
      <xdr:row>2</xdr:row>
      <xdr:rowOff>47625</xdr:rowOff>
    </xdr:from>
    <xdr:to>
      <xdr:col>11</xdr:col>
      <xdr:colOff>228186</xdr:colOff>
      <xdr:row>11</xdr:row>
      <xdr:rowOff>109781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00000000-0008-0000-2500-000028000000}"/>
            </a:ext>
          </a:extLst>
        </xdr:cNvPr>
        <xdr:cNvGrpSpPr/>
      </xdr:nvGrpSpPr>
      <xdr:grpSpPr>
        <a:xfrm>
          <a:off x="2790825" y="438150"/>
          <a:ext cx="1523586" cy="1595681"/>
          <a:chOff x="168829" y="4107485"/>
          <a:chExt cx="1514455" cy="1587022"/>
        </a:xfrm>
      </xdr:grpSpPr>
      <xdr:grpSp>
        <xdr:nvGrpSpPr>
          <xdr:cNvPr id="41" name="Group 40">
            <a:extLst>
              <a:ext uri="{FF2B5EF4-FFF2-40B4-BE49-F238E27FC236}">
                <a16:creationId xmlns:a16="http://schemas.microsoft.com/office/drawing/2014/main" id="{00000000-0008-0000-2500-000029000000}"/>
              </a:ext>
            </a:extLst>
          </xdr:cNvPr>
          <xdr:cNvGrpSpPr/>
        </xdr:nvGrpSpPr>
        <xdr:grpSpPr>
          <a:xfrm>
            <a:off x="224551" y="5093481"/>
            <a:ext cx="1036852" cy="601026"/>
            <a:chOff x="2448583" y="5496485"/>
            <a:chExt cx="1043728" cy="607867"/>
          </a:xfrm>
        </xdr:grpSpPr>
        <xdr:sp macro="" textlink="">
          <xdr:nvSpPr>
            <xdr:cNvPr id="52" name="Arc 51">
              <a:extLst>
                <a:ext uri="{FF2B5EF4-FFF2-40B4-BE49-F238E27FC236}">
                  <a16:creationId xmlns:a16="http://schemas.microsoft.com/office/drawing/2014/main" id="{00000000-0008-0000-2500-000034000000}"/>
                </a:ext>
              </a:extLst>
            </xdr:cNvPr>
            <xdr:cNvSpPr>
              <a:spLocks noChangeAspect="1"/>
            </xdr:cNvSpPr>
          </xdr:nvSpPr>
          <xdr:spPr>
            <a:xfrm rot="5400000" flipH="1">
              <a:off x="2484547" y="5616797"/>
              <a:ext cx="448337" cy="520265"/>
            </a:xfrm>
            <a:prstGeom prst="arc">
              <a:avLst>
                <a:gd name="adj1" fmla="val 16200000"/>
                <a:gd name="adj2" fmla="val 20940630"/>
              </a:avLst>
            </a:prstGeom>
            <a:ln>
              <a:tailEnd type="stealth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  <xdr:cxnSp macro="">
          <xdr:nvCxnSpPr>
            <xdr:cNvPr id="53" name="Straight Connector 2">
              <a:extLst>
                <a:ext uri="{FF2B5EF4-FFF2-40B4-BE49-F238E27FC236}">
                  <a16:creationId xmlns:a16="http://schemas.microsoft.com/office/drawing/2014/main" id="{00000000-0008-0000-2500-000035000000}"/>
                </a:ext>
              </a:extLst>
            </xdr:cNvPr>
            <xdr:cNvCxnSpPr/>
          </xdr:nvCxnSpPr>
          <xdr:spPr>
            <a:xfrm rot="5400000" flipH="1">
              <a:off x="2810483" y="5711032"/>
              <a:ext cx="318610" cy="1878"/>
            </a:xfrm>
            <a:prstGeom prst="line">
              <a:avLst/>
            </a:prstGeom>
            <a:ln>
              <a:tailEnd type="stealth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54" name="Arc 53">
              <a:extLst>
                <a:ext uri="{FF2B5EF4-FFF2-40B4-BE49-F238E27FC236}">
                  <a16:creationId xmlns:a16="http://schemas.microsoft.com/office/drawing/2014/main" id="{00000000-0008-0000-2500-000036000000}"/>
                </a:ext>
              </a:extLst>
            </xdr:cNvPr>
            <xdr:cNvSpPr>
              <a:spLocks noChangeAspect="1"/>
            </xdr:cNvSpPr>
          </xdr:nvSpPr>
          <xdr:spPr>
            <a:xfrm rot="16200000">
              <a:off x="3007730" y="5619772"/>
              <a:ext cx="448337" cy="520824"/>
            </a:xfrm>
            <a:prstGeom prst="arc">
              <a:avLst>
                <a:gd name="adj1" fmla="val 16200000"/>
                <a:gd name="adj2" fmla="val 20940630"/>
              </a:avLst>
            </a:prstGeom>
            <a:ln>
              <a:tailEnd type="stealth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  <xdr:cxnSp macro="">
          <xdr:nvCxnSpPr>
            <xdr:cNvPr id="55" name="Straight Arrow Connector 54">
              <a:extLst>
                <a:ext uri="{FF2B5EF4-FFF2-40B4-BE49-F238E27FC236}">
                  <a16:creationId xmlns:a16="http://schemas.microsoft.com/office/drawing/2014/main" id="{00000000-0008-0000-2500-000037000000}"/>
                </a:ext>
              </a:extLst>
            </xdr:cNvPr>
            <xdr:cNvCxnSpPr/>
          </xdr:nvCxnSpPr>
          <xdr:spPr>
            <a:xfrm>
              <a:off x="2662332" y="5496485"/>
              <a:ext cx="0" cy="390004"/>
            </a:xfrm>
            <a:prstGeom prst="straightConnector1">
              <a:avLst/>
            </a:prstGeom>
            <a:ln>
              <a:headEnd type="diamond" w="med" len="med"/>
              <a:tailEnd type="diamond" w="med" len="med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</xdr:grp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00000000-0008-0000-2500-00002A000000}"/>
              </a:ext>
            </a:extLst>
          </xdr:cNvPr>
          <xdr:cNvSpPr txBox="1"/>
        </xdr:nvSpPr>
        <xdr:spPr>
          <a:xfrm>
            <a:off x="590954" y="4919605"/>
            <a:ext cx="321369" cy="3065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ZA" sz="1100" b="1"/>
              <a:t>Ts</a:t>
            </a:r>
          </a:p>
        </xdr:txBody>
      </xdr:sp>
      <xdr:grpSp>
        <xdr:nvGrpSpPr>
          <xdr:cNvPr id="43" name="Group 42">
            <a:extLst>
              <a:ext uri="{FF2B5EF4-FFF2-40B4-BE49-F238E27FC236}">
                <a16:creationId xmlns:a16="http://schemas.microsoft.com/office/drawing/2014/main" id="{00000000-0008-0000-2500-00002B000000}"/>
              </a:ext>
            </a:extLst>
          </xdr:cNvPr>
          <xdr:cNvGrpSpPr/>
        </xdr:nvGrpSpPr>
        <xdr:grpSpPr>
          <a:xfrm rot="10800000">
            <a:off x="561067" y="4107485"/>
            <a:ext cx="1036852" cy="603306"/>
            <a:chOff x="2448583" y="5496485"/>
            <a:chExt cx="1043728" cy="607867"/>
          </a:xfrm>
        </xdr:grpSpPr>
        <xdr:sp macro="" textlink="">
          <xdr:nvSpPr>
            <xdr:cNvPr id="48" name="Arc 47">
              <a:extLst>
                <a:ext uri="{FF2B5EF4-FFF2-40B4-BE49-F238E27FC236}">
                  <a16:creationId xmlns:a16="http://schemas.microsoft.com/office/drawing/2014/main" id="{00000000-0008-0000-2500-000030000000}"/>
                </a:ext>
              </a:extLst>
            </xdr:cNvPr>
            <xdr:cNvSpPr>
              <a:spLocks noChangeAspect="1"/>
            </xdr:cNvSpPr>
          </xdr:nvSpPr>
          <xdr:spPr>
            <a:xfrm rot="5400000" flipH="1">
              <a:off x="2484547" y="5616797"/>
              <a:ext cx="448337" cy="520265"/>
            </a:xfrm>
            <a:prstGeom prst="arc">
              <a:avLst>
                <a:gd name="adj1" fmla="val 16200000"/>
                <a:gd name="adj2" fmla="val 20940630"/>
              </a:avLst>
            </a:prstGeom>
            <a:ln>
              <a:tailEnd type="stealth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  <xdr:cxnSp macro="">
          <xdr:nvCxnSpPr>
            <xdr:cNvPr id="49" name="Straight Connector 2">
              <a:extLst>
                <a:ext uri="{FF2B5EF4-FFF2-40B4-BE49-F238E27FC236}">
                  <a16:creationId xmlns:a16="http://schemas.microsoft.com/office/drawing/2014/main" id="{00000000-0008-0000-2500-000031000000}"/>
                </a:ext>
              </a:extLst>
            </xdr:cNvPr>
            <xdr:cNvCxnSpPr/>
          </xdr:nvCxnSpPr>
          <xdr:spPr>
            <a:xfrm rot="5400000" flipH="1">
              <a:off x="2810483" y="5711032"/>
              <a:ext cx="318610" cy="1878"/>
            </a:xfrm>
            <a:prstGeom prst="line">
              <a:avLst/>
            </a:prstGeom>
            <a:ln>
              <a:tailEnd type="stealth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50" name="Arc 49">
              <a:extLst>
                <a:ext uri="{FF2B5EF4-FFF2-40B4-BE49-F238E27FC236}">
                  <a16:creationId xmlns:a16="http://schemas.microsoft.com/office/drawing/2014/main" id="{00000000-0008-0000-2500-000032000000}"/>
                </a:ext>
              </a:extLst>
            </xdr:cNvPr>
            <xdr:cNvSpPr>
              <a:spLocks noChangeAspect="1"/>
            </xdr:cNvSpPr>
          </xdr:nvSpPr>
          <xdr:spPr>
            <a:xfrm rot="16200000">
              <a:off x="3007730" y="5619772"/>
              <a:ext cx="448337" cy="520824"/>
            </a:xfrm>
            <a:prstGeom prst="arc">
              <a:avLst>
                <a:gd name="adj1" fmla="val 16200000"/>
                <a:gd name="adj2" fmla="val 20940630"/>
              </a:avLst>
            </a:prstGeom>
            <a:ln>
              <a:tailEnd type="stealth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  <xdr:cxnSp macro="">
          <xdr:nvCxnSpPr>
            <xdr:cNvPr id="51" name="Straight Arrow Connector 50">
              <a:extLst>
                <a:ext uri="{FF2B5EF4-FFF2-40B4-BE49-F238E27FC236}">
                  <a16:creationId xmlns:a16="http://schemas.microsoft.com/office/drawing/2014/main" id="{00000000-0008-0000-2500-000033000000}"/>
                </a:ext>
              </a:extLst>
            </xdr:cNvPr>
            <xdr:cNvCxnSpPr/>
          </xdr:nvCxnSpPr>
          <xdr:spPr>
            <a:xfrm>
              <a:off x="2662332" y="5496485"/>
              <a:ext cx="0" cy="390004"/>
            </a:xfrm>
            <a:prstGeom prst="straightConnector1">
              <a:avLst/>
            </a:prstGeom>
            <a:ln>
              <a:headEnd type="diamond" w="med" len="med"/>
              <a:tailEnd type="diamond" w="med" len="med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</xdr:grp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00000000-0008-0000-2500-00002C000000}"/>
              </a:ext>
            </a:extLst>
          </xdr:cNvPr>
          <xdr:cNvSpPr txBox="1"/>
        </xdr:nvSpPr>
        <xdr:spPr>
          <a:xfrm>
            <a:off x="909205" y="4591170"/>
            <a:ext cx="321369" cy="3065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ZA" sz="1100" b="1"/>
              <a:t>Tn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00000000-0008-0000-2500-00002D000000}"/>
              </a:ext>
            </a:extLst>
          </xdr:cNvPr>
          <xdr:cNvSpPr txBox="1"/>
        </xdr:nvSpPr>
        <xdr:spPr>
          <a:xfrm>
            <a:off x="168829" y="5255924"/>
            <a:ext cx="321370" cy="3065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ZA" sz="1100" b="1"/>
              <a:t>Ps</a:t>
            </a: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00000000-0008-0000-2500-00002E000000}"/>
              </a:ext>
            </a:extLst>
          </xdr:cNvPr>
          <xdr:cNvSpPr txBox="1"/>
        </xdr:nvSpPr>
        <xdr:spPr>
          <a:xfrm>
            <a:off x="1362482" y="4312742"/>
            <a:ext cx="320802" cy="3065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ZA" sz="1100" b="1"/>
              <a:t>Pn</a:t>
            </a:r>
          </a:p>
        </xdr:txBody>
      </xdr:sp>
    </xdr:grpSp>
    <xdr:clientData/>
  </xdr:twoCellAnchor>
  <xdr:twoCellAnchor>
    <xdr:from>
      <xdr:col>22</xdr:col>
      <xdr:colOff>123825</xdr:colOff>
      <xdr:row>2</xdr:row>
      <xdr:rowOff>152400</xdr:rowOff>
    </xdr:from>
    <xdr:to>
      <xdr:col>26</xdr:col>
      <xdr:colOff>264060</xdr:colOff>
      <xdr:row>11</xdr:row>
      <xdr:rowOff>68529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00000000-0008-0000-2500-000014000000}"/>
            </a:ext>
          </a:extLst>
        </xdr:cNvPr>
        <xdr:cNvGrpSpPr/>
      </xdr:nvGrpSpPr>
      <xdr:grpSpPr>
        <a:xfrm>
          <a:off x="8296275" y="542925"/>
          <a:ext cx="1626135" cy="1449654"/>
          <a:chOff x="2246516" y="4183074"/>
          <a:chExt cx="1617476" cy="1440830"/>
        </a:xfrm>
      </xdr:grpSpPr>
      <xdr:grpSp>
        <xdr:nvGrpSpPr>
          <xdr:cNvPr id="21" name="Group 20">
            <a:extLst>
              <a:ext uri="{FF2B5EF4-FFF2-40B4-BE49-F238E27FC236}">
                <a16:creationId xmlns:a16="http://schemas.microsoft.com/office/drawing/2014/main" id="{00000000-0008-0000-2500-000015000000}"/>
              </a:ext>
            </a:extLst>
          </xdr:cNvPr>
          <xdr:cNvGrpSpPr/>
        </xdr:nvGrpSpPr>
        <xdr:grpSpPr>
          <a:xfrm rot="16200000">
            <a:off x="3045060" y="4752606"/>
            <a:ext cx="1034559" cy="603305"/>
            <a:chOff x="2448583" y="5496485"/>
            <a:chExt cx="1043728" cy="607867"/>
          </a:xfrm>
        </xdr:grpSpPr>
        <xdr:sp macro="" textlink="">
          <xdr:nvSpPr>
            <xdr:cNvPr id="31" name="Arc 30">
              <a:extLst>
                <a:ext uri="{FF2B5EF4-FFF2-40B4-BE49-F238E27FC236}">
                  <a16:creationId xmlns:a16="http://schemas.microsoft.com/office/drawing/2014/main" id="{00000000-0008-0000-2500-00001F000000}"/>
                </a:ext>
              </a:extLst>
            </xdr:cNvPr>
            <xdr:cNvSpPr>
              <a:spLocks noChangeAspect="1"/>
            </xdr:cNvSpPr>
          </xdr:nvSpPr>
          <xdr:spPr>
            <a:xfrm rot="5400000" flipH="1">
              <a:off x="2484547" y="5616797"/>
              <a:ext cx="448337" cy="520265"/>
            </a:xfrm>
            <a:prstGeom prst="arc">
              <a:avLst>
                <a:gd name="adj1" fmla="val 16200000"/>
                <a:gd name="adj2" fmla="val 20940630"/>
              </a:avLst>
            </a:prstGeom>
            <a:ln>
              <a:tailEnd type="stealth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  <xdr:cxnSp macro="">
          <xdr:nvCxnSpPr>
            <xdr:cNvPr id="32" name="Straight Connector 2">
              <a:extLst>
                <a:ext uri="{FF2B5EF4-FFF2-40B4-BE49-F238E27FC236}">
                  <a16:creationId xmlns:a16="http://schemas.microsoft.com/office/drawing/2014/main" id="{00000000-0008-0000-2500-000020000000}"/>
                </a:ext>
              </a:extLst>
            </xdr:cNvPr>
            <xdr:cNvCxnSpPr/>
          </xdr:nvCxnSpPr>
          <xdr:spPr>
            <a:xfrm rot="5400000" flipH="1">
              <a:off x="2810483" y="5711032"/>
              <a:ext cx="318610" cy="1878"/>
            </a:xfrm>
            <a:prstGeom prst="line">
              <a:avLst/>
            </a:prstGeom>
            <a:ln>
              <a:tailEnd type="stealth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33" name="Arc 32">
              <a:extLst>
                <a:ext uri="{FF2B5EF4-FFF2-40B4-BE49-F238E27FC236}">
                  <a16:creationId xmlns:a16="http://schemas.microsoft.com/office/drawing/2014/main" id="{00000000-0008-0000-2500-000021000000}"/>
                </a:ext>
              </a:extLst>
            </xdr:cNvPr>
            <xdr:cNvSpPr>
              <a:spLocks noChangeAspect="1"/>
            </xdr:cNvSpPr>
          </xdr:nvSpPr>
          <xdr:spPr>
            <a:xfrm rot="16200000">
              <a:off x="3007730" y="5619772"/>
              <a:ext cx="448337" cy="520824"/>
            </a:xfrm>
            <a:prstGeom prst="arc">
              <a:avLst>
                <a:gd name="adj1" fmla="val 16200000"/>
                <a:gd name="adj2" fmla="val 20940630"/>
              </a:avLst>
            </a:prstGeom>
            <a:ln>
              <a:tailEnd type="stealth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  <xdr:cxnSp macro="">
          <xdr:nvCxnSpPr>
            <xdr:cNvPr id="34" name="Straight Arrow Connector 33">
              <a:extLst>
                <a:ext uri="{FF2B5EF4-FFF2-40B4-BE49-F238E27FC236}">
                  <a16:creationId xmlns:a16="http://schemas.microsoft.com/office/drawing/2014/main" id="{00000000-0008-0000-2500-000022000000}"/>
                </a:ext>
              </a:extLst>
            </xdr:cNvPr>
            <xdr:cNvCxnSpPr/>
          </xdr:nvCxnSpPr>
          <xdr:spPr>
            <a:xfrm>
              <a:off x="2662332" y="5496485"/>
              <a:ext cx="0" cy="390004"/>
            </a:xfrm>
            <a:prstGeom prst="straightConnector1">
              <a:avLst/>
            </a:prstGeom>
            <a:ln>
              <a:headEnd type="diamond" w="med" len="med"/>
              <a:tailEnd type="diamond" w="med" len="med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</xdr:grpSp>
      <xdr:grpSp>
        <xdr:nvGrpSpPr>
          <xdr:cNvPr id="22" name="Group 21">
            <a:extLst>
              <a:ext uri="{FF2B5EF4-FFF2-40B4-BE49-F238E27FC236}">
                <a16:creationId xmlns:a16="http://schemas.microsoft.com/office/drawing/2014/main" id="{00000000-0008-0000-2500-000016000000}"/>
              </a:ext>
            </a:extLst>
          </xdr:cNvPr>
          <xdr:cNvGrpSpPr/>
        </xdr:nvGrpSpPr>
        <xdr:grpSpPr>
          <a:xfrm rot="5400000">
            <a:off x="2029743" y="4407542"/>
            <a:ext cx="1036852" cy="603305"/>
            <a:chOff x="2448583" y="5496485"/>
            <a:chExt cx="1043728" cy="607867"/>
          </a:xfrm>
        </xdr:grpSpPr>
        <xdr:sp macro="" textlink="">
          <xdr:nvSpPr>
            <xdr:cNvPr id="27" name="Arc 26">
              <a:extLst>
                <a:ext uri="{FF2B5EF4-FFF2-40B4-BE49-F238E27FC236}">
                  <a16:creationId xmlns:a16="http://schemas.microsoft.com/office/drawing/2014/main" id="{00000000-0008-0000-2500-00001B000000}"/>
                </a:ext>
              </a:extLst>
            </xdr:cNvPr>
            <xdr:cNvSpPr>
              <a:spLocks noChangeAspect="1"/>
            </xdr:cNvSpPr>
          </xdr:nvSpPr>
          <xdr:spPr>
            <a:xfrm rot="5400000" flipH="1">
              <a:off x="2484547" y="5616797"/>
              <a:ext cx="448337" cy="520265"/>
            </a:xfrm>
            <a:prstGeom prst="arc">
              <a:avLst>
                <a:gd name="adj1" fmla="val 16200000"/>
                <a:gd name="adj2" fmla="val 20940630"/>
              </a:avLst>
            </a:prstGeom>
            <a:ln>
              <a:tailEnd type="stealth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  <xdr:cxnSp macro="">
          <xdr:nvCxnSpPr>
            <xdr:cNvPr id="28" name="Straight Connector 2">
              <a:extLst>
                <a:ext uri="{FF2B5EF4-FFF2-40B4-BE49-F238E27FC236}">
                  <a16:creationId xmlns:a16="http://schemas.microsoft.com/office/drawing/2014/main" id="{00000000-0008-0000-2500-00001C000000}"/>
                </a:ext>
              </a:extLst>
            </xdr:cNvPr>
            <xdr:cNvCxnSpPr/>
          </xdr:nvCxnSpPr>
          <xdr:spPr>
            <a:xfrm rot="5400000" flipH="1">
              <a:off x="2810483" y="5711032"/>
              <a:ext cx="318610" cy="1878"/>
            </a:xfrm>
            <a:prstGeom prst="line">
              <a:avLst/>
            </a:prstGeom>
            <a:ln>
              <a:tailEnd type="stealth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29" name="Arc 28">
              <a:extLst>
                <a:ext uri="{FF2B5EF4-FFF2-40B4-BE49-F238E27FC236}">
                  <a16:creationId xmlns:a16="http://schemas.microsoft.com/office/drawing/2014/main" id="{00000000-0008-0000-2500-00001D000000}"/>
                </a:ext>
              </a:extLst>
            </xdr:cNvPr>
            <xdr:cNvSpPr>
              <a:spLocks noChangeAspect="1"/>
            </xdr:cNvSpPr>
          </xdr:nvSpPr>
          <xdr:spPr>
            <a:xfrm rot="16200000">
              <a:off x="3007730" y="5619772"/>
              <a:ext cx="448337" cy="520824"/>
            </a:xfrm>
            <a:prstGeom prst="arc">
              <a:avLst>
                <a:gd name="adj1" fmla="val 16200000"/>
                <a:gd name="adj2" fmla="val 20940630"/>
              </a:avLst>
            </a:prstGeom>
            <a:ln>
              <a:tailEnd type="stealth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  <xdr:cxnSp macro="">
          <xdr:nvCxnSpPr>
            <xdr:cNvPr id="30" name="Straight Arrow Connector 29">
              <a:extLst>
                <a:ext uri="{FF2B5EF4-FFF2-40B4-BE49-F238E27FC236}">
                  <a16:creationId xmlns:a16="http://schemas.microsoft.com/office/drawing/2014/main" id="{00000000-0008-0000-2500-00001E000000}"/>
                </a:ext>
              </a:extLst>
            </xdr:cNvPr>
            <xdr:cNvCxnSpPr/>
          </xdr:nvCxnSpPr>
          <xdr:spPr>
            <a:xfrm>
              <a:off x="2662332" y="5496485"/>
              <a:ext cx="0" cy="390004"/>
            </a:xfrm>
            <a:prstGeom prst="straightConnector1">
              <a:avLst/>
            </a:prstGeom>
            <a:ln>
              <a:headEnd type="diamond" w="med" len="med"/>
              <a:tailEnd type="diamond" w="med" len="med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</xdr:grp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00000000-0008-0000-2500-000017000000}"/>
              </a:ext>
            </a:extLst>
          </xdr:cNvPr>
          <xdr:cNvSpPr txBox="1"/>
        </xdr:nvSpPr>
        <xdr:spPr>
          <a:xfrm>
            <a:off x="3061511" y="4897767"/>
            <a:ext cx="321369" cy="3065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ZA" sz="1100" b="1"/>
              <a:t>Te</a:t>
            </a: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00000000-0008-0000-2500-000018000000}"/>
              </a:ext>
            </a:extLst>
          </xdr:cNvPr>
          <xdr:cNvSpPr txBox="1"/>
        </xdr:nvSpPr>
        <xdr:spPr>
          <a:xfrm>
            <a:off x="2743233" y="4579836"/>
            <a:ext cx="318277" cy="3065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ZA" sz="1100" b="1"/>
              <a:t>Tw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2500-000019000000}"/>
              </a:ext>
            </a:extLst>
          </xdr:cNvPr>
          <xdr:cNvSpPr txBox="1"/>
        </xdr:nvSpPr>
        <xdr:spPr>
          <a:xfrm>
            <a:off x="3415790" y="5317307"/>
            <a:ext cx="321370" cy="3065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ZA" sz="1100" b="1"/>
              <a:t>Pe</a:t>
            </a: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00000000-0008-0000-2500-00001A000000}"/>
              </a:ext>
            </a:extLst>
          </xdr:cNvPr>
          <xdr:cNvSpPr txBox="1"/>
        </xdr:nvSpPr>
        <xdr:spPr>
          <a:xfrm>
            <a:off x="2400399" y="4183074"/>
            <a:ext cx="321369" cy="3065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ZA" sz="1100" b="1"/>
              <a:t>Pw</a:t>
            </a:r>
          </a:p>
        </xdr:txBody>
      </xdr:sp>
    </xdr:grpSp>
    <xdr:clientData/>
  </xdr:twoCellAnchor>
  <xdr:twoCellAnchor>
    <xdr:from>
      <xdr:col>2</xdr:col>
      <xdr:colOff>190500</xdr:colOff>
      <xdr:row>7</xdr:row>
      <xdr:rowOff>38100</xdr:rowOff>
    </xdr:from>
    <xdr:to>
      <xdr:col>6</xdr:col>
      <xdr:colOff>285311</xdr:colOff>
      <xdr:row>11</xdr:row>
      <xdr:rowOff>134559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00000000-0008-0000-2500-000023000000}"/>
            </a:ext>
          </a:extLst>
        </xdr:cNvPr>
        <xdr:cNvGrpSpPr/>
      </xdr:nvGrpSpPr>
      <xdr:grpSpPr>
        <a:xfrm>
          <a:off x="933450" y="1285875"/>
          <a:ext cx="1580711" cy="772734"/>
          <a:chOff x="2280729" y="6990083"/>
          <a:chExt cx="1571872" cy="893931"/>
        </a:xfrm>
      </xdr:grpSpPr>
      <xdr:grpSp>
        <xdr:nvGrpSpPr>
          <xdr:cNvPr id="36" name="Group 35">
            <a:extLst>
              <a:ext uri="{FF2B5EF4-FFF2-40B4-BE49-F238E27FC236}">
                <a16:creationId xmlns:a16="http://schemas.microsoft.com/office/drawing/2014/main" id="{00000000-0008-0000-2500-000024000000}"/>
              </a:ext>
            </a:extLst>
          </xdr:cNvPr>
          <xdr:cNvGrpSpPr/>
        </xdr:nvGrpSpPr>
        <xdr:grpSpPr>
          <a:xfrm>
            <a:off x="2346028" y="7157809"/>
            <a:ext cx="1008332" cy="726205"/>
            <a:chOff x="2448583" y="5496485"/>
            <a:chExt cx="1015019" cy="610987"/>
          </a:xfrm>
        </xdr:grpSpPr>
        <xdr:sp macro="" textlink="">
          <xdr:nvSpPr>
            <xdr:cNvPr id="59" name="Arc 58">
              <a:extLst>
                <a:ext uri="{FF2B5EF4-FFF2-40B4-BE49-F238E27FC236}">
                  <a16:creationId xmlns:a16="http://schemas.microsoft.com/office/drawing/2014/main" id="{00000000-0008-0000-2500-00003B000000}"/>
                </a:ext>
              </a:extLst>
            </xdr:cNvPr>
            <xdr:cNvSpPr>
              <a:spLocks noChangeAspect="1"/>
            </xdr:cNvSpPr>
          </xdr:nvSpPr>
          <xdr:spPr>
            <a:xfrm rot="5400000" flipH="1">
              <a:off x="2484547" y="5616797"/>
              <a:ext cx="448337" cy="520265"/>
            </a:xfrm>
            <a:prstGeom prst="arc">
              <a:avLst>
                <a:gd name="adj1" fmla="val 16200000"/>
                <a:gd name="adj2" fmla="val 20940630"/>
              </a:avLst>
            </a:prstGeom>
            <a:ln>
              <a:tailEnd type="stealth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  <xdr:cxnSp macro="">
          <xdr:nvCxnSpPr>
            <xdr:cNvPr id="60" name="Straight Connector 2">
              <a:extLst>
                <a:ext uri="{FF2B5EF4-FFF2-40B4-BE49-F238E27FC236}">
                  <a16:creationId xmlns:a16="http://schemas.microsoft.com/office/drawing/2014/main" id="{00000000-0008-0000-2500-00003C000000}"/>
                </a:ext>
              </a:extLst>
            </xdr:cNvPr>
            <xdr:cNvCxnSpPr/>
          </xdr:nvCxnSpPr>
          <xdr:spPr>
            <a:xfrm rot="5400000" flipH="1">
              <a:off x="2810483" y="5711032"/>
              <a:ext cx="318610" cy="1878"/>
            </a:xfrm>
            <a:prstGeom prst="line">
              <a:avLst/>
            </a:prstGeom>
            <a:ln>
              <a:tailEnd type="stealth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61" name="Arc 60">
              <a:extLst>
                <a:ext uri="{FF2B5EF4-FFF2-40B4-BE49-F238E27FC236}">
                  <a16:creationId xmlns:a16="http://schemas.microsoft.com/office/drawing/2014/main" id="{00000000-0008-0000-2500-00003D000000}"/>
                </a:ext>
              </a:extLst>
            </xdr:cNvPr>
            <xdr:cNvSpPr>
              <a:spLocks noChangeAspect="1"/>
            </xdr:cNvSpPr>
          </xdr:nvSpPr>
          <xdr:spPr>
            <a:xfrm rot="16200000">
              <a:off x="3035726" y="5679595"/>
              <a:ext cx="449594" cy="406159"/>
            </a:xfrm>
            <a:prstGeom prst="arc">
              <a:avLst>
                <a:gd name="adj1" fmla="val 16200000"/>
                <a:gd name="adj2" fmla="val 20940630"/>
              </a:avLst>
            </a:prstGeom>
            <a:ln>
              <a:prstDash val="dash"/>
              <a:tailEnd type="stealth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  <xdr:cxnSp macro="">
          <xdr:nvCxnSpPr>
            <xdr:cNvPr id="62" name="Straight Arrow Connector 61">
              <a:extLst>
                <a:ext uri="{FF2B5EF4-FFF2-40B4-BE49-F238E27FC236}">
                  <a16:creationId xmlns:a16="http://schemas.microsoft.com/office/drawing/2014/main" id="{00000000-0008-0000-2500-00003E000000}"/>
                </a:ext>
              </a:extLst>
            </xdr:cNvPr>
            <xdr:cNvCxnSpPr/>
          </xdr:nvCxnSpPr>
          <xdr:spPr>
            <a:xfrm>
              <a:off x="2662332" y="5496485"/>
              <a:ext cx="0" cy="390004"/>
            </a:xfrm>
            <a:prstGeom prst="straightConnector1">
              <a:avLst/>
            </a:prstGeom>
            <a:ln>
              <a:headEnd type="diamond" w="med" len="med"/>
              <a:tailEnd type="diamond" w="med" len="med"/>
            </a:ln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</xdr:grp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00000000-0008-0000-2500-000025000000}"/>
              </a:ext>
            </a:extLst>
          </xdr:cNvPr>
          <xdr:cNvSpPr txBox="1"/>
        </xdr:nvSpPr>
        <xdr:spPr>
          <a:xfrm>
            <a:off x="2712823" y="6990083"/>
            <a:ext cx="321370" cy="3065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ZA" sz="1100" b="1"/>
              <a:t>Ts</a:t>
            </a: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00000000-0008-0000-2500-000026000000}"/>
              </a:ext>
            </a:extLst>
          </xdr:cNvPr>
          <xdr:cNvSpPr txBox="1"/>
        </xdr:nvSpPr>
        <xdr:spPr>
          <a:xfrm>
            <a:off x="2950299" y="7113733"/>
            <a:ext cx="285507" cy="2380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ZA" sz="1100" b="1"/>
              <a:t>Rs</a:t>
            </a:r>
          </a:p>
        </xdr:txBody>
      </xdr: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00000000-0008-0000-2500-000038000000}"/>
              </a:ext>
            </a:extLst>
          </xdr:cNvPr>
          <xdr:cNvSpPr txBox="1"/>
        </xdr:nvSpPr>
        <xdr:spPr>
          <a:xfrm>
            <a:off x="2280729" y="7377401"/>
            <a:ext cx="321370" cy="30659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ZA" sz="1100" b="1"/>
              <a:t>Ps</a:t>
            </a:r>
          </a:p>
        </xdr:txBody>
      </xdr:sp>
      <xdr:sp macro="" textlink="">
        <xdr:nvSpPr>
          <xdr:cNvPr id="57" name="Arc 56">
            <a:extLst>
              <a:ext uri="{FF2B5EF4-FFF2-40B4-BE49-F238E27FC236}">
                <a16:creationId xmlns:a16="http://schemas.microsoft.com/office/drawing/2014/main" id="{00000000-0008-0000-2500-000039000000}"/>
              </a:ext>
            </a:extLst>
          </xdr:cNvPr>
          <xdr:cNvSpPr>
            <a:spLocks noChangeAspect="1"/>
          </xdr:cNvSpPr>
        </xdr:nvSpPr>
        <xdr:spPr>
          <a:xfrm flipH="1">
            <a:off x="3406937" y="7278175"/>
            <a:ext cx="445664" cy="402592"/>
          </a:xfrm>
          <a:prstGeom prst="arc">
            <a:avLst>
              <a:gd name="adj1" fmla="val 16200000"/>
              <a:gd name="adj2" fmla="val 20940630"/>
            </a:avLst>
          </a:prstGeom>
          <a:ln>
            <a:prstDash val="dash"/>
            <a:tailEnd type="stealth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00000000-0008-0000-2500-00003A000000}"/>
              </a:ext>
            </a:extLst>
          </xdr:cNvPr>
          <xdr:cNvSpPr txBox="1"/>
        </xdr:nvSpPr>
        <xdr:spPr>
          <a:xfrm>
            <a:off x="3152139" y="7296680"/>
            <a:ext cx="321369" cy="3065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ZA" sz="1100" b="1"/>
              <a:t>Le</a:t>
            </a:r>
          </a:p>
        </xdr:txBody>
      </xdr:sp>
    </xdr:grpSp>
    <xdr:clientData/>
  </xdr:twoCellAnchor>
  <xdr:twoCellAnchor>
    <xdr:from>
      <xdr:col>27</xdr:col>
      <xdr:colOff>133350</xdr:colOff>
      <xdr:row>2</xdr:row>
      <xdr:rowOff>47625</xdr:rowOff>
    </xdr:from>
    <xdr:to>
      <xdr:col>31</xdr:col>
      <xdr:colOff>279782</xdr:colOff>
      <xdr:row>11</xdr:row>
      <xdr:rowOff>104718</xdr:rowOff>
    </xdr:to>
    <xdr:grpSp>
      <xdr:nvGrpSpPr>
        <xdr:cNvPr id="63" name="Group 62">
          <a:extLst>
            <a:ext uri="{FF2B5EF4-FFF2-40B4-BE49-F238E27FC236}">
              <a16:creationId xmlns:a16="http://schemas.microsoft.com/office/drawing/2014/main" id="{00000000-0008-0000-2500-00003F000000}"/>
            </a:ext>
          </a:extLst>
        </xdr:cNvPr>
        <xdr:cNvGrpSpPr/>
      </xdr:nvGrpSpPr>
      <xdr:grpSpPr>
        <a:xfrm>
          <a:off x="10163175" y="438150"/>
          <a:ext cx="1632332" cy="1590618"/>
          <a:chOff x="2243419" y="8656034"/>
          <a:chExt cx="1623673" cy="1581959"/>
        </a:xfrm>
      </xdr:grpSpPr>
      <xdr:sp macro="" textlink="">
        <xdr:nvSpPr>
          <xdr:cNvPr id="64" name="Arc 63">
            <a:extLst>
              <a:ext uri="{FF2B5EF4-FFF2-40B4-BE49-F238E27FC236}">
                <a16:creationId xmlns:a16="http://schemas.microsoft.com/office/drawing/2014/main" id="{00000000-0008-0000-2500-000040000000}"/>
              </a:ext>
            </a:extLst>
          </xdr:cNvPr>
          <xdr:cNvSpPr>
            <a:spLocks noChangeAspect="1"/>
          </xdr:cNvSpPr>
        </xdr:nvSpPr>
        <xdr:spPr>
          <a:xfrm rot="5400000" flipH="1">
            <a:off x="2354445" y="9814261"/>
            <a:ext cx="443980" cy="403484"/>
          </a:xfrm>
          <a:prstGeom prst="arc">
            <a:avLst>
              <a:gd name="adj1" fmla="val 16200000"/>
              <a:gd name="adj2" fmla="val 20940630"/>
            </a:avLst>
          </a:prstGeom>
          <a:ln>
            <a:prstDash val="dash"/>
            <a:tailEnd type="stealth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  <xdr:sp macro="" textlink="">
        <xdr:nvSpPr>
          <xdr:cNvPr id="65" name="TextBox 64">
            <a:extLst>
              <a:ext uri="{FF2B5EF4-FFF2-40B4-BE49-F238E27FC236}">
                <a16:creationId xmlns:a16="http://schemas.microsoft.com/office/drawing/2014/main" id="{00000000-0008-0000-2500-000041000000}"/>
              </a:ext>
            </a:extLst>
          </xdr:cNvPr>
          <xdr:cNvSpPr txBox="1"/>
        </xdr:nvSpPr>
        <xdr:spPr>
          <a:xfrm>
            <a:off x="2487158" y="9576025"/>
            <a:ext cx="335051" cy="2753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ZA" sz="1100" b="1"/>
              <a:t>Ls</a:t>
            </a:r>
          </a:p>
        </xdr:txBody>
      </xdr:sp>
      <xdr:sp macro="" textlink="">
        <xdr:nvSpPr>
          <xdr:cNvPr id="66" name="Arc 65">
            <a:extLst>
              <a:ext uri="{FF2B5EF4-FFF2-40B4-BE49-F238E27FC236}">
                <a16:creationId xmlns:a16="http://schemas.microsoft.com/office/drawing/2014/main" id="{00000000-0008-0000-2500-000042000000}"/>
              </a:ext>
            </a:extLst>
          </xdr:cNvPr>
          <xdr:cNvSpPr>
            <a:spLocks noChangeAspect="1"/>
          </xdr:cNvSpPr>
        </xdr:nvSpPr>
        <xdr:spPr>
          <a:xfrm rot="10800000">
            <a:off x="3420872" y="9111459"/>
            <a:ext cx="446220" cy="402591"/>
          </a:xfrm>
          <a:prstGeom prst="arc">
            <a:avLst>
              <a:gd name="adj1" fmla="val 16200000"/>
              <a:gd name="adj2" fmla="val 20940630"/>
            </a:avLst>
          </a:prstGeom>
          <a:ln>
            <a:prstDash val="dash"/>
            <a:tailEnd type="stealth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  <xdr:sp macro="" textlink="">
        <xdr:nvSpPr>
          <xdr:cNvPr id="67" name="Arc 66">
            <a:extLst>
              <a:ext uri="{FF2B5EF4-FFF2-40B4-BE49-F238E27FC236}">
                <a16:creationId xmlns:a16="http://schemas.microsoft.com/office/drawing/2014/main" id="{00000000-0008-0000-2500-000043000000}"/>
              </a:ext>
            </a:extLst>
          </xdr:cNvPr>
          <xdr:cNvSpPr>
            <a:spLocks noChangeAspect="1"/>
          </xdr:cNvSpPr>
        </xdr:nvSpPr>
        <xdr:spPr>
          <a:xfrm rot="16200000" flipH="1">
            <a:off x="3266156" y="8677125"/>
            <a:ext cx="445665" cy="403484"/>
          </a:xfrm>
          <a:prstGeom prst="arc">
            <a:avLst>
              <a:gd name="adj1" fmla="val 16200000"/>
              <a:gd name="adj2" fmla="val 20940630"/>
            </a:avLst>
          </a:prstGeom>
          <a:ln>
            <a:prstDash val="dash"/>
            <a:tailEnd type="stealth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  <xdr:sp macro="" textlink="">
        <xdr:nvSpPr>
          <xdr:cNvPr id="68" name="Arc 67">
            <a:extLst>
              <a:ext uri="{FF2B5EF4-FFF2-40B4-BE49-F238E27FC236}">
                <a16:creationId xmlns:a16="http://schemas.microsoft.com/office/drawing/2014/main" id="{00000000-0008-0000-2500-000044000000}"/>
              </a:ext>
            </a:extLst>
          </xdr:cNvPr>
          <xdr:cNvSpPr>
            <a:spLocks noChangeAspect="1"/>
          </xdr:cNvSpPr>
        </xdr:nvSpPr>
        <xdr:spPr>
          <a:xfrm>
            <a:off x="2243419" y="9341639"/>
            <a:ext cx="446220" cy="403483"/>
          </a:xfrm>
          <a:prstGeom prst="arc">
            <a:avLst>
              <a:gd name="adj1" fmla="val 16200000"/>
              <a:gd name="adj2" fmla="val 20940630"/>
            </a:avLst>
          </a:prstGeom>
          <a:ln>
            <a:prstDash val="dash"/>
            <a:tailEnd type="stealth"/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  <xdr:sp macro="" textlink="">
        <xdr:nvSpPr>
          <xdr:cNvPr id="69" name="TextBox 68">
            <a:extLst>
              <a:ext uri="{FF2B5EF4-FFF2-40B4-BE49-F238E27FC236}">
                <a16:creationId xmlns:a16="http://schemas.microsoft.com/office/drawing/2014/main" id="{00000000-0008-0000-2500-000045000000}"/>
              </a:ext>
            </a:extLst>
          </xdr:cNvPr>
          <xdr:cNvSpPr txBox="1"/>
        </xdr:nvSpPr>
        <xdr:spPr>
          <a:xfrm>
            <a:off x="3136579" y="9269427"/>
            <a:ext cx="321369" cy="30659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ZA" sz="1100" b="1"/>
              <a:t>Re</a:t>
            </a:r>
          </a:p>
        </xdr:txBody>
      </xdr:sp>
      <xdr:sp macro="" textlink="">
        <xdr:nvSpPr>
          <xdr:cNvPr id="70" name="TextBox 69">
            <a:extLst>
              <a:ext uri="{FF2B5EF4-FFF2-40B4-BE49-F238E27FC236}">
                <a16:creationId xmlns:a16="http://schemas.microsoft.com/office/drawing/2014/main" id="{00000000-0008-0000-2500-000046000000}"/>
              </a:ext>
            </a:extLst>
          </xdr:cNvPr>
          <xdr:cNvSpPr txBox="1"/>
        </xdr:nvSpPr>
        <xdr:spPr>
          <a:xfrm>
            <a:off x="2629600" y="9298931"/>
            <a:ext cx="321370" cy="30659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ZA" sz="1100" b="1"/>
              <a:t>Rw</a:t>
            </a:r>
          </a:p>
        </xdr:txBody>
      </xdr:sp>
      <xdr:sp macro="" textlink="">
        <xdr:nvSpPr>
          <xdr:cNvPr id="71" name="TextBox 70">
            <a:extLst>
              <a:ext uri="{FF2B5EF4-FFF2-40B4-BE49-F238E27FC236}">
                <a16:creationId xmlns:a16="http://schemas.microsoft.com/office/drawing/2014/main" id="{00000000-0008-0000-2500-000047000000}"/>
              </a:ext>
            </a:extLst>
          </xdr:cNvPr>
          <xdr:cNvSpPr txBox="1"/>
        </xdr:nvSpPr>
        <xdr:spPr>
          <a:xfrm>
            <a:off x="3326781" y="9043809"/>
            <a:ext cx="321369" cy="30659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ZA" sz="1100" b="1"/>
              <a:t>Ln</a:t>
            </a:r>
          </a:p>
        </xdr:txBody>
      </xdr:sp>
    </xdr:grpSp>
    <xdr:clientData/>
  </xdr:twoCellAnchor>
  <xdr:twoCellAnchor>
    <xdr:from>
      <xdr:col>10</xdr:col>
      <xdr:colOff>38100</xdr:colOff>
      <xdr:row>16</xdr:row>
      <xdr:rowOff>28575</xdr:rowOff>
    </xdr:from>
    <xdr:to>
      <xdr:col>31</xdr:col>
      <xdr:colOff>330597</xdr:colOff>
      <xdr:row>68</xdr:row>
      <xdr:rowOff>129779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00000000-0008-0000-25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32</xdr:col>
      <xdr:colOff>114300</xdr:colOff>
      <xdr:row>21</xdr:row>
      <xdr:rowOff>19050</xdr:rowOff>
    </xdr:from>
    <xdr:to>
      <xdr:col>36</xdr:col>
      <xdr:colOff>197427</xdr:colOff>
      <xdr:row>25</xdr:row>
      <xdr:rowOff>124691</xdr:rowOff>
    </xdr:to>
    <xdr:pic>
      <xdr:nvPicPr>
        <xdr:cNvPr id="2" name="Picture 1" descr="cid:image001.png@01D1AF56.C74C4E10">
          <a:extLst>
            <a:ext uri="{FF2B5EF4-FFF2-40B4-BE49-F238E27FC236}">
              <a16:creationId xmlns:a16="http://schemas.microsoft.com/office/drawing/2014/main" id="{B2803293-3D36-493F-977D-F226DBC53012}"/>
            </a:ext>
          </a:extLst>
        </xdr:cNvPr>
        <xdr:cNvPicPr/>
      </xdr:nvPicPr>
      <xdr:blipFill rotWithShape="1"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" b="2703"/>
        <a:stretch>
          <a:fillRect/>
        </a:stretch>
      </xdr:blipFill>
      <xdr:spPr bwMode="auto">
        <a:xfrm>
          <a:off x="12001500" y="3495675"/>
          <a:ext cx="1569027" cy="6771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33</xdr:col>
      <xdr:colOff>209550</xdr:colOff>
      <xdr:row>46</xdr:row>
      <xdr:rowOff>104775</xdr:rowOff>
    </xdr:from>
    <xdr:to>
      <xdr:col>35</xdr:col>
      <xdr:colOff>84145</xdr:colOff>
      <xdr:row>53</xdr:row>
      <xdr:rowOff>9525</xdr:rowOff>
    </xdr:to>
    <xdr:pic>
      <xdr:nvPicPr>
        <xdr:cNvPr id="3" name="Picture 114" descr="logo_color">
          <a:extLst>
            <a:ext uri="{FF2B5EF4-FFF2-40B4-BE49-F238E27FC236}">
              <a16:creationId xmlns:a16="http://schemas.microsoft.com/office/drawing/2014/main" id="{4E7A8B75-575F-4437-8D33-21B31E906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8225" y="7153275"/>
          <a:ext cx="61754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95250</xdr:rowOff>
    </xdr:from>
    <xdr:to>
      <xdr:col>3</xdr:col>
      <xdr:colOff>114300</xdr:colOff>
      <xdr:row>4</xdr:row>
      <xdr:rowOff>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98" r="63542"/>
        <a:stretch/>
      </xdr:blipFill>
      <xdr:spPr bwMode="auto">
        <a:xfrm>
          <a:off x="9525" y="342900"/>
          <a:ext cx="1171575" cy="4476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114300</xdr:colOff>
      <xdr:row>6</xdr:row>
      <xdr:rowOff>57150</xdr:rowOff>
    </xdr:from>
    <xdr:to>
      <xdr:col>1</xdr:col>
      <xdr:colOff>390525</xdr:colOff>
      <xdr:row>9</xdr:row>
      <xdr:rowOff>76835</xdr:rowOff>
    </xdr:to>
    <xdr:pic>
      <xdr:nvPicPr>
        <xdr:cNvPr id="5" name="Picture 548" descr="NORTH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650" y="895350"/>
          <a:ext cx="276225" cy="534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34636</xdr:colOff>
      <xdr:row>10</xdr:row>
      <xdr:rowOff>17317</xdr:rowOff>
    </xdr:from>
    <xdr:to>
      <xdr:col>13</xdr:col>
      <xdr:colOff>442249</xdr:colOff>
      <xdr:row>43</xdr:row>
      <xdr:rowOff>112567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96738E-A226-49AD-8923-09F0B0F0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522" y="1792431"/>
          <a:ext cx="6018704" cy="5524500"/>
        </a:xfrm>
        <a:prstGeom prst="rect">
          <a:avLst/>
        </a:prstGeom>
      </xdr:spPr>
    </xdr:pic>
    <xdr:clientData/>
  </xdr:twoCellAnchor>
  <xdr:twoCellAnchor editAs="oneCell">
    <xdr:from>
      <xdr:col>2</xdr:col>
      <xdr:colOff>164522</xdr:colOff>
      <xdr:row>51</xdr:row>
      <xdr:rowOff>103908</xdr:rowOff>
    </xdr:from>
    <xdr:to>
      <xdr:col>5</xdr:col>
      <xdr:colOff>330776</xdr:colOff>
      <xdr:row>55</xdr:row>
      <xdr:rowOff>122958</xdr:rowOff>
    </xdr:to>
    <xdr:pic>
      <xdr:nvPicPr>
        <xdr:cNvPr id="3" name="Picture 2" descr="cid:image001.png@01D1AF56.C74C4E10">
          <a:extLst>
            <a:ext uri="{FF2B5EF4-FFF2-40B4-BE49-F238E27FC236}">
              <a16:creationId xmlns:a16="http://schemas.microsoft.com/office/drawing/2014/main" id="{5C1D3FA6-B22E-445E-8D5A-B78B680AC483}"/>
            </a:ext>
          </a:extLst>
        </xdr:cNvPr>
        <xdr:cNvPicPr/>
      </xdr:nvPicPr>
      <xdr:blipFill rotWithShape="1"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" b="2703"/>
        <a:stretch>
          <a:fillRect/>
        </a:stretch>
      </xdr:blipFill>
      <xdr:spPr bwMode="auto">
        <a:xfrm>
          <a:off x="761999" y="8589817"/>
          <a:ext cx="1569027" cy="6771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10</xdr:col>
      <xdr:colOff>129886</xdr:colOff>
      <xdr:row>50</xdr:row>
      <xdr:rowOff>129887</xdr:rowOff>
    </xdr:from>
    <xdr:to>
      <xdr:col>11</xdr:col>
      <xdr:colOff>279841</xdr:colOff>
      <xdr:row>56</xdr:row>
      <xdr:rowOff>47625</xdr:rowOff>
    </xdr:to>
    <xdr:pic>
      <xdr:nvPicPr>
        <xdr:cNvPr id="4" name="Picture 114" descr="logo_color">
          <a:extLst>
            <a:ext uri="{FF2B5EF4-FFF2-40B4-BE49-F238E27FC236}">
              <a16:creationId xmlns:a16="http://schemas.microsoft.com/office/drawing/2014/main" id="{C461E1C8-6119-4A2C-8247-35B592569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8091" y="8451273"/>
          <a:ext cx="61754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95250</xdr:rowOff>
    </xdr:from>
    <xdr:to>
      <xdr:col>3</xdr:col>
      <xdr:colOff>104775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98" r="63542"/>
        <a:stretch/>
      </xdr:blipFill>
      <xdr:spPr bwMode="auto">
        <a:xfrm>
          <a:off x="0" y="342900"/>
          <a:ext cx="1171575" cy="4476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114300</xdr:colOff>
      <xdr:row>6</xdr:row>
      <xdr:rowOff>57150</xdr:rowOff>
    </xdr:from>
    <xdr:to>
      <xdr:col>1</xdr:col>
      <xdr:colOff>390525</xdr:colOff>
      <xdr:row>9</xdr:row>
      <xdr:rowOff>76835</xdr:rowOff>
    </xdr:to>
    <xdr:pic>
      <xdr:nvPicPr>
        <xdr:cNvPr id="3" name="Picture 548" descr="NORTH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7650" y="1143000"/>
          <a:ext cx="276225" cy="534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147205</xdr:colOff>
      <xdr:row>51</xdr:row>
      <xdr:rowOff>155864</xdr:rowOff>
    </xdr:from>
    <xdr:to>
      <xdr:col>5</xdr:col>
      <xdr:colOff>313459</xdr:colOff>
      <xdr:row>56</xdr:row>
      <xdr:rowOff>10391</xdr:rowOff>
    </xdr:to>
    <xdr:pic>
      <xdr:nvPicPr>
        <xdr:cNvPr id="4" name="Picture 3" descr="cid:image001.png@01D1AF56.C74C4E10">
          <a:extLst>
            <a:ext uri="{FF2B5EF4-FFF2-40B4-BE49-F238E27FC236}">
              <a16:creationId xmlns:a16="http://schemas.microsoft.com/office/drawing/2014/main" id="{3F61A881-499B-4B4D-9556-5F5E7448E801}"/>
            </a:ext>
          </a:extLst>
        </xdr:cNvPr>
        <xdr:cNvPicPr/>
      </xdr:nvPicPr>
      <xdr:blipFill rotWithShape="1"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" b="2703"/>
        <a:stretch>
          <a:fillRect/>
        </a:stretch>
      </xdr:blipFill>
      <xdr:spPr bwMode="auto">
        <a:xfrm>
          <a:off x="744682" y="8641773"/>
          <a:ext cx="1569027" cy="6771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10</xdr:col>
      <xdr:colOff>112568</xdr:colOff>
      <xdr:row>50</xdr:row>
      <xdr:rowOff>147205</xdr:rowOff>
    </xdr:from>
    <xdr:to>
      <xdr:col>11</xdr:col>
      <xdr:colOff>262523</xdr:colOff>
      <xdr:row>56</xdr:row>
      <xdr:rowOff>64943</xdr:rowOff>
    </xdr:to>
    <xdr:pic>
      <xdr:nvPicPr>
        <xdr:cNvPr id="5" name="Picture 114" descr="logo_color">
          <a:extLst>
            <a:ext uri="{FF2B5EF4-FFF2-40B4-BE49-F238E27FC236}">
              <a16:creationId xmlns:a16="http://schemas.microsoft.com/office/drawing/2014/main" id="{0955E4E4-1C8B-49E2-9FBC-C08FEC559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0773" y="8468591"/>
          <a:ext cx="61754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86591</xdr:colOff>
      <xdr:row>12</xdr:row>
      <xdr:rowOff>17318</xdr:rowOff>
    </xdr:from>
    <xdr:to>
      <xdr:col>13</xdr:col>
      <xdr:colOff>364471</xdr:colOff>
      <xdr:row>39</xdr:row>
      <xdr:rowOff>32904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0D3DC1B-CC40-4FCC-98F8-4DBFBE6CF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6477" y="2121477"/>
          <a:ext cx="5888971" cy="4457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213493</xdr:colOff>
      <xdr:row>1</xdr:row>
      <xdr:rowOff>26002</xdr:rowOff>
    </xdr:from>
    <xdr:to>
      <xdr:col>25</xdr:col>
      <xdr:colOff>303701</xdr:colOff>
      <xdr:row>2</xdr:row>
      <xdr:rowOff>67326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GrpSpPr/>
      </xdr:nvGrpSpPr>
      <xdr:grpSpPr>
        <a:xfrm>
          <a:off x="11071993" y="242479"/>
          <a:ext cx="1198572" cy="205847"/>
          <a:chOff x="3785368" y="797527"/>
          <a:chExt cx="985558" cy="203249"/>
        </a:xfrm>
      </xdr:grpSpPr>
      <xdr:sp macro="" textlink="">
        <xdr:nvSpPr>
          <xdr:cNvPr id="48" name="Freeform 18">
            <a:extLst>
              <a:ext uri="{FF2B5EF4-FFF2-40B4-BE49-F238E27FC236}">
                <a16:creationId xmlns:a16="http://schemas.microsoft.com/office/drawing/2014/main" id="{00000000-0008-0000-0400-000030000000}"/>
              </a:ext>
            </a:extLst>
          </xdr:cNvPr>
          <xdr:cNvSpPr>
            <a:spLocks noChangeAspect="1"/>
          </xdr:cNvSpPr>
        </xdr:nvSpPr>
        <xdr:spPr bwMode="auto">
          <a:xfrm rot="5400000" flipV="1">
            <a:off x="4163207" y="876292"/>
            <a:ext cx="203249" cy="45719"/>
          </a:xfrm>
          <a:custGeom>
            <a:avLst/>
            <a:gdLst>
              <a:gd name="T0" fmla="*/ 0 w 534"/>
              <a:gd name="T1" fmla="*/ 32 h 80"/>
              <a:gd name="T2" fmla="*/ 0 w 534"/>
              <a:gd name="T3" fmla="*/ 72 h 80"/>
              <a:gd name="T4" fmla="*/ 308 w 534"/>
              <a:gd name="T5" fmla="*/ 55 h 80"/>
              <a:gd name="T6" fmla="*/ 308 w 534"/>
              <a:gd name="T7" fmla="*/ 80 h 80"/>
              <a:gd name="T8" fmla="*/ 534 w 534"/>
              <a:gd name="T9" fmla="*/ 38 h 80"/>
              <a:gd name="T10" fmla="*/ 308 w 534"/>
              <a:gd name="T11" fmla="*/ 0 h 80"/>
              <a:gd name="T12" fmla="*/ 308 w 534"/>
              <a:gd name="T13" fmla="*/ 34 h 80"/>
              <a:gd name="T14" fmla="*/ 0 w 534"/>
              <a:gd name="T15" fmla="*/ 34 h 80"/>
              <a:gd name="T16" fmla="*/ 0 w 534"/>
              <a:gd name="T17" fmla="*/ 32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534" h="80">
                <a:moveTo>
                  <a:pt x="0" y="32"/>
                </a:moveTo>
                <a:lnTo>
                  <a:pt x="0" y="72"/>
                </a:lnTo>
                <a:lnTo>
                  <a:pt x="308" y="55"/>
                </a:lnTo>
                <a:lnTo>
                  <a:pt x="308" y="80"/>
                </a:lnTo>
                <a:lnTo>
                  <a:pt x="534" y="38"/>
                </a:lnTo>
                <a:lnTo>
                  <a:pt x="308" y="0"/>
                </a:lnTo>
                <a:lnTo>
                  <a:pt x="308" y="34"/>
                </a:lnTo>
                <a:lnTo>
                  <a:pt x="0" y="34"/>
                </a:lnTo>
                <a:lnTo>
                  <a:pt x="0" y="32"/>
                </a:lnTo>
              </a:path>
            </a:pathLst>
          </a:custGeom>
          <a:solidFill>
            <a:srgbClr val="000000"/>
          </a:solidFill>
          <a:ln w="0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49" name="Freeform 19">
            <a:extLst>
              <a:ext uri="{FF2B5EF4-FFF2-40B4-BE49-F238E27FC236}">
                <a16:creationId xmlns:a16="http://schemas.microsoft.com/office/drawing/2014/main" id="{00000000-0008-0000-0400-000031000000}"/>
              </a:ext>
            </a:extLst>
          </xdr:cNvPr>
          <xdr:cNvSpPr>
            <a:spLocks noChangeAspect="1"/>
          </xdr:cNvSpPr>
        </xdr:nvSpPr>
        <xdr:spPr bwMode="auto">
          <a:xfrm rot="16011402" flipV="1">
            <a:off x="4649981" y="860067"/>
            <a:ext cx="180258" cy="61632"/>
          </a:xfrm>
          <a:custGeom>
            <a:avLst/>
            <a:gdLst>
              <a:gd name="T0" fmla="*/ 38 w 38"/>
              <a:gd name="T1" fmla="*/ 6 h 10"/>
              <a:gd name="T2" fmla="*/ 38 w 38"/>
              <a:gd name="T3" fmla="*/ 10 h 10"/>
              <a:gd name="T4" fmla="*/ 11 w 38"/>
              <a:gd name="T5" fmla="*/ 9 h 10"/>
              <a:gd name="T6" fmla="*/ 10 w 38"/>
              <a:gd name="T7" fmla="*/ 4 h 10"/>
              <a:gd name="T8" fmla="*/ 0 w 38"/>
              <a:gd name="T9" fmla="*/ 4 h 10"/>
              <a:gd name="T10" fmla="*/ 14 w 38"/>
              <a:gd name="T11" fmla="*/ 0 h 10"/>
              <a:gd name="T12" fmla="*/ 22 w 38"/>
              <a:gd name="T13" fmla="*/ 4 h 10"/>
              <a:gd name="T14" fmla="*/ 15 w 38"/>
              <a:gd name="T15" fmla="*/ 4 h 10"/>
              <a:gd name="T16" fmla="*/ 14 w 38"/>
              <a:gd name="T17" fmla="*/ 7 h 10"/>
              <a:gd name="T18" fmla="*/ 38 w 38"/>
              <a:gd name="T19" fmla="*/ 6 h 10"/>
              <a:gd name="T20" fmla="*/ 38 w 38"/>
              <a:gd name="T21" fmla="*/ 6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38" h="10">
                <a:moveTo>
                  <a:pt x="38" y="6"/>
                </a:moveTo>
                <a:lnTo>
                  <a:pt x="38" y="10"/>
                </a:lnTo>
                <a:lnTo>
                  <a:pt x="11" y="9"/>
                </a:lnTo>
                <a:lnTo>
                  <a:pt x="10" y="4"/>
                </a:lnTo>
                <a:lnTo>
                  <a:pt x="0" y="4"/>
                </a:lnTo>
                <a:lnTo>
                  <a:pt x="14" y="0"/>
                </a:lnTo>
                <a:lnTo>
                  <a:pt x="22" y="4"/>
                </a:lnTo>
                <a:lnTo>
                  <a:pt x="15" y="4"/>
                </a:lnTo>
                <a:lnTo>
                  <a:pt x="14" y="7"/>
                </a:lnTo>
                <a:lnTo>
                  <a:pt x="38" y="6"/>
                </a:lnTo>
                <a:lnTo>
                  <a:pt x="38" y="6"/>
                </a:lnTo>
              </a:path>
            </a:pathLst>
          </a:custGeom>
          <a:solidFill>
            <a:srgbClr val="000000"/>
          </a:solidFill>
          <a:ln w="0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0" name="Freeform 19">
            <a:extLst>
              <a:ext uri="{FF2B5EF4-FFF2-40B4-BE49-F238E27FC236}">
                <a16:creationId xmlns:a16="http://schemas.microsoft.com/office/drawing/2014/main" id="{00000000-0008-0000-0400-000032000000}"/>
              </a:ext>
            </a:extLst>
          </xdr:cNvPr>
          <xdr:cNvSpPr>
            <a:spLocks noChangeAspect="1"/>
          </xdr:cNvSpPr>
        </xdr:nvSpPr>
        <xdr:spPr bwMode="auto">
          <a:xfrm rot="5588598" flipH="1" flipV="1">
            <a:off x="3726055" y="869592"/>
            <a:ext cx="180258" cy="61632"/>
          </a:xfrm>
          <a:custGeom>
            <a:avLst/>
            <a:gdLst>
              <a:gd name="T0" fmla="*/ 38 w 38"/>
              <a:gd name="T1" fmla="*/ 6 h 10"/>
              <a:gd name="T2" fmla="*/ 38 w 38"/>
              <a:gd name="T3" fmla="*/ 10 h 10"/>
              <a:gd name="T4" fmla="*/ 11 w 38"/>
              <a:gd name="T5" fmla="*/ 9 h 10"/>
              <a:gd name="T6" fmla="*/ 10 w 38"/>
              <a:gd name="T7" fmla="*/ 4 h 10"/>
              <a:gd name="T8" fmla="*/ 0 w 38"/>
              <a:gd name="T9" fmla="*/ 4 h 10"/>
              <a:gd name="T10" fmla="*/ 14 w 38"/>
              <a:gd name="T11" fmla="*/ 0 h 10"/>
              <a:gd name="T12" fmla="*/ 22 w 38"/>
              <a:gd name="T13" fmla="*/ 4 h 10"/>
              <a:gd name="T14" fmla="*/ 15 w 38"/>
              <a:gd name="T15" fmla="*/ 4 h 10"/>
              <a:gd name="T16" fmla="*/ 14 w 38"/>
              <a:gd name="T17" fmla="*/ 7 h 10"/>
              <a:gd name="T18" fmla="*/ 38 w 38"/>
              <a:gd name="T19" fmla="*/ 6 h 10"/>
              <a:gd name="T20" fmla="*/ 38 w 38"/>
              <a:gd name="T21" fmla="*/ 6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38" h="10">
                <a:moveTo>
                  <a:pt x="38" y="6"/>
                </a:moveTo>
                <a:lnTo>
                  <a:pt x="38" y="10"/>
                </a:lnTo>
                <a:lnTo>
                  <a:pt x="11" y="9"/>
                </a:lnTo>
                <a:lnTo>
                  <a:pt x="10" y="4"/>
                </a:lnTo>
                <a:lnTo>
                  <a:pt x="0" y="4"/>
                </a:lnTo>
                <a:lnTo>
                  <a:pt x="14" y="0"/>
                </a:lnTo>
                <a:lnTo>
                  <a:pt x="22" y="4"/>
                </a:lnTo>
                <a:lnTo>
                  <a:pt x="15" y="4"/>
                </a:lnTo>
                <a:lnTo>
                  <a:pt x="14" y="7"/>
                </a:lnTo>
                <a:lnTo>
                  <a:pt x="38" y="6"/>
                </a:lnTo>
                <a:lnTo>
                  <a:pt x="38" y="6"/>
                </a:lnTo>
              </a:path>
            </a:pathLst>
          </a:custGeom>
          <a:solidFill>
            <a:srgbClr val="000000"/>
          </a:solidFill>
          <a:ln w="0">
            <a:solidFill>
              <a:srgbClr val="000000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22</xdr:col>
      <xdr:colOff>184918</xdr:colOff>
      <xdr:row>4</xdr:row>
      <xdr:rowOff>102202</xdr:rowOff>
    </xdr:from>
    <xdr:to>
      <xdr:col>24</xdr:col>
      <xdr:colOff>275126</xdr:colOff>
      <xdr:row>5</xdr:row>
      <xdr:rowOff>143526</xdr:rowOff>
    </xdr:to>
    <xdr:grpSp>
      <xdr:nvGrpSpPr>
        <xdr:cNvPr id="51" name="Group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GrpSpPr/>
      </xdr:nvGrpSpPr>
      <xdr:grpSpPr>
        <a:xfrm rot="10800000">
          <a:off x="10489236" y="846884"/>
          <a:ext cx="1198572" cy="214506"/>
          <a:chOff x="3785368" y="797527"/>
          <a:chExt cx="985558" cy="203249"/>
        </a:xfrm>
      </xdr:grpSpPr>
      <xdr:sp macro="" textlink="">
        <xdr:nvSpPr>
          <xdr:cNvPr id="52" name="Freeform 18">
            <a:extLst>
              <a:ext uri="{FF2B5EF4-FFF2-40B4-BE49-F238E27FC236}">
                <a16:creationId xmlns:a16="http://schemas.microsoft.com/office/drawing/2014/main" id="{00000000-0008-0000-0400-000034000000}"/>
              </a:ext>
            </a:extLst>
          </xdr:cNvPr>
          <xdr:cNvSpPr>
            <a:spLocks noChangeAspect="1"/>
          </xdr:cNvSpPr>
        </xdr:nvSpPr>
        <xdr:spPr bwMode="auto">
          <a:xfrm rot="5400000" flipV="1">
            <a:off x="4163207" y="876292"/>
            <a:ext cx="203249" cy="45719"/>
          </a:xfrm>
          <a:custGeom>
            <a:avLst/>
            <a:gdLst>
              <a:gd name="T0" fmla="*/ 0 w 534"/>
              <a:gd name="T1" fmla="*/ 32 h 80"/>
              <a:gd name="T2" fmla="*/ 0 w 534"/>
              <a:gd name="T3" fmla="*/ 72 h 80"/>
              <a:gd name="T4" fmla="*/ 308 w 534"/>
              <a:gd name="T5" fmla="*/ 55 h 80"/>
              <a:gd name="T6" fmla="*/ 308 w 534"/>
              <a:gd name="T7" fmla="*/ 80 h 80"/>
              <a:gd name="T8" fmla="*/ 534 w 534"/>
              <a:gd name="T9" fmla="*/ 38 h 80"/>
              <a:gd name="T10" fmla="*/ 308 w 534"/>
              <a:gd name="T11" fmla="*/ 0 h 80"/>
              <a:gd name="T12" fmla="*/ 308 w 534"/>
              <a:gd name="T13" fmla="*/ 34 h 80"/>
              <a:gd name="T14" fmla="*/ 0 w 534"/>
              <a:gd name="T15" fmla="*/ 34 h 80"/>
              <a:gd name="T16" fmla="*/ 0 w 534"/>
              <a:gd name="T17" fmla="*/ 32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534" h="80">
                <a:moveTo>
                  <a:pt x="0" y="32"/>
                </a:moveTo>
                <a:lnTo>
                  <a:pt x="0" y="72"/>
                </a:lnTo>
                <a:lnTo>
                  <a:pt x="308" y="55"/>
                </a:lnTo>
                <a:lnTo>
                  <a:pt x="308" y="80"/>
                </a:lnTo>
                <a:lnTo>
                  <a:pt x="534" y="38"/>
                </a:lnTo>
                <a:lnTo>
                  <a:pt x="308" y="0"/>
                </a:lnTo>
                <a:lnTo>
                  <a:pt x="308" y="34"/>
                </a:lnTo>
                <a:lnTo>
                  <a:pt x="0" y="34"/>
                </a:lnTo>
                <a:lnTo>
                  <a:pt x="0" y="32"/>
                </a:lnTo>
              </a:path>
            </a:pathLst>
          </a:custGeom>
          <a:solidFill>
            <a:srgbClr val="000000"/>
          </a:solidFill>
          <a:ln w="0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3" name="Freeform 19">
            <a:extLst>
              <a:ext uri="{FF2B5EF4-FFF2-40B4-BE49-F238E27FC236}">
                <a16:creationId xmlns:a16="http://schemas.microsoft.com/office/drawing/2014/main" id="{00000000-0008-0000-0400-000035000000}"/>
              </a:ext>
            </a:extLst>
          </xdr:cNvPr>
          <xdr:cNvSpPr>
            <a:spLocks noChangeAspect="1"/>
          </xdr:cNvSpPr>
        </xdr:nvSpPr>
        <xdr:spPr bwMode="auto">
          <a:xfrm rot="16011402" flipV="1">
            <a:off x="4649981" y="860067"/>
            <a:ext cx="180258" cy="61632"/>
          </a:xfrm>
          <a:custGeom>
            <a:avLst/>
            <a:gdLst>
              <a:gd name="T0" fmla="*/ 38 w 38"/>
              <a:gd name="T1" fmla="*/ 6 h 10"/>
              <a:gd name="T2" fmla="*/ 38 w 38"/>
              <a:gd name="T3" fmla="*/ 10 h 10"/>
              <a:gd name="T4" fmla="*/ 11 w 38"/>
              <a:gd name="T5" fmla="*/ 9 h 10"/>
              <a:gd name="T6" fmla="*/ 10 w 38"/>
              <a:gd name="T7" fmla="*/ 4 h 10"/>
              <a:gd name="T8" fmla="*/ 0 w 38"/>
              <a:gd name="T9" fmla="*/ 4 h 10"/>
              <a:gd name="T10" fmla="*/ 14 w 38"/>
              <a:gd name="T11" fmla="*/ 0 h 10"/>
              <a:gd name="T12" fmla="*/ 22 w 38"/>
              <a:gd name="T13" fmla="*/ 4 h 10"/>
              <a:gd name="T14" fmla="*/ 15 w 38"/>
              <a:gd name="T15" fmla="*/ 4 h 10"/>
              <a:gd name="T16" fmla="*/ 14 w 38"/>
              <a:gd name="T17" fmla="*/ 7 h 10"/>
              <a:gd name="T18" fmla="*/ 38 w 38"/>
              <a:gd name="T19" fmla="*/ 6 h 10"/>
              <a:gd name="T20" fmla="*/ 38 w 38"/>
              <a:gd name="T21" fmla="*/ 6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38" h="10">
                <a:moveTo>
                  <a:pt x="38" y="6"/>
                </a:moveTo>
                <a:lnTo>
                  <a:pt x="38" y="10"/>
                </a:lnTo>
                <a:lnTo>
                  <a:pt x="11" y="9"/>
                </a:lnTo>
                <a:lnTo>
                  <a:pt x="10" y="4"/>
                </a:lnTo>
                <a:lnTo>
                  <a:pt x="0" y="4"/>
                </a:lnTo>
                <a:lnTo>
                  <a:pt x="14" y="0"/>
                </a:lnTo>
                <a:lnTo>
                  <a:pt x="22" y="4"/>
                </a:lnTo>
                <a:lnTo>
                  <a:pt x="15" y="4"/>
                </a:lnTo>
                <a:lnTo>
                  <a:pt x="14" y="7"/>
                </a:lnTo>
                <a:lnTo>
                  <a:pt x="38" y="6"/>
                </a:lnTo>
                <a:lnTo>
                  <a:pt x="38" y="6"/>
                </a:lnTo>
              </a:path>
            </a:pathLst>
          </a:custGeom>
          <a:solidFill>
            <a:srgbClr val="000000"/>
          </a:solidFill>
          <a:ln w="0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4" name="Freeform 19">
            <a:extLst>
              <a:ext uri="{FF2B5EF4-FFF2-40B4-BE49-F238E27FC236}">
                <a16:creationId xmlns:a16="http://schemas.microsoft.com/office/drawing/2014/main" id="{00000000-0008-0000-0400-000036000000}"/>
              </a:ext>
            </a:extLst>
          </xdr:cNvPr>
          <xdr:cNvSpPr>
            <a:spLocks noChangeAspect="1"/>
          </xdr:cNvSpPr>
        </xdr:nvSpPr>
        <xdr:spPr bwMode="auto">
          <a:xfrm rot="5588598" flipH="1" flipV="1">
            <a:off x="3726055" y="869592"/>
            <a:ext cx="180258" cy="61632"/>
          </a:xfrm>
          <a:custGeom>
            <a:avLst/>
            <a:gdLst>
              <a:gd name="T0" fmla="*/ 38 w 38"/>
              <a:gd name="T1" fmla="*/ 6 h 10"/>
              <a:gd name="T2" fmla="*/ 38 w 38"/>
              <a:gd name="T3" fmla="*/ 10 h 10"/>
              <a:gd name="T4" fmla="*/ 11 w 38"/>
              <a:gd name="T5" fmla="*/ 9 h 10"/>
              <a:gd name="T6" fmla="*/ 10 w 38"/>
              <a:gd name="T7" fmla="*/ 4 h 10"/>
              <a:gd name="T8" fmla="*/ 0 w 38"/>
              <a:gd name="T9" fmla="*/ 4 h 10"/>
              <a:gd name="T10" fmla="*/ 14 w 38"/>
              <a:gd name="T11" fmla="*/ 0 h 10"/>
              <a:gd name="T12" fmla="*/ 22 w 38"/>
              <a:gd name="T13" fmla="*/ 4 h 10"/>
              <a:gd name="T14" fmla="*/ 15 w 38"/>
              <a:gd name="T15" fmla="*/ 4 h 10"/>
              <a:gd name="T16" fmla="*/ 14 w 38"/>
              <a:gd name="T17" fmla="*/ 7 h 10"/>
              <a:gd name="T18" fmla="*/ 38 w 38"/>
              <a:gd name="T19" fmla="*/ 6 h 10"/>
              <a:gd name="T20" fmla="*/ 38 w 38"/>
              <a:gd name="T21" fmla="*/ 6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38" h="10">
                <a:moveTo>
                  <a:pt x="38" y="6"/>
                </a:moveTo>
                <a:lnTo>
                  <a:pt x="38" y="10"/>
                </a:lnTo>
                <a:lnTo>
                  <a:pt x="11" y="9"/>
                </a:lnTo>
                <a:lnTo>
                  <a:pt x="10" y="4"/>
                </a:lnTo>
                <a:lnTo>
                  <a:pt x="0" y="4"/>
                </a:lnTo>
                <a:lnTo>
                  <a:pt x="14" y="0"/>
                </a:lnTo>
                <a:lnTo>
                  <a:pt x="22" y="4"/>
                </a:lnTo>
                <a:lnTo>
                  <a:pt x="15" y="4"/>
                </a:lnTo>
                <a:lnTo>
                  <a:pt x="14" y="7"/>
                </a:lnTo>
                <a:lnTo>
                  <a:pt x="38" y="6"/>
                </a:lnTo>
                <a:lnTo>
                  <a:pt x="38" y="6"/>
                </a:lnTo>
              </a:path>
            </a:pathLst>
          </a:custGeom>
          <a:solidFill>
            <a:srgbClr val="000000"/>
          </a:solidFill>
          <a:ln w="0">
            <a:solidFill>
              <a:srgbClr val="000000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27</xdr:col>
      <xdr:colOff>257174</xdr:colOff>
      <xdr:row>3</xdr:row>
      <xdr:rowOff>47628</xdr:rowOff>
    </xdr:from>
    <xdr:to>
      <xdr:col>27</xdr:col>
      <xdr:colOff>489627</xdr:colOff>
      <xdr:row>5</xdr:row>
      <xdr:rowOff>137213</xdr:rowOff>
    </xdr:to>
    <xdr:grpSp>
      <xdr:nvGrpSpPr>
        <xdr:cNvPr id="55" name="Group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GrpSpPr/>
      </xdr:nvGrpSpPr>
      <xdr:grpSpPr>
        <a:xfrm rot="5400000">
          <a:off x="13217665" y="707887"/>
          <a:ext cx="461926" cy="232453"/>
          <a:chOff x="4071118" y="797527"/>
          <a:chExt cx="404534" cy="203249"/>
        </a:xfrm>
      </xdr:grpSpPr>
      <xdr:sp macro="" textlink="">
        <xdr:nvSpPr>
          <xdr:cNvPr id="56" name="Freeform 18">
            <a:extLst>
              <a:ext uri="{FF2B5EF4-FFF2-40B4-BE49-F238E27FC236}">
                <a16:creationId xmlns:a16="http://schemas.microsoft.com/office/drawing/2014/main" id="{00000000-0008-0000-0400-000038000000}"/>
              </a:ext>
            </a:extLst>
          </xdr:cNvPr>
          <xdr:cNvSpPr>
            <a:spLocks noChangeAspect="1"/>
          </xdr:cNvSpPr>
        </xdr:nvSpPr>
        <xdr:spPr bwMode="auto">
          <a:xfrm rot="5400000" flipV="1">
            <a:off x="4163207" y="876292"/>
            <a:ext cx="203249" cy="45719"/>
          </a:xfrm>
          <a:custGeom>
            <a:avLst/>
            <a:gdLst>
              <a:gd name="T0" fmla="*/ 0 w 534"/>
              <a:gd name="T1" fmla="*/ 32 h 80"/>
              <a:gd name="T2" fmla="*/ 0 w 534"/>
              <a:gd name="T3" fmla="*/ 72 h 80"/>
              <a:gd name="T4" fmla="*/ 308 w 534"/>
              <a:gd name="T5" fmla="*/ 55 h 80"/>
              <a:gd name="T6" fmla="*/ 308 w 534"/>
              <a:gd name="T7" fmla="*/ 80 h 80"/>
              <a:gd name="T8" fmla="*/ 534 w 534"/>
              <a:gd name="T9" fmla="*/ 38 h 80"/>
              <a:gd name="T10" fmla="*/ 308 w 534"/>
              <a:gd name="T11" fmla="*/ 0 h 80"/>
              <a:gd name="T12" fmla="*/ 308 w 534"/>
              <a:gd name="T13" fmla="*/ 34 h 80"/>
              <a:gd name="T14" fmla="*/ 0 w 534"/>
              <a:gd name="T15" fmla="*/ 34 h 80"/>
              <a:gd name="T16" fmla="*/ 0 w 534"/>
              <a:gd name="T17" fmla="*/ 32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534" h="80">
                <a:moveTo>
                  <a:pt x="0" y="32"/>
                </a:moveTo>
                <a:lnTo>
                  <a:pt x="0" y="72"/>
                </a:lnTo>
                <a:lnTo>
                  <a:pt x="308" y="55"/>
                </a:lnTo>
                <a:lnTo>
                  <a:pt x="308" y="80"/>
                </a:lnTo>
                <a:lnTo>
                  <a:pt x="534" y="38"/>
                </a:lnTo>
                <a:lnTo>
                  <a:pt x="308" y="0"/>
                </a:lnTo>
                <a:lnTo>
                  <a:pt x="308" y="34"/>
                </a:lnTo>
                <a:lnTo>
                  <a:pt x="0" y="34"/>
                </a:lnTo>
                <a:lnTo>
                  <a:pt x="0" y="32"/>
                </a:lnTo>
              </a:path>
            </a:pathLst>
          </a:custGeom>
          <a:solidFill>
            <a:srgbClr val="000000"/>
          </a:solidFill>
          <a:ln w="0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7" name="Freeform 19">
            <a:extLst>
              <a:ext uri="{FF2B5EF4-FFF2-40B4-BE49-F238E27FC236}">
                <a16:creationId xmlns:a16="http://schemas.microsoft.com/office/drawing/2014/main" id="{00000000-0008-0000-0400-000039000000}"/>
              </a:ext>
            </a:extLst>
          </xdr:cNvPr>
          <xdr:cNvSpPr>
            <a:spLocks noChangeAspect="1"/>
          </xdr:cNvSpPr>
        </xdr:nvSpPr>
        <xdr:spPr bwMode="auto">
          <a:xfrm rot="16011402" flipV="1">
            <a:off x="4354707" y="869591"/>
            <a:ext cx="180258" cy="61632"/>
          </a:xfrm>
          <a:custGeom>
            <a:avLst/>
            <a:gdLst>
              <a:gd name="T0" fmla="*/ 38 w 38"/>
              <a:gd name="T1" fmla="*/ 6 h 10"/>
              <a:gd name="T2" fmla="*/ 38 w 38"/>
              <a:gd name="T3" fmla="*/ 10 h 10"/>
              <a:gd name="T4" fmla="*/ 11 w 38"/>
              <a:gd name="T5" fmla="*/ 9 h 10"/>
              <a:gd name="T6" fmla="*/ 10 w 38"/>
              <a:gd name="T7" fmla="*/ 4 h 10"/>
              <a:gd name="T8" fmla="*/ 0 w 38"/>
              <a:gd name="T9" fmla="*/ 4 h 10"/>
              <a:gd name="T10" fmla="*/ 14 w 38"/>
              <a:gd name="T11" fmla="*/ 0 h 10"/>
              <a:gd name="T12" fmla="*/ 22 w 38"/>
              <a:gd name="T13" fmla="*/ 4 h 10"/>
              <a:gd name="T14" fmla="*/ 15 w 38"/>
              <a:gd name="T15" fmla="*/ 4 h 10"/>
              <a:gd name="T16" fmla="*/ 14 w 38"/>
              <a:gd name="T17" fmla="*/ 7 h 10"/>
              <a:gd name="T18" fmla="*/ 38 w 38"/>
              <a:gd name="T19" fmla="*/ 6 h 10"/>
              <a:gd name="T20" fmla="*/ 38 w 38"/>
              <a:gd name="T21" fmla="*/ 6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38" h="10">
                <a:moveTo>
                  <a:pt x="38" y="6"/>
                </a:moveTo>
                <a:lnTo>
                  <a:pt x="38" y="10"/>
                </a:lnTo>
                <a:lnTo>
                  <a:pt x="11" y="9"/>
                </a:lnTo>
                <a:lnTo>
                  <a:pt x="10" y="4"/>
                </a:lnTo>
                <a:lnTo>
                  <a:pt x="0" y="4"/>
                </a:lnTo>
                <a:lnTo>
                  <a:pt x="14" y="0"/>
                </a:lnTo>
                <a:lnTo>
                  <a:pt x="22" y="4"/>
                </a:lnTo>
                <a:lnTo>
                  <a:pt x="15" y="4"/>
                </a:lnTo>
                <a:lnTo>
                  <a:pt x="14" y="7"/>
                </a:lnTo>
                <a:lnTo>
                  <a:pt x="38" y="6"/>
                </a:lnTo>
                <a:lnTo>
                  <a:pt x="38" y="6"/>
                </a:lnTo>
              </a:path>
            </a:pathLst>
          </a:custGeom>
          <a:solidFill>
            <a:srgbClr val="000000"/>
          </a:solidFill>
          <a:ln w="0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58" name="Freeform 19">
            <a:extLst>
              <a:ext uri="{FF2B5EF4-FFF2-40B4-BE49-F238E27FC236}">
                <a16:creationId xmlns:a16="http://schemas.microsoft.com/office/drawing/2014/main" id="{00000000-0008-0000-0400-00003A000000}"/>
              </a:ext>
            </a:extLst>
          </xdr:cNvPr>
          <xdr:cNvSpPr>
            <a:spLocks noChangeAspect="1"/>
          </xdr:cNvSpPr>
        </xdr:nvSpPr>
        <xdr:spPr bwMode="auto">
          <a:xfrm rot="5588598" flipH="1" flipV="1">
            <a:off x="4011805" y="860067"/>
            <a:ext cx="180258" cy="61632"/>
          </a:xfrm>
          <a:custGeom>
            <a:avLst/>
            <a:gdLst>
              <a:gd name="T0" fmla="*/ 38 w 38"/>
              <a:gd name="T1" fmla="*/ 6 h 10"/>
              <a:gd name="T2" fmla="*/ 38 w 38"/>
              <a:gd name="T3" fmla="*/ 10 h 10"/>
              <a:gd name="T4" fmla="*/ 11 w 38"/>
              <a:gd name="T5" fmla="*/ 9 h 10"/>
              <a:gd name="T6" fmla="*/ 10 w 38"/>
              <a:gd name="T7" fmla="*/ 4 h 10"/>
              <a:gd name="T8" fmla="*/ 0 w 38"/>
              <a:gd name="T9" fmla="*/ 4 h 10"/>
              <a:gd name="T10" fmla="*/ 14 w 38"/>
              <a:gd name="T11" fmla="*/ 0 h 10"/>
              <a:gd name="T12" fmla="*/ 22 w 38"/>
              <a:gd name="T13" fmla="*/ 4 h 10"/>
              <a:gd name="T14" fmla="*/ 15 w 38"/>
              <a:gd name="T15" fmla="*/ 4 h 10"/>
              <a:gd name="T16" fmla="*/ 14 w 38"/>
              <a:gd name="T17" fmla="*/ 7 h 10"/>
              <a:gd name="T18" fmla="*/ 38 w 38"/>
              <a:gd name="T19" fmla="*/ 6 h 10"/>
              <a:gd name="T20" fmla="*/ 38 w 38"/>
              <a:gd name="T21" fmla="*/ 6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38" h="10">
                <a:moveTo>
                  <a:pt x="38" y="6"/>
                </a:moveTo>
                <a:lnTo>
                  <a:pt x="38" y="10"/>
                </a:lnTo>
                <a:lnTo>
                  <a:pt x="11" y="9"/>
                </a:lnTo>
                <a:lnTo>
                  <a:pt x="10" y="4"/>
                </a:lnTo>
                <a:lnTo>
                  <a:pt x="0" y="4"/>
                </a:lnTo>
                <a:lnTo>
                  <a:pt x="14" y="0"/>
                </a:lnTo>
                <a:lnTo>
                  <a:pt x="22" y="4"/>
                </a:lnTo>
                <a:lnTo>
                  <a:pt x="15" y="4"/>
                </a:lnTo>
                <a:lnTo>
                  <a:pt x="14" y="7"/>
                </a:lnTo>
                <a:lnTo>
                  <a:pt x="38" y="6"/>
                </a:lnTo>
                <a:lnTo>
                  <a:pt x="38" y="6"/>
                </a:lnTo>
              </a:path>
            </a:pathLst>
          </a:custGeom>
          <a:solidFill>
            <a:srgbClr val="000000"/>
          </a:solidFill>
          <a:ln w="0">
            <a:solidFill>
              <a:srgbClr val="000000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20</xdr:col>
      <xdr:colOff>57153</xdr:colOff>
      <xdr:row>1</xdr:row>
      <xdr:rowOff>28575</xdr:rowOff>
    </xdr:from>
    <xdr:to>
      <xdr:col>20</xdr:col>
      <xdr:colOff>260402</xdr:colOff>
      <xdr:row>3</xdr:row>
      <xdr:rowOff>109259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pSpPr/>
      </xdr:nvGrpSpPr>
      <xdr:grpSpPr>
        <a:xfrm rot="16200000">
          <a:off x="9149868" y="348292"/>
          <a:ext cx="409730" cy="203249"/>
          <a:chOff x="4071118" y="797527"/>
          <a:chExt cx="404534" cy="203249"/>
        </a:xfrm>
      </xdr:grpSpPr>
      <xdr:sp macro="" textlink="">
        <xdr:nvSpPr>
          <xdr:cNvPr id="60" name="Freeform 18">
            <a:extLst>
              <a:ext uri="{FF2B5EF4-FFF2-40B4-BE49-F238E27FC236}">
                <a16:creationId xmlns:a16="http://schemas.microsoft.com/office/drawing/2014/main" id="{00000000-0008-0000-0400-00003C000000}"/>
              </a:ext>
            </a:extLst>
          </xdr:cNvPr>
          <xdr:cNvSpPr>
            <a:spLocks noChangeAspect="1"/>
          </xdr:cNvSpPr>
        </xdr:nvSpPr>
        <xdr:spPr bwMode="auto">
          <a:xfrm rot="5400000" flipV="1">
            <a:off x="4163207" y="876292"/>
            <a:ext cx="203249" cy="45719"/>
          </a:xfrm>
          <a:custGeom>
            <a:avLst/>
            <a:gdLst>
              <a:gd name="T0" fmla="*/ 0 w 534"/>
              <a:gd name="T1" fmla="*/ 32 h 80"/>
              <a:gd name="T2" fmla="*/ 0 w 534"/>
              <a:gd name="T3" fmla="*/ 72 h 80"/>
              <a:gd name="T4" fmla="*/ 308 w 534"/>
              <a:gd name="T5" fmla="*/ 55 h 80"/>
              <a:gd name="T6" fmla="*/ 308 w 534"/>
              <a:gd name="T7" fmla="*/ 80 h 80"/>
              <a:gd name="T8" fmla="*/ 534 w 534"/>
              <a:gd name="T9" fmla="*/ 38 h 80"/>
              <a:gd name="T10" fmla="*/ 308 w 534"/>
              <a:gd name="T11" fmla="*/ 0 h 80"/>
              <a:gd name="T12" fmla="*/ 308 w 534"/>
              <a:gd name="T13" fmla="*/ 34 h 80"/>
              <a:gd name="T14" fmla="*/ 0 w 534"/>
              <a:gd name="T15" fmla="*/ 34 h 80"/>
              <a:gd name="T16" fmla="*/ 0 w 534"/>
              <a:gd name="T17" fmla="*/ 32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534" h="80">
                <a:moveTo>
                  <a:pt x="0" y="32"/>
                </a:moveTo>
                <a:lnTo>
                  <a:pt x="0" y="72"/>
                </a:lnTo>
                <a:lnTo>
                  <a:pt x="308" y="55"/>
                </a:lnTo>
                <a:lnTo>
                  <a:pt x="308" y="80"/>
                </a:lnTo>
                <a:lnTo>
                  <a:pt x="534" y="38"/>
                </a:lnTo>
                <a:lnTo>
                  <a:pt x="308" y="0"/>
                </a:lnTo>
                <a:lnTo>
                  <a:pt x="308" y="34"/>
                </a:lnTo>
                <a:lnTo>
                  <a:pt x="0" y="34"/>
                </a:lnTo>
                <a:lnTo>
                  <a:pt x="0" y="32"/>
                </a:lnTo>
              </a:path>
            </a:pathLst>
          </a:custGeom>
          <a:solidFill>
            <a:srgbClr val="000000"/>
          </a:solidFill>
          <a:ln w="0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61" name="Freeform 19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>
            <a:spLocks noChangeAspect="1"/>
          </xdr:cNvSpPr>
        </xdr:nvSpPr>
        <xdr:spPr bwMode="auto">
          <a:xfrm rot="16011402" flipV="1">
            <a:off x="4354707" y="869591"/>
            <a:ext cx="180258" cy="61632"/>
          </a:xfrm>
          <a:custGeom>
            <a:avLst/>
            <a:gdLst>
              <a:gd name="T0" fmla="*/ 38 w 38"/>
              <a:gd name="T1" fmla="*/ 6 h 10"/>
              <a:gd name="T2" fmla="*/ 38 w 38"/>
              <a:gd name="T3" fmla="*/ 10 h 10"/>
              <a:gd name="T4" fmla="*/ 11 w 38"/>
              <a:gd name="T5" fmla="*/ 9 h 10"/>
              <a:gd name="T6" fmla="*/ 10 w 38"/>
              <a:gd name="T7" fmla="*/ 4 h 10"/>
              <a:gd name="T8" fmla="*/ 0 w 38"/>
              <a:gd name="T9" fmla="*/ 4 h 10"/>
              <a:gd name="T10" fmla="*/ 14 w 38"/>
              <a:gd name="T11" fmla="*/ 0 h 10"/>
              <a:gd name="T12" fmla="*/ 22 w 38"/>
              <a:gd name="T13" fmla="*/ 4 h 10"/>
              <a:gd name="T14" fmla="*/ 15 w 38"/>
              <a:gd name="T15" fmla="*/ 4 h 10"/>
              <a:gd name="T16" fmla="*/ 14 w 38"/>
              <a:gd name="T17" fmla="*/ 7 h 10"/>
              <a:gd name="T18" fmla="*/ 38 w 38"/>
              <a:gd name="T19" fmla="*/ 6 h 10"/>
              <a:gd name="T20" fmla="*/ 38 w 38"/>
              <a:gd name="T21" fmla="*/ 6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38" h="10">
                <a:moveTo>
                  <a:pt x="38" y="6"/>
                </a:moveTo>
                <a:lnTo>
                  <a:pt x="38" y="10"/>
                </a:lnTo>
                <a:lnTo>
                  <a:pt x="11" y="9"/>
                </a:lnTo>
                <a:lnTo>
                  <a:pt x="10" y="4"/>
                </a:lnTo>
                <a:lnTo>
                  <a:pt x="0" y="4"/>
                </a:lnTo>
                <a:lnTo>
                  <a:pt x="14" y="0"/>
                </a:lnTo>
                <a:lnTo>
                  <a:pt x="22" y="4"/>
                </a:lnTo>
                <a:lnTo>
                  <a:pt x="15" y="4"/>
                </a:lnTo>
                <a:lnTo>
                  <a:pt x="14" y="7"/>
                </a:lnTo>
                <a:lnTo>
                  <a:pt x="38" y="6"/>
                </a:lnTo>
                <a:lnTo>
                  <a:pt x="38" y="6"/>
                </a:lnTo>
              </a:path>
            </a:pathLst>
          </a:custGeom>
          <a:solidFill>
            <a:srgbClr val="000000"/>
          </a:solidFill>
          <a:ln w="0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62" name="Freeform 19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>
            <a:spLocks noChangeAspect="1"/>
          </xdr:cNvSpPr>
        </xdr:nvSpPr>
        <xdr:spPr bwMode="auto">
          <a:xfrm rot="5588598" flipH="1" flipV="1">
            <a:off x="4011805" y="860067"/>
            <a:ext cx="180258" cy="61632"/>
          </a:xfrm>
          <a:custGeom>
            <a:avLst/>
            <a:gdLst>
              <a:gd name="T0" fmla="*/ 38 w 38"/>
              <a:gd name="T1" fmla="*/ 6 h 10"/>
              <a:gd name="T2" fmla="*/ 38 w 38"/>
              <a:gd name="T3" fmla="*/ 10 h 10"/>
              <a:gd name="T4" fmla="*/ 11 w 38"/>
              <a:gd name="T5" fmla="*/ 9 h 10"/>
              <a:gd name="T6" fmla="*/ 10 w 38"/>
              <a:gd name="T7" fmla="*/ 4 h 10"/>
              <a:gd name="T8" fmla="*/ 0 w 38"/>
              <a:gd name="T9" fmla="*/ 4 h 10"/>
              <a:gd name="T10" fmla="*/ 14 w 38"/>
              <a:gd name="T11" fmla="*/ 0 h 10"/>
              <a:gd name="T12" fmla="*/ 22 w 38"/>
              <a:gd name="T13" fmla="*/ 4 h 10"/>
              <a:gd name="T14" fmla="*/ 15 w 38"/>
              <a:gd name="T15" fmla="*/ 4 h 10"/>
              <a:gd name="T16" fmla="*/ 14 w 38"/>
              <a:gd name="T17" fmla="*/ 7 h 10"/>
              <a:gd name="T18" fmla="*/ 38 w 38"/>
              <a:gd name="T19" fmla="*/ 6 h 10"/>
              <a:gd name="T20" fmla="*/ 38 w 38"/>
              <a:gd name="T21" fmla="*/ 6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38" h="10">
                <a:moveTo>
                  <a:pt x="38" y="6"/>
                </a:moveTo>
                <a:lnTo>
                  <a:pt x="38" y="10"/>
                </a:lnTo>
                <a:lnTo>
                  <a:pt x="11" y="9"/>
                </a:lnTo>
                <a:lnTo>
                  <a:pt x="10" y="4"/>
                </a:lnTo>
                <a:lnTo>
                  <a:pt x="0" y="4"/>
                </a:lnTo>
                <a:lnTo>
                  <a:pt x="14" y="0"/>
                </a:lnTo>
                <a:lnTo>
                  <a:pt x="22" y="4"/>
                </a:lnTo>
                <a:lnTo>
                  <a:pt x="15" y="4"/>
                </a:lnTo>
                <a:lnTo>
                  <a:pt x="14" y="7"/>
                </a:lnTo>
                <a:lnTo>
                  <a:pt x="38" y="6"/>
                </a:lnTo>
                <a:lnTo>
                  <a:pt x="38" y="6"/>
                </a:lnTo>
              </a:path>
            </a:pathLst>
          </a:custGeom>
          <a:solidFill>
            <a:srgbClr val="000000"/>
          </a:solidFill>
          <a:ln w="0">
            <a:solidFill>
              <a:srgbClr val="000000"/>
            </a:solidFill>
            <a:prstDash val="solid"/>
            <a:round/>
            <a:headEnd/>
            <a:tailEnd/>
          </a:ln>
        </xdr:spPr>
      </xdr:sp>
    </xdr:grpSp>
    <xdr:clientData/>
  </xdr:twoCellAnchor>
  <xdr:twoCellAnchor>
    <xdr:from>
      <xdr:col>20</xdr:col>
      <xdr:colOff>19050</xdr:colOff>
      <xdr:row>0</xdr:row>
      <xdr:rowOff>85726</xdr:rowOff>
    </xdr:from>
    <xdr:to>
      <xdr:col>20</xdr:col>
      <xdr:colOff>266700</xdr:colOff>
      <xdr:row>0</xdr:row>
      <xdr:rowOff>95250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CxnSpPr/>
      </xdr:nvCxnSpPr>
      <xdr:spPr>
        <a:xfrm>
          <a:off x="2209800" y="9725026"/>
          <a:ext cx="247650" cy="952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238125</xdr:colOff>
      <xdr:row>4</xdr:row>
      <xdr:rowOff>95250</xdr:rowOff>
    </xdr:from>
    <xdr:to>
      <xdr:col>21</xdr:col>
      <xdr:colOff>247650</xdr:colOff>
      <xdr:row>6</xdr:row>
      <xdr:rowOff>0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CxnSpPr/>
      </xdr:nvCxnSpPr>
      <xdr:spPr>
        <a:xfrm flipH="1" flipV="1">
          <a:off x="1990725" y="10382250"/>
          <a:ext cx="9525" cy="2286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266700</xdr:colOff>
      <xdr:row>1</xdr:row>
      <xdr:rowOff>9525</xdr:rowOff>
    </xdr:from>
    <xdr:to>
      <xdr:col>26</xdr:col>
      <xdr:colOff>276225</xdr:colOff>
      <xdr:row>2</xdr:row>
      <xdr:rowOff>114300</xdr:rowOff>
    </xdr:to>
    <xdr:cxnSp macro="">
      <xdr:nvCxnSpPr>
        <xdr:cNvPr id="68" name="Straight Arrow Connector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CxnSpPr/>
      </xdr:nvCxnSpPr>
      <xdr:spPr>
        <a:xfrm flipH="1" flipV="1">
          <a:off x="12268200" y="209550"/>
          <a:ext cx="9525" cy="2667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257175</xdr:colOff>
      <xdr:row>6</xdr:row>
      <xdr:rowOff>76200</xdr:rowOff>
    </xdr:from>
    <xdr:to>
      <xdr:col>27</xdr:col>
      <xdr:colOff>504825</xdr:colOff>
      <xdr:row>6</xdr:row>
      <xdr:rowOff>85724</xdr:rowOff>
    </xdr:to>
    <xdr:cxnSp macro="">
      <xdr:nvCxnSpPr>
        <xdr:cNvPr id="70" name="Straight Arrow Connector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CxnSpPr/>
      </xdr:nvCxnSpPr>
      <xdr:spPr>
        <a:xfrm>
          <a:off x="12811125" y="1133475"/>
          <a:ext cx="247650" cy="952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76200</xdr:colOff>
      <xdr:row>0</xdr:row>
      <xdr:rowOff>95250</xdr:rowOff>
    </xdr:from>
    <xdr:to>
      <xdr:col>3</xdr:col>
      <xdr:colOff>114300</xdr:colOff>
      <xdr:row>3</xdr:row>
      <xdr:rowOff>57150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98" r="63542"/>
        <a:stretch/>
      </xdr:blipFill>
      <xdr:spPr bwMode="auto">
        <a:xfrm>
          <a:off x="76200" y="95250"/>
          <a:ext cx="1352550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200025</xdr:colOff>
      <xdr:row>0</xdr:row>
      <xdr:rowOff>0</xdr:rowOff>
    </xdr:from>
    <xdr:to>
      <xdr:col>17</xdr:col>
      <xdr:colOff>342900</xdr:colOff>
      <xdr:row>1</xdr:row>
      <xdr:rowOff>57150</xdr:rowOff>
    </xdr:to>
    <xdr:pic>
      <xdr:nvPicPr>
        <xdr:cNvPr id="23" name="Picture 548" descr="NORTH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82125" y="0"/>
          <a:ext cx="1428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133350</xdr:colOff>
      <xdr:row>4</xdr:row>
      <xdr:rowOff>152400</xdr:rowOff>
    </xdr:from>
    <xdr:to>
      <xdr:col>25</xdr:col>
      <xdr:colOff>295275</xdr:colOff>
      <xdr:row>6</xdr:row>
      <xdr:rowOff>114300</xdr:rowOff>
    </xdr:to>
    <xdr:sp macro="" textlink="">
      <xdr:nvSpPr>
        <xdr:cNvPr id="4" name="Circular Arrow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38550" y="10515600"/>
          <a:ext cx="161925" cy="285750"/>
        </a:xfrm>
        <a:prstGeom prst="circularArrow">
          <a:avLst/>
        </a:prstGeom>
        <a:ln w="1270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>
            <a:solidFill>
              <a:schemeClr val="tx1"/>
            </a:solidFill>
          </a:endParaRPr>
        </a:p>
      </xdr:txBody>
    </xdr:sp>
    <xdr:clientData/>
  </xdr:twoCellAnchor>
  <xdr:twoCellAnchor>
    <xdr:from>
      <xdr:col>27</xdr:col>
      <xdr:colOff>290515</xdr:colOff>
      <xdr:row>2</xdr:row>
      <xdr:rowOff>33337</xdr:rowOff>
    </xdr:from>
    <xdr:to>
      <xdr:col>28</xdr:col>
      <xdr:colOff>138115</xdr:colOff>
      <xdr:row>2</xdr:row>
      <xdr:rowOff>142874</xdr:rowOff>
    </xdr:to>
    <xdr:sp macro="" textlink="">
      <xdr:nvSpPr>
        <xdr:cNvPr id="27" name="Circular Arrow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 rot="16200000">
          <a:off x="12989721" y="250031"/>
          <a:ext cx="109537" cy="400050"/>
        </a:xfrm>
        <a:prstGeom prst="circularArrow">
          <a:avLst/>
        </a:prstGeom>
        <a:ln w="1270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171450</xdr:colOff>
      <xdr:row>0</xdr:row>
      <xdr:rowOff>57150</xdr:rowOff>
    </xdr:from>
    <xdr:to>
      <xdr:col>22</xdr:col>
      <xdr:colOff>333375</xdr:colOff>
      <xdr:row>2</xdr:row>
      <xdr:rowOff>19050</xdr:rowOff>
    </xdr:to>
    <xdr:sp macro="" textlink="">
      <xdr:nvSpPr>
        <xdr:cNvPr id="28" name="Circular Arrow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 rot="10800000">
          <a:off x="2800350" y="9772650"/>
          <a:ext cx="161925" cy="285750"/>
        </a:xfrm>
        <a:prstGeom prst="circularArrow">
          <a:avLst/>
        </a:prstGeom>
        <a:ln w="1270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414338</xdr:colOff>
      <xdr:row>4</xdr:row>
      <xdr:rowOff>33341</xdr:rowOff>
    </xdr:from>
    <xdr:to>
      <xdr:col>20</xdr:col>
      <xdr:colOff>261938</xdr:colOff>
      <xdr:row>4</xdr:row>
      <xdr:rowOff>161930</xdr:rowOff>
    </xdr:to>
    <xdr:sp macro="" textlink="">
      <xdr:nvSpPr>
        <xdr:cNvPr id="29" name="Circular Arrow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 rot="5400000">
          <a:off x="8684418" y="621511"/>
          <a:ext cx="128589" cy="400050"/>
        </a:xfrm>
        <a:prstGeom prst="circularArrow">
          <a:avLst/>
        </a:prstGeom>
        <a:ln w="12700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114300</xdr:colOff>
      <xdr:row>11</xdr:row>
      <xdr:rowOff>38100</xdr:rowOff>
    </xdr:from>
    <xdr:to>
      <xdr:col>30</xdr:col>
      <xdr:colOff>504825</xdr:colOff>
      <xdr:row>48</xdr:row>
      <xdr:rowOff>123825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103188</xdr:rowOff>
    </xdr:from>
    <xdr:to>
      <xdr:col>2</xdr:col>
      <xdr:colOff>381000</xdr:colOff>
      <xdr:row>3</xdr:row>
      <xdr:rowOff>36513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98" r="63542"/>
        <a:stretch/>
      </xdr:blipFill>
      <xdr:spPr bwMode="auto">
        <a:xfrm>
          <a:off x="47625" y="103188"/>
          <a:ext cx="1349375" cy="4968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57149</xdr:colOff>
      <xdr:row>24</xdr:row>
      <xdr:rowOff>133349</xdr:rowOff>
    </xdr:from>
    <xdr:to>
      <xdr:col>17</xdr:col>
      <xdr:colOff>352425</xdr:colOff>
      <xdr:row>60</xdr:row>
      <xdr:rowOff>161924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171450</xdr:colOff>
      <xdr:row>6</xdr:row>
      <xdr:rowOff>38100</xdr:rowOff>
    </xdr:from>
    <xdr:to>
      <xdr:col>16</xdr:col>
      <xdr:colOff>314325</xdr:colOff>
      <xdr:row>7</xdr:row>
      <xdr:rowOff>152400</xdr:rowOff>
    </xdr:to>
    <xdr:pic>
      <xdr:nvPicPr>
        <xdr:cNvPr id="4" name="Picture 548" descr="NORTH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43550" y="1085850"/>
          <a:ext cx="1428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0</xdr:row>
      <xdr:rowOff>104775</xdr:rowOff>
    </xdr:from>
    <xdr:to>
      <xdr:col>3</xdr:col>
      <xdr:colOff>381000</xdr:colOff>
      <xdr:row>2</xdr:row>
      <xdr:rowOff>142875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98" r="63542"/>
        <a:stretch/>
      </xdr:blipFill>
      <xdr:spPr bwMode="auto">
        <a:xfrm>
          <a:off x="209550" y="104775"/>
          <a:ext cx="1228725" cy="476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9</xdr:col>
      <xdr:colOff>47626</xdr:colOff>
      <xdr:row>8</xdr:row>
      <xdr:rowOff>76200</xdr:rowOff>
    </xdr:from>
    <xdr:to>
      <xdr:col>9</xdr:col>
      <xdr:colOff>123826</xdr:colOff>
      <xdr:row>8</xdr:row>
      <xdr:rowOff>161925</xdr:rowOff>
    </xdr:to>
    <xdr:sp macro="" textlink="">
      <xdr:nvSpPr>
        <xdr:cNvPr id="10" name="Left Bracket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 rot="16200000">
          <a:off x="2947988" y="1547813"/>
          <a:ext cx="85725" cy="76200"/>
        </a:xfrm>
        <a:prstGeom prst="leftBracket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3</xdr:col>
      <xdr:colOff>314325</xdr:colOff>
      <xdr:row>14</xdr:row>
      <xdr:rowOff>85725</xdr:rowOff>
    </xdr:from>
    <xdr:to>
      <xdr:col>3</xdr:col>
      <xdr:colOff>400050</xdr:colOff>
      <xdr:row>14</xdr:row>
      <xdr:rowOff>161925</xdr:rowOff>
    </xdr:to>
    <xdr:sp macro="" textlink="">
      <xdr:nvSpPr>
        <xdr:cNvPr id="11" name="Left Bracke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 rot="10800000">
          <a:off x="1209675" y="2667000"/>
          <a:ext cx="85725" cy="76200"/>
        </a:xfrm>
        <a:prstGeom prst="leftBracket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9</xdr:col>
      <xdr:colOff>57150</xdr:colOff>
      <xdr:row>20</xdr:row>
      <xdr:rowOff>66676</xdr:rowOff>
    </xdr:from>
    <xdr:to>
      <xdr:col>9</xdr:col>
      <xdr:colOff>133350</xdr:colOff>
      <xdr:row>20</xdr:row>
      <xdr:rowOff>152401</xdr:rowOff>
    </xdr:to>
    <xdr:sp macro="" textlink="">
      <xdr:nvSpPr>
        <xdr:cNvPr id="12" name="Left Bracke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 rot="5400000">
          <a:off x="2957512" y="3767139"/>
          <a:ext cx="85725" cy="76200"/>
        </a:xfrm>
        <a:prstGeom prst="leftBracket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15</xdr:col>
      <xdr:colOff>47625</xdr:colOff>
      <xdr:row>14</xdr:row>
      <xdr:rowOff>76200</xdr:rowOff>
    </xdr:from>
    <xdr:to>
      <xdr:col>15</xdr:col>
      <xdr:colOff>133350</xdr:colOff>
      <xdr:row>14</xdr:row>
      <xdr:rowOff>152400</xdr:rowOff>
    </xdr:to>
    <xdr:sp macro="" textlink="">
      <xdr:nvSpPr>
        <xdr:cNvPr id="13" name="Left Bracket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4972050" y="2657475"/>
          <a:ext cx="85725" cy="76200"/>
        </a:xfrm>
        <a:prstGeom prst="leftBracket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86591</xdr:colOff>
      <xdr:row>9</xdr:row>
      <xdr:rowOff>18555</xdr:rowOff>
    </xdr:from>
    <xdr:to>
      <xdr:col>13</xdr:col>
      <xdr:colOff>86591</xdr:colOff>
      <xdr:row>9</xdr:row>
      <xdr:rowOff>136071</xdr:rowOff>
    </xdr:to>
    <xdr:cxnSp macro="">
      <xdr:nvCxnSpPr>
        <xdr:cNvPr id="50" name="Straight Arrow Connector 49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CxnSpPr/>
      </xdr:nvCxnSpPr>
      <xdr:spPr>
        <a:xfrm>
          <a:off x="4360471" y="1830779"/>
          <a:ext cx="0" cy="117516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prstDash val="sysDot"/>
          <a:headEnd type="diamond"/>
          <a:tailEnd type="diamon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30925</xdr:colOff>
      <xdr:row>9</xdr:row>
      <xdr:rowOff>76201</xdr:rowOff>
    </xdr:from>
    <xdr:to>
      <xdr:col>5</xdr:col>
      <xdr:colOff>152402</xdr:colOff>
      <xdr:row>9</xdr:row>
      <xdr:rowOff>80406</xdr:rowOff>
    </xdr:to>
    <xdr:cxnSp macro="">
      <xdr:nvCxnSpPr>
        <xdr:cNvPr id="51" name="Straight Arrow Connector 50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CxnSpPr/>
      </xdr:nvCxnSpPr>
      <xdr:spPr>
        <a:xfrm flipH="1">
          <a:off x="1812224" y="1888425"/>
          <a:ext cx="121477" cy="4205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prstDash val="sysDot"/>
          <a:headEnd type="diamond"/>
          <a:tailEnd type="diamon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86591</xdr:colOff>
      <xdr:row>17</xdr:row>
      <xdr:rowOff>24740</xdr:rowOff>
    </xdr:from>
    <xdr:to>
      <xdr:col>5</xdr:col>
      <xdr:colOff>86592</xdr:colOff>
      <xdr:row>17</xdr:row>
      <xdr:rowOff>136071</xdr:rowOff>
    </xdr:to>
    <xdr:cxnSp macro="">
      <xdr:nvCxnSpPr>
        <xdr:cNvPr id="52" name="Straight Arrow Connector 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CxnSpPr/>
      </xdr:nvCxnSpPr>
      <xdr:spPr>
        <a:xfrm flipH="1">
          <a:off x="1867890" y="3216234"/>
          <a:ext cx="1" cy="111331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prstDash val="sysDot"/>
          <a:headEnd type="diamond"/>
          <a:tailEnd type="diamon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37110</xdr:colOff>
      <xdr:row>17</xdr:row>
      <xdr:rowOff>86590</xdr:rowOff>
    </xdr:from>
    <xdr:to>
      <xdr:col>13</xdr:col>
      <xdr:colOff>160812</xdr:colOff>
      <xdr:row>17</xdr:row>
      <xdr:rowOff>86590</xdr:rowOff>
    </xdr:to>
    <xdr:cxnSp macro="">
      <xdr:nvCxnSpPr>
        <xdr:cNvPr id="53" name="Straight Arrow Connector 5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CxnSpPr/>
      </xdr:nvCxnSpPr>
      <xdr:spPr>
        <a:xfrm flipH="1">
          <a:off x="4310990" y="3278084"/>
          <a:ext cx="123702" cy="0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prstDash val="sysDot"/>
          <a:headEnd type="diamond"/>
          <a:tailEnd type="diamon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30926</xdr:colOff>
      <xdr:row>28</xdr:row>
      <xdr:rowOff>74221</xdr:rowOff>
    </xdr:from>
    <xdr:to>
      <xdr:col>5</xdr:col>
      <xdr:colOff>152403</xdr:colOff>
      <xdr:row>28</xdr:row>
      <xdr:rowOff>78426</xdr:rowOff>
    </xdr:to>
    <xdr:cxnSp macro="">
      <xdr:nvCxnSpPr>
        <xdr:cNvPr id="70" name="Straight Arrow Connector 69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CxnSpPr/>
      </xdr:nvCxnSpPr>
      <xdr:spPr>
        <a:xfrm flipH="1">
          <a:off x="1812225" y="5442857"/>
          <a:ext cx="121477" cy="4205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prstDash val="sysDot"/>
          <a:headEnd type="diamond"/>
          <a:tailEnd type="diamon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37110</xdr:colOff>
      <xdr:row>36</xdr:row>
      <xdr:rowOff>80406</xdr:rowOff>
    </xdr:from>
    <xdr:to>
      <xdr:col>13</xdr:col>
      <xdr:colOff>158587</xdr:colOff>
      <xdr:row>36</xdr:row>
      <xdr:rowOff>84611</xdr:rowOff>
    </xdr:to>
    <xdr:cxnSp macro="">
      <xdr:nvCxnSpPr>
        <xdr:cNvPr id="71" name="Straight Arrow Connector 70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CxnSpPr/>
      </xdr:nvCxnSpPr>
      <xdr:spPr>
        <a:xfrm flipH="1">
          <a:off x="4310990" y="6828312"/>
          <a:ext cx="121477" cy="4205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prstDash val="sysDot"/>
          <a:headEnd type="diamond"/>
          <a:tailEnd type="diamon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30926</xdr:colOff>
      <xdr:row>47</xdr:row>
      <xdr:rowOff>74220</xdr:rowOff>
    </xdr:from>
    <xdr:to>
      <xdr:col>5</xdr:col>
      <xdr:colOff>152403</xdr:colOff>
      <xdr:row>47</xdr:row>
      <xdr:rowOff>78425</xdr:rowOff>
    </xdr:to>
    <xdr:cxnSp macro="">
      <xdr:nvCxnSpPr>
        <xdr:cNvPr id="72" name="Straight Arrow Connector 7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CxnSpPr/>
      </xdr:nvCxnSpPr>
      <xdr:spPr>
        <a:xfrm flipH="1">
          <a:off x="1812225" y="8999269"/>
          <a:ext cx="121477" cy="4205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prstDash val="sysDot"/>
          <a:headEnd type="diamond"/>
          <a:tailEnd type="diamon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24740</xdr:colOff>
      <xdr:row>55</xdr:row>
      <xdr:rowOff>80406</xdr:rowOff>
    </xdr:from>
    <xdr:to>
      <xdr:col>13</xdr:col>
      <xdr:colOff>146217</xdr:colOff>
      <xdr:row>55</xdr:row>
      <xdr:rowOff>84611</xdr:rowOff>
    </xdr:to>
    <xdr:cxnSp macro="">
      <xdr:nvCxnSpPr>
        <xdr:cNvPr id="73" name="Straight Arrow Connector 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CxnSpPr/>
      </xdr:nvCxnSpPr>
      <xdr:spPr>
        <a:xfrm flipH="1">
          <a:off x="4298620" y="10384724"/>
          <a:ext cx="121477" cy="4205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prstDash val="sysDot"/>
          <a:headEnd type="diamond"/>
          <a:tailEnd type="diamon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111331</xdr:colOff>
      <xdr:row>28</xdr:row>
      <xdr:rowOff>18555</xdr:rowOff>
    </xdr:from>
    <xdr:to>
      <xdr:col>13</xdr:col>
      <xdr:colOff>111331</xdr:colOff>
      <xdr:row>28</xdr:row>
      <xdr:rowOff>136071</xdr:rowOff>
    </xdr:to>
    <xdr:cxnSp macro="">
      <xdr:nvCxnSpPr>
        <xdr:cNvPr id="74" name="Straight Arrow Connector 73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CxnSpPr/>
      </xdr:nvCxnSpPr>
      <xdr:spPr>
        <a:xfrm>
          <a:off x="4588081" y="5387191"/>
          <a:ext cx="0" cy="117516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prstDash val="sysDot"/>
          <a:headEnd type="diamond"/>
          <a:tailEnd type="diamon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92776</xdr:colOff>
      <xdr:row>36</xdr:row>
      <xdr:rowOff>18556</xdr:rowOff>
    </xdr:from>
    <xdr:to>
      <xdr:col>5</xdr:col>
      <xdr:colOff>92776</xdr:colOff>
      <xdr:row>36</xdr:row>
      <xdr:rowOff>136072</xdr:rowOff>
    </xdr:to>
    <xdr:cxnSp macro="">
      <xdr:nvCxnSpPr>
        <xdr:cNvPr id="75" name="Straight Arrow Connector 74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CxnSpPr/>
      </xdr:nvCxnSpPr>
      <xdr:spPr>
        <a:xfrm>
          <a:off x="1874075" y="6766462"/>
          <a:ext cx="0" cy="117516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prstDash val="sysDot"/>
          <a:headEnd type="diamond"/>
          <a:tailEnd type="diamon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86591</xdr:colOff>
      <xdr:row>47</xdr:row>
      <xdr:rowOff>18555</xdr:rowOff>
    </xdr:from>
    <xdr:to>
      <xdr:col>13</xdr:col>
      <xdr:colOff>86591</xdr:colOff>
      <xdr:row>47</xdr:row>
      <xdr:rowOff>136071</xdr:rowOff>
    </xdr:to>
    <xdr:cxnSp macro="">
      <xdr:nvCxnSpPr>
        <xdr:cNvPr id="76" name="Straight Arrow Connector 75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CxnSpPr/>
      </xdr:nvCxnSpPr>
      <xdr:spPr>
        <a:xfrm>
          <a:off x="4360471" y="8943604"/>
          <a:ext cx="0" cy="117516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prstDash val="sysDot"/>
          <a:headEnd type="diamond"/>
          <a:tailEnd type="diamon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80405</xdr:colOff>
      <xdr:row>55</xdr:row>
      <xdr:rowOff>24740</xdr:rowOff>
    </xdr:from>
    <xdr:to>
      <xdr:col>5</xdr:col>
      <xdr:colOff>80405</xdr:colOff>
      <xdr:row>55</xdr:row>
      <xdr:rowOff>142256</xdr:rowOff>
    </xdr:to>
    <xdr:cxnSp macro="">
      <xdr:nvCxnSpPr>
        <xdr:cNvPr id="77" name="Straight Arrow Connector 76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CxnSpPr/>
      </xdr:nvCxnSpPr>
      <xdr:spPr>
        <a:xfrm>
          <a:off x="1861704" y="10329058"/>
          <a:ext cx="0" cy="117516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prstDash val="sysDot"/>
          <a:headEnd type="diamond"/>
          <a:tailEnd type="diamon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171450</xdr:colOff>
      <xdr:row>6</xdr:row>
      <xdr:rowOff>57150</xdr:rowOff>
    </xdr:from>
    <xdr:to>
      <xdr:col>16</xdr:col>
      <xdr:colOff>314325</xdr:colOff>
      <xdr:row>7</xdr:row>
      <xdr:rowOff>104775</xdr:rowOff>
    </xdr:to>
    <xdr:pic>
      <xdr:nvPicPr>
        <xdr:cNvPr id="15" name="Picture 548" descr="NORTH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53075" y="1104900"/>
          <a:ext cx="1428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180975</xdr:colOff>
      <xdr:row>25</xdr:row>
      <xdr:rowOff>66675</xdr:rowOff>
    </xdr:from>
    <xdr:to>
      <xdr:col>16</xdr:col>
      <xdr:colOff>323850</xdr:colOff>
      <xdr:row>26</xdr:row>
      <xdr:rowOff>114300</xdr:rowOff>
    </xdr:to>
    <xdr:pic>
      <xdr:nvPicPr>
        <xdr:cNvPr id="16" name="Picture 548" descr="NORTH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62600" y="4676775"/>
          <a:ext cx="1428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161925</xdr:colOff>
      <xdr:row>44</xdr:row>
      <xdr:rowOff>47625</xdr:rowOff>
    </xdr:from>
    <xdr:to>
      <xdr:col>16</xdr:col>
      <xdr:colOff>304800</xdr:colOff>
      <xdr:row>45</xdr:row>
      <xdr:rowOff>95250</xdr:rowOff>
    </xdr:to>
    <xdr:pic>
      <xdr:nvPicPr>
        <xdr:cNvPr id="17" name="Picture 548" descr="NORTH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43550" y="8220075"/>
          <a:ext cx="1428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0</xdr:row>
      <xdr:rowOff>114300</xdr:rowOff>
    </xdr:from>
    <xdr:to>
      <xdr:col>3</xdr:col>
      <xdr:colOff>419100</xdr:colOff>
      <xdr:row>2</xdr:row>
      <xdr:rowOff>152400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98" r="63542"/>
        <a:stretch/>
      </xdr:blipFill>
      <xdr:spPr bwMode="auto">
        <a:xfrm>
          <a:off x="85725" y="114300"/>
          <a:ext cx="1228725" cy="476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15</xdr:col>
      <xdr:colOff>47625</xdr:colOff>
      <xdr:row>51</xdr:row>
      <xdr:rowOff>85725</xdr:rowOff>
    </xdr:from>
    <xdr:to>
      <xdr:col>15</xdr:col>
      <xdr:colOff>133350</xdr:colOff>
      <xdr:row>51</xdr:row>
      <xdr:rowOff>161925</xdr:rowOff>
    </xdr:to>
    <xdr:sp macro="" textlink="">
      <xdr:nvSpPr>
        <xdr:cNvPr id="47" name="Left Bracket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SpPr/>
      </xdr:nvSpPr>
      <xdr:spPr>
        <a:xfrm>
          <a:off x="4981575" y="9601200"/>
          <a:ext cx="85725" cy="76200"/>
        </a:xfrm>
        <a:prstGeom prst="leftBracket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15</xdr:col>
      <xdr:colOff>47625</xdr:colOff>
      <xdr:row>32</xdr:row>
      <xdr:rowOff>85725</xdr:rowOff>
    </xdr:from>
    <xdr:to>
      <xdr:col>15</xdr:col>
      <xdr:colOff>133350</xdr:colOff>
      <xdr:row>32</xdr:row>
      <xdr:rowOff>161925</xdr:rowOff>
    </xdr:to>
    <xdr:sp macro="" textlink="">
      <xdr:nvSpPr>
        <xdr:cNvPr id="32" name="Left Bracket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/>
      </xdr:nvSpPr>
      <xdr:spPr>
        <a:xfrm>
          <a:off x="4981575" y="6038850"/>
          <a:ext cx="85725" cy="76200"/>
        </a:xfrm>
        <a:prstGeom prst="leftBracket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15</xdr:col>
      <xdr:colOff>38100</xdr:colOff>
      <xdr:row>13</xdr:row>
      <xdr:rowOff>85725</xdr:rowOff>
    </xdr:from>
    <xdr:to>
      <xdr:col>15</xdr:col>
      <xdr:colOff>123825</xdr:colOff>
      <xdr:row>13</xdr:row>
      <xdr:rowOff>161925</xdr:rowOff>
    </xdr:to>
    <xdr:sp macro="" textlink="">
      <xdr:nvSpPr>
        <xdr:cNvPr id="33" name="Left Bracket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/>
      </xdr:nvSpPr>
      <xdr:spPr>
        <a:xfrm>
          <a:off x="4972050" y="2476500"/>
          <a:ext cx="85725" cy="76200"/>
        </a:xfrm>
        <a:prstGeom prst="leftBracket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9</xdr:col>
      <xdr:colOff>71438</xdr:colOff>
      <xdr:row>38</xdr:row>
      <xdr:rowOff>71438</xdr:rowOff>
    </xdr:from>
    <xdr:to>
      <xdr:col>9</xdr:col>
      <xdr:colOff>147638</xdr:colOff>
      <xdr:row>38</xdr:row>
      <xdr:rowOff>157163</xdr:rowOff>
    </xdr:to>
    <xdr:sp macro="" textlink="">
      <xdr:nvSpPr>
        <xdr:cNvPr id="35" name="Left Bracket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/>
      </xdr:nvSpPr>
      <xdr:spPr>
        <a:xfrm rot="5400000">
          <a:off x="2981325" y="7143751"/>
          <a:ext cx="85725" cy="76200"/>
        </a:xfrm>
        <a:prstGeom prst="leftBracket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9</xdr:col>
      <xdr:colOff>42863</xdr:colOff>
      <xdr:row>57</xdr:row>
      <xdr:rowOff>61913</xdr:rowOff>
    </xdr:from>
    <xdr:to>
      <xdr:col>9</xdr:col>
      <xdr:colOff>119063</xdr:colOff>
      <xdr:row>57</xdr:row>
      <xdr:rowOff>147638</xdr:rowOff>
    </xdr:to>
    <xdr:sp macro="" textlink="">
      <xdr:nvSpPr>
        <xdr:cNvPr id="36" name="Left Bracket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/>
      </xdr:nvSpPr>
      <xdr:spPr>
        <a:xfrm rot="5400000">
          <a:off x="2952750" y="10696576"/>
          <a:ext cx="85725" cy="76200"/>
        </a:xfrm>
        <a:prstGeom prst="leftBracket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9</xdr:col>
      <xdr:colOff>52388</xdr:colOff>
      <xdr:row>19</xdr:row>
      <xdr:rowOff>71438</xdr:rowOff>
    </xdr:from>
    <xdr:to>
      <xdr:col>9</xdr:col>
      <xdr:colOff>128588</xdr:colOff>
      <xdr:row>19</xdr:row>
      <xdr:rowOff>157163</xdr:rowOff>
    </xdr:to>
    <xdr:sp macro="" textlink="">
      <xdr:nvSpPr>
        <xdr:cNvPr id="38" name="Left Bracket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/>
      </xdr:nvSpPr>
      <xdr:spPr>
        <a:xfrm rot="5400000">
          <a:off x="2962275" y="3581401"/>
          <a:ext cx="85725" cy="76200"/>
        </a:xfrm>
        <a:prstGeom prst="leftBracket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3</xdr:col>
      <xdr:colOff>314325</xdr:colOff>
      <xdr:row>32</xdr:row>
      <xdr:rowOff>66675</xdr:rowOff>
    </xdr:from>
    <xdr:to>
      <xdr:col>3</xdr:col>
      <xdr:colOff>400050</xdr:colOff>
      <xdr:row>32</xdr:row>
      <xdr:rowOff>142875</xdr:rowOff>
    </xdr:to>
    <xdr:sp macro="" textlink="">
      <xdr:nvSpPr>
        <xdr:cNvPr id="54" name="Left Bracket 5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SpPr/>
      </xdr:nvSpPr>
      <xdr:spPr>
        <a:xfrm rot="10800000">
          <a:off x="1209675" y="6019800"/>
          <a:ext cx="85725" cy="76200"/>
        </a:xfrm>
        <a:prstGeom prst="leftBracket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3</xdr:col>
      <xdr:colOff>323850</xdr:colOff>
      <xdr:row>51</xdr:row>
      <xdr:rowOff>85725</xdr:rowOff>
    </xdr:from>
    <xdr:to>
      <xdr:col>3</xdr:col>
      <xdr:colOff>409575</xdr:colOff>
      <xdr:row>51</xdr:row>
      <xdr:rowOff>161925</xdr:rowOff>
    </xdr:to>
    <xdr:sp macro="" textlink="">
      <xdr:nvSpPr>
        <xdr:cNvPr id="56" name="Left Bracket 55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SpPr/>
      </xdr:nvSpPr>
      <xdr:spPr>
        <a:xfrm rot="10800000">
          <a:off x="1219200" y="9601200"/>
          <a:ext cx="85725" cy="76200"/>
        </a:xfrm>
        <a:prstGeom prst="leftBracket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3</xdr:col>
      <xdr:colOff>304800</xdr:colOff>
      <xdr:row>13</xdr:row>
      <xdr:rowOff>76200</xdr:rowOff>
    </xdr:from>
    <xdr:to>
      <xdr:col>3</xdr:col>
      <xdr:colOff>390525</xdr:colOff>
      <xdr:row>13</xdr:row>
      <xdr:rowOff>152400</xdr:rowOff>
    </xdr:to>
    <xdr:sp macro="" textlink="">
      <xdr:nvSpPr>
        <xdr:cNvPr id="58" name="Left Bracket 5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SpPr/>
      </xdr:nvSpPr>
      <xdr:spPr>
        <a:xfrm rot="10800000">
          <a:off x="1200150" y="2466975"/>
          <a:ext cx="85725" cy="76200"/>
        </a:xfrm>
        <a:prstGeom prst="leftBracket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9</xdr:col>
      <xdr:colOff>42863</xdr:colOff>
      <xdr:row>7</xdr:row>
      <xdr:rowOff>80962</xdr:rowOff>
    </xdr:from>
    <xdr:to>
      <xdr:col>9</xdr:col>
      <xdr:colOff>119063</xdr:colOff>
      <xdr:row>7</xdr:row>
      <xdr:rowOff>166687</xdr:rowOff>
    </xdr:to>
    <xdr:sp macro="" textlink="">
      <xdr:nvSpPr>
        <xdr:cNvPr id="61" name="Left Bracket 60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SpPr/>
      </xdr:nvSpPr>
      <xdr:spPr>
        <a:xfrm rot="16200000">
          <a:off x="2952750" y="1362075"/>
          <a:ext cx="85725" cy="76200"/>
        </a:xfrm>
        <a:prstGeom prst="leftBracket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9</xdr:col>
      <xdr:colOff>52388</xdr:colOff>
      <xdr:row>26</xdr:row>
      <xdr:rowOff>80962</xdr:rowOff>
    </xdr:from>
    <xdr:to>
      <xdr:col>9</xdr:col>
      <xdr:colOff>128588</xdr:colOff>
      <xdr:row>26</xdr:row>
      <xdr:rowOff>166687</xdr:rowOff>
    </xdr:to>
    <xdr:sp macro="" textlink="">
      <xdr:nvSpPr>
        <xdr:cNvPr id="62" name="Left Bracket 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SpPr/>
      </xdr:nvSpPr>
      <xdr:spPr>
        <a:xfrm rot="16200000">
          <a:off x="2962275" y="4924425"/>
          <a:ext cx="85725" cy="76200"/>
        </a:xfrm>
        <a:prstGeom prst="leftBracket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  <xdr:twoCellAnchor>
    <xdr:from>
      <xdr:col>9</xdr:col>
      <xdr:colOff>52389</xdr:colOff>
      <xdr:row>45</xdr:row>
      <xdr:rowOff>71437</xdr:rowOff>
    </xdr:from>
    <xdr:to>
      <xdr:col>9</xdr:col>
      <xdr:colOff>128589</xdr:colOff>
      <xdr:row>45</xdr:row>
      <xdr:rowOff>157162</xdr:rowOff>
    </xdr:to>
    <xdr:sp macro="" textlink="">
      <xdr:nvSpPr>
        <xdr:cNvPr id="63" name="Left Bracket 6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SpPr/>
      </xdr:nvSpPr>
      <xdr:spPr>
        <a:xfrm rot="16200000">
          <a:off x="2962276" y="8477250"/>
          <a:ext cx="85725" cy="76200"/>
        </a:xfrm>
        <a:prstGeom prst="leftBracket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195262</xdr:colOff>
      <xdr:row>10</xdr:row>
      <xdr:rowOff>90487</xdr:rowOff>
    </xdr:from>
    <xdr:to>
      <xdr:col>26</xdr:col>
      <xdr:colOff>128587</xdr:colOff>
      <xdr:row>11</xdr:row>
      <xdr:rowOff>222249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GrpSpPr/>
      </xdr:nvGrpSpPr>
      <xdr:grpSpPr>
        <a:xfrm>
          <a:off x="5165580" y="1874260"/>
          <a:ext cx="2461780" cy="304944"/>
          <a:chOff x="5600700" y="2505075"/>
          <a:chExt cx="2629125" cy="309556"/>
        </a:xfrm>
      </xdr:grpSpPr>
      <xdr:sp macro="" textlink="">
        <xdr:nvSpPr>
          <xdr:cNvPr id="48" name="Arc 47">
            <a:extLst>
              <a:ext uri="{FF2B5EF4-FFF2-40B4-BE49-F238E27FC236}">
                <a16:creationId xmlns:a16="http://schemas.microsoft.com/office/drawing/2014/main" id="{00000000-0008-0000-0800-000030000000}"/>
              </a:ext>
            </a:extLst>
          </xdr:cNvPr>
          <xdr:cNvSpPr>
            <a:spLocks noChangeAspect="1"/>
          </xdr:cNvSpPr>
        </xdr:nvSpPr>
        <xdr:spPr>
          <a:xfrm rot="5400000">
            <a:off x="5682960" y="2479962"/>
            <a:ext cx="180977" cy="345497"/>
          </a:xfrm>
          <a:prstGeom prst="arc">
            <a:avLst>
              <a:gd name="adj1" fmla="val 16200000"/>
              <a:gd name="adj2" fmla="val 20940575"/>
            </a:avLst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  <xdr:grpSp>
        <xdr:nvGrpSpPr>
          <xdr:cNvPr id="49" name="Group 48">
            <a:extLst>
              <a:ext uri="{FF2B5EF4-FFF2-40B4-BE49-F238E27FC236}">
                <a16:creationId xmlns:a16="http://schemas.microsoft.com/office/drawing/2014/main" id="{00000000-0008-0000-0800-000031000000}"/>
              </a:ext>
            </a:extLst>
          </xdr:cNvPr>
          <xdr:cNvGrpSpPr/>
        </xdr:nvGrpSpPr>
        <xdr:grpSpPr>
          <a:xfrm>
            <a:off x="5886450" y="2533647"/>
            <a:ext cx="364551" cy="280984"/>
            <a:chOff x="5838825" y="2533647"/>
            <a:chExt cx="364551" cy="280984"/>
          </a:xfrm>
        </xdr:grpSpPr>
        <xdr:cxnSp macro="">
          <xdr:nvCxnSpPr>
            <xdr:cNvPr id="60" name="Straight Connector 59">
              <a:extLst>
                <a:ext uri="{FF2B5EF4-FFF2-40B4-BE49-F238E27FC236}">
                  <a16:creationId xmlns:a16="http://schemas.microsoft.com/office/drawing/2014/main" id="{00000000-0008-0000-0800-00003C000000}"/>
                </a:ext>
              </a:extLst>
            </xdr:cNvPr>
            <xdr:cNvCxnSpPr/>
          </xdr:nvCxnSpPr>
          <xdr:spPr>
            <a:xfrm rot="120000">
              <a:off x="6193852" y="2614606"/>
              <a:ext cx="9524" cy="200025"/>
            </a:xfrm>
            <a:prstGeom prst="line">
              <a:avLst/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1" name="Arc 60">
              <a:extLst>
                <a:ext uri="{FF2B5EF4-FFF2-40B4-BE49-F238E27FC236}">
                  <a16:creationId xmlns:a16="http://schemas.microsoft.com/office/drawing/2014/main" id="{00000000-0008-0000-0800-00003D000000}"/>
                </a:ext>
              </a:extLst>
            </xdr:cNvPr>
            <xdr:cNvSpPr>
              <a:spLocks noChangeAspect="1"/>
            </xdr:cNvSpPr>
          </xdr:nvSpPr>
          <xdr:spPr>
            <a:xfrm rot="5400000">
              <a:off x="5921085" y="2451387"/>
              <a:ext cx="180977" cy="345497"/>
            </a:xfrm>
            <a:prstGeom prst="arc">
              <a:avLst>
                <a:gd name="adj1" fmla="val 16200000"/>
                <a:gd name="adj2" fmla="val 20940575"/>
              </a:avLst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</xdr:grpSp>
      <xdr:grpSp>
        <xdr:nvGrpSpPr>
          <xdr:cNvPr id="50" name="Group 49">
            <a:extLst>
              <a:ext uri="{FF2B5EF4-FFF2-40B4-BE49-F238E27FC236}">
                <a16:creationId xmlns:a16="http://schemas.microsoft.com/office/drawing/2014/main" id="{00000000-0008-0000-0800-000032000000}"/>
              </a:ext>
            </a:extLst>
          </xdr:cNvPr>
          <xdr:cNvGrpSpPr/>
        </xdr:nvGrpSpPr>
        <xdr:grpSpPr>
          <a:xfrm>
            <a:off x="6200775" y="2505075"/>
            <a:ext cx="733650" cy="309556"/>
            <a:chOff x="6153150" y="2505075"/>
            <a:chExt cx="733650" cy="309556"/>
          </a:xfrm>
        </xdr:grpSpPr>
        <xdr:cxnSp macro="">
          <xdr:nvCxnSpPr>
            <xdr:cNvPr id="57" name="Straight Connector 56">
              <a:extLst>
                <a:ext uri="{FF2B5EF4-FFF2-40B4-BE49-F238E27FC236}">
                  <a16:creationId xmlns:a16="http://schemas.microsoft.com/office/drawing/2014/main" id="{00000000-0008-0000-0800-000039000000}"/>
                </a:ext>
              </a:extLst>
            </xdr:cNvPr>
            <xdr:cNvCxnSpPr/>
          </xdr:nvCxnSpPr>
          <xdr:spPr>
            <a:xfrm rot="120000">
              <a:off x="6508177" y="2614606"/>
              <a:ext cx="9524" cy="200025"/>
            </a:xfrm>
            <a:prstGeom prst="line">
              <a:avLst/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8" name="Arc 57">
              <a:extLst>
                <a:ext uri="{FF2B5EF4-FFF2-40B4-BE49-F238E27FC236}">
                  <a16:creationId xmlns:a16="http://schemas.microsoft.com/office/drawing/2014/main" id="{00000000-0008-0000-0800-00003A000000}"/>
                </a:ext>
              </a:extLst>
            </xdr:cNvPr>
            <xdr:cNvSpPr>
              <a:spLocks noChangeAspect="1"/>
            </xdr:cNvSpPr>
          </xdr:nvSpPr>
          <xdr:spPr>
            <a:xfrm rot="5400000">
              <a:off x="6235410" y="2451387"/>
              <a:ext cx="180977" cy="345497"/>
            </a:xfrm>
            <a:prstGeom prst="arc">
              <a:avLst>
                <a:gd name="adj1" fmla="val 16200000"/>
                <a:gd name="adj2" fmla="val 20940575"/>
              </a:avLst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  <xdr:sp macro="" textlink="">
          <xdr:nvSpPr>
            <xdr:cNvPr id="59" name="Arc 58">
              <a:extLst>
                <a:ext uri="{FF2B5EF4-FFF2-40B4-BE49-F238E27FC236}">
                  <a16:creationId xmlns:a16="http://schemas.microsoft.com/office/drawing/2014/main" id="{00000000-0008-0000-0800-00003B000000}"/>
                </a:ext>
              </a:extLst>
            </xdr:cNvPr>
            <xdr:cNvSpPr>
              <a:spLocks noChangeAspect="1"/>
            </xdr:cNvSpPr>
          </xdr:nvSpPr>
          <xdr:spPr>
            <a:xfrm rot="5400000" flipV="1">
              <a:off x="6587950" y="2425301"/>
              <a:ext cx="219075" cy="378624"/>
            </a:xfrm>
            <a:prstGeom prst="arc">
              <a:avLst>
                <a:gd name="adj1" fmla="val 16200000"/>
                <a:gd name="adj2" fmla="val 20157182"/>
              </a:avLst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</xdr:grpSp>
      <xdr:cxnSp macro="">
        <xdr:nvCxnSpPr>
          <xdr:cNvPr id="51" name="Straight Connector 50">
            <a:extLst>
              <a:ext uri="{FF2B5EF4-FFF2-40B4-BE49-F238E27FC236}">
                <a16:creationId xmlns:a16="http://schemas.microsoft.com/office/drawing/2014/main" id="{00000000-0008-0000-0800-000033000000}"/>
              </a:ext>
            </a:extLst>
          </xdr:cNvPr>
          <xdr:cNvCxnSpPr/>
        </xdr:nvCxnSpPr>
        <xdr:spPr>
          <a:xfrm rot="120000">
            <a:off x="6870127" y="2614606"/>
            <a:ext cx="9524" cy="200025"/>
          </a:xfrm>
          <a:prstGeom prst="line">
            <a:avLst/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2" name="Straight Connector 51">
            <a:extLst>
              <a:ext uri="{FF2B5EF4-FFF2-40B4-BE49-F238E27FC236}">
                <a16:creationId xmlns:a16="http://schemas.microsoft.com/office/drawing/2014/main" id="{00000000-0008-0000-0800-000034000000}"/>
              </a:ext>
            </a:extLst>
          </xdr:cNvPr>
          <xdr:cNvCxnSpPr/>
        </xdr:nvCxnSpPr>
        <xdr:spPr>
          <a:xfrm rot="120000">
            <a:off x="7203502" y="2614606"/>
            <a:ext cx="9524" cy="200025"/>
          </a:xfrm>
          <a:prstGeom prst="line">
            <a:avLst/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3" name="Arc 52">
            <a:extLst>
              <a:ext uri="{FF2B5EF4-FFF2-40B4-BE49-F238E27FC236}">
                <a16:creationId xmlns:a16="http://schemas.microsoft.com/office/drawing/2014/main" id="{00000000-0008-0000-0800-000035000000}"/>
              </a:ext>
            </a:extLst>
          </xdr:cNvPr>
          <xdr:cNvSpPr>
            <a:spLocks noChangeAspect="1"/>
          </xdr:cNvSpPr>
        </xdr:nvSpPr>
        <xdr:spPr>
          <a:xfrm rot="5400000" flipV="1">
            <a:off x="7283275" y="2425301"/>
            <a:ext cx="219075" cy="378624"/>
          </a:xfrm>
          <a:prstGeom prst="arc">
            <a:avLst>
              <a:gd name="adj1" fmla="val 16200000"/>
              <a:gd name="adj2" fmla="val 20157182"/>
            </a:avLst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  <xdr:sp macro="" textlink="">
        <xdr:nvSpPr>
          <xdr:cNvPr id="54" name="Arc 53">
            <a:extLst>
              <a:ext uri="{FF2B5EF4-FFF2-40B4-BE49-F238E27FC236}">
                <a16:creationId xmlns:a16="http://schemas.microsoft.com/office/drawing/2014/main" id="{00000000-0008-0000-0800-000036000000}"/>
              </a:ext>
            </a:extLst>
          </xdr:cNvPr>
          <xdr:cNvSpPr>
            <a:spLocks noChangeAspect="1"/>
          </xdr:cNvSpPr>
        </xdr:nvSpPr>
        <xdr:spPr>
          <a:xfrm rot="5400000" flipV="1">
            <a:off x="7597600" y="2425301"/>
            <a:ext cx="219075" cy="378624"/>
          </a:xfrm>
          <a:prstGeom prst="arc">
            <a:avLst>
              <a:gd name="adj1" fmla="val 16200000"/>
              <a:gd name="adj2" fmla="val 20157182"/>
            </a:avLst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  <xdr:sp macro="" textlink="">
        <xdr:nvSpPr>
          <xdr:cNvPr id="55" name="Arc 54">
            <a:extLst>
              <a:ext uri="{FF2B5EF4-FFF2-40B4-BE49-F238E27FC236}">
                <a16:creationId xmlns:a16="http://schemas.microsoft.com/office/drawing/2014/main" id="{00000000-0008-0000-0800-000037000000}"/>
              </a:ext>
            </a:extLst>
          </xdr:cNvPr>
          <xdr:cNvSpPr>
            <a:spLocks noChangeAspect="1"/>
          </xdr:cNvSpPr>
        </xdr:nvSpPr>
        <xdr:spPr>
          <a:xfrm rot="5400000" flipV="1">
            <a:off x="7930975" y="2434826"/>
            <a:ext cx="219075" cy="378624"/>
          </a:xfrm>
          <a:prstGeom prst="arc">
            <a:avLst>
              <a:gd name="adj1" fmla="val 16200000"/>
              <a:gd name="adj2" fmla="val 20157182"/>
            </a:avLst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  <xdr:sp macro="" textlink="">
        <xdr:nvSpPr>
          <xdr:cNvPr id="56" name="Right Triangle 55">
            <a:extLst>
              <a:ext uri="{FF2B5EF4-FFF2-40B4-BE49-F238E27FC236}">
                <a16:creationId xmlns:a16="http://schemas.microsoft.com/office/drawing/2014/main" id="{00000000-0008-0000-0800-000038000000}"/>
              </a:ext>
            </a:extLst>
          </xdr:cNvPr>
          <xdr:cNvSpPr/>
        </xdr:nvSpPr>
        <xdr:spPr bwMode="auto">
          <a:xfrm>
            <a:off x="7791451" y="2686049"/>
            <a:ext cx="142876" cy="104775"/>
          </a:xfrm>
          <a:prstGeom prst="rtTriangle">
            <a:avLst/>
          </a:prstGeom>
          <a:solidFill>
            <a:schemeClr val="bg1">
              <a:lumMod val="65000"/>
            </a:schemeClr>
          </a:solidFill>
          <a:ln w="9525" cap="flat" cmpd="sng" algn="ctr">
            <a:solidFill>
              <a:schemeClr val="bg1">
                <a:lumMod val="65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91440" tIns="45720" rIns="91440" bIns="45720" rtlCol="0" anchor="t" upright="1"/>
          <a:lstStyle/>
          <a:p>
            <a:pPr algn="l"/>
            <a:endParaRPr lang="en-ZA" sz="1100"/>
          </a:p>
        </xdr:txBody>
      </xdr:sp>
    </xdr:grpSp>
    <xdr:clientData/>
  </xdr:twoCellAnchor>
  <xdr:twoCellAnchor>
    <xdr:from>
      <xdr:col>28</xdr:col>
      <xdr:colOff>46038</xdr:colOff>
      <xdr:row>22</xdr:row>
      <xdr:rowOff>20638</xdr:rowOff>
    </xdr:from>
    <xdr:to>
      <xdr:col>29</xdr:col>
      <xdr:colOff>46037</xdr:colOff>
      <xdr:row>31</xdr:row>
      <xdr:rowOff>153988</xdr:rowOff>
    </xdr:to>
    <xdr:grpSp>
      <xdr:nvGrpSpPr>
        <xdr:cNvPr id="107" name="Group 106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GrpSpPr/>
      </xdr:nvGrpSpPr>
      <xdr:grpSpPr>
        <a:xfrm>
          <a:off x="8116311" y="3899911"/>
          <a:ext cx="311726" cy="1553441"/>
          <a:chOff x="8477250" y="4467227"/>
          <a:chExt cx="290505" cy="1809974"/>
        </a:xfrm>
      </xdr:grpSpPr>
      <xdr:sp macro="" textlink="">
        <xdr:nvSpPr>
          <xdr:cNvPr id="108" name="Arc 107">
            <a:extLst>
              <a:ext uri="{FF2B5EF4-FFF2-40B4-BE49-F238E27FC236}">
                <a16:creationId xmlns:a16="http://schemas.microsoft.com/office/drawing/2014/main" id="{00000000-0008-0000-0800-00006C000000}"/>
              </a:ext>
            </a:extLst>
          </xdr:cNvPr>
          <xdr:cNvSpPr>
            <a:spLocks noChangeAspect="1"/>
          </xdr:cNvSpPr>
        </xdr:nvSpPr>
        <xdr:spPr>
          <a:xfrm rot="10800000">
            <a:off x="8548682" y="4467227"/>
            <a:ext cx="180977" cy="345497"/>
          </a:xfrm>
          <a:prstGeom prst="arc">
            <a:avLst>
              <a:gd name="adj1" fmla="val 16200000"/>
              <a:gd name="adj2" fmla="val 20940575"/>
            </a:avLst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  <xdr:grpSp>
        <xdr:nvGrpSpPr>
          <xdr:cNvPr id="109" name="Group 108">
            <a:extLst>
              <a:ext uri="{FF2B5EF4-FFF2-40B4-BE49-F238E27FC236}">
                <a16:creationId xmlns:a16="http://schemas.microsoft.com/office/drawing/2014/main" id="{00000000-0008-0000-0800-00006D000000}"/>
              </a:ext>
            </a:extLst>
          </xdr:cNvPr>
          <xdr:cNvGrpSpPr/>
        </xdr:nvGrpSpPr>
        <xdr:grpSpPr>
          <a:xfrm rot="5400000">
            <a:off x="8464474" y="4714231"/>
            <a:ext cx="282728" cy="238124"/>
            <a:chOff x="6234973" y="2576507"/>
            <a:chExt cx="282728" cy="238124"/>
          </a:xfrm>
        </xdr:grpSpPr>
        <xdr:cxnSp macro="">
          <xdr:nvCxnSpPr>
            <xdr:cNvPr id="121" name="Straight Connector 120">
              <a:extLst>
                <a:ext uri="{FF2B5EF4-FFF2-40B4-BE49-F238E27FC236}">
                  <a16:creationId xmlns:a16="http://schemas.microsoft.com/office/drawing/2014/main" id="{00000000-0008-0000-0800-000079000000}"/>
                </a:ext>
              </a:extLst>
            </xdr:cNvPr>
            <xdr:cNvCxnSpPr/>
          </xdr:nvCxnSpPr>
          <xdr:spPr>
            <a:xfrm rot="120000">
              <a:off x="6508177" y="2614606"/>
              <a:ext cx="9524" cy="200025"/>
            </a:xfrm>
            <a:prstGeom prst="line">
              <a:avLst/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22" name="Arc 121">
              <a:extLst>
                <a:ext uri="{FF2B5EF4-FFF2-40B4-BE49-F238E27FC236}">
                  <a16:creationId xmlns:a16="http://schemas.microsoft.com/office/drawing/2014/main" id="{00000000-0008-0000-0800-00007A000000}"/>
                </a:ext>
              </a:extLst>
            </xdr:cNvPr>
            <xdr:cNvSpPr>
              <a:spLocks noChangeAspect="1"/>
            </xdr:cNvSpPr>
          </xdr:nvSpPr>
          <xdr:spPr>
            <a:xfrm rot="5400000">
              <a:off x="6297751" y="2513729"/>
              <a:ext cx="138117" cy="263674"/>
            </a:xfrm>
            <a:prstGeom prst="arc">
              <a:avLst>
                <a:gd name="adj1" fmla="val 16200000"/>
                <a:gd name="adj2" fmla="val 20940575"/>
              </a:avLst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</xdr:grpSp>
      <xdr:cxnSp macro="">
        <xdr:nvCxnSpPr>
          <xdr:cNvPr id="110" name="Straight Connector 109">
            <a:extLst>
              <a:ext uri="{FF2B5EF4-FFF2-40B4-BE49-F238E27FC236}">
                <a16:creationId xmlns:a16="http://schemas.microsoft.com/office/drawing/2014/main" id="{00000000-0008-0000-0800-00006E000000}"/>
              </a:ext>
            </a:extLst>
          </xdr:cNvPr>
          <xdr:cNvCxnSpPr/>
        </xdr:nvCxnSpPr>
        <xdr:spPr>
          <a:xfrm rot="5520000">
            <a:off x="8579742" y="5241354"/>
            <a:ext cx="9524" cy="200025"/>
          </a:xfrm>
          <a:prstGeom prst="line">
            <a:avLst/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111" name="Group 110">
            <a:extLst>
              <a:ext uri="{FF2B5EF4-FFF2-40B4-BE49-F238E27FC236}">
                <a16:creationId xmlns:a16="http://schemas.microsoft.com/office/drawing/2014/main" id="{00000000-0008-0000-0800-00006F000000}"/>
              </a:ext>
            </a:extLst>
          </xdr:cNvPr>
          <xdr:cNvGrpSpPr/>
        </xdr:nvGrpSpPr>
        <xdr:grpSpPr>
          <a:xfrm>
            <a:off x="8494016" y="5527102"/>
            <a:ext cx="259459" cy="312778"/>
            <a:chOff x="8484491" y="5479477"/>
            <a:chExt cx="259459" cy="312778"/>
          </a:xfrm>
        </xdr:grpSpPr>
        <xdr:cxnSp macro="">
          <xdr:nvCxnSpPr>
            <xdr:cNvPr id="119" name="Straight Connector 118">
              <a:extLst>
                <a:ext uri="{FF2B5EF4-FFF2-40B4-BE49-F238E27FC236}">
                  <a16:creationId xmlns:a16="http://schemas.microsoft.com/office/drawing/2014/main" id="{00000000-0008-0000-0800-000077000000}"/>
                </a:ext>
              </a:extLst>
            </xdr:cNvPr>
            <xdr:cNvCxnSpPr/>
          </xdr:nvCxnSpPr>
          <xdr:spPr>
            <a:xfrm rot="5520000">
              <a:off x="8579742" y="5384228"/>
              <a:ext cx="9524" cy="200025"/>
            </a:xfrm>
            <a:prstGeom prst="line">
              <a:avLst/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20" name="Arc 119">
              <a:extLst>
                <a:ext uri="{FF2B5EF4-FFF2-40B4-BE49-F238E27FC236}">
                  <a16:creationId xmlns:a16="http://schemas.microsoft.com/office/drawing/2014/main" id="{00000000-0008-0000-0800-000078000000}"/>
                </a:ext>
              </a:extLst>
            </xdr:cNvPr>
            <xdr:cNvSpPr>
              <a:spLocks noChangeAspect="1"/>
            </xdr:cNvSpPr>
          </xdr:nvSpPr>
          <xdr:spPr>
            <a:xfrm rot="10800000" flipV="1">
              <a:off x="8562974" y="5479477"/>
              <a:ext cx="180976" cy="312778"/>
            </a:xfrm>
            <a:prstGeom prst="arc">
              <a:avLst>
                <a:gd name="adj1" fmla="val 16200000"/>
                <a:gd name="adj2" fmla="val 20157182"/>
              </a:avLst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</xdr:grpSp>
      <xdr:sp macro="" textlink="">
        <xdr:nvSpPr>
          <xdr:cNvPr id="112" name="Arc 111">
            <a:extLst>
              <a:ext uri="{FF2B5EF4-FFF2-40B4-BE49-F238E27FC236}">
                <a16:creationId xmlns:a16="http://schemas.microsoft.com/office/drawing/2014/main" id="{00000000-0008-0000-0800-000070000000}"/>
              </a:ext>
            </a:extLst>
          </xdr:cNvPr>
          <xdr:cNvSpPr>
            <a:spLocks noChangeAspect="1"/>
          </xdr:cNvSpPr>
        </xdr:nvSpPr>
        <xdr:spPr>
          <a:xfrm rot="10800000" flipV="1">
            <a:off x="8539155" y="5689027"/>
            <a:ext cx="219075" cy="378624"/>
          </a:xfrm>
          <a:prstGeom prst="arc">
            <a:avLst>
              <a:gd name="adj1" fmla="val 16200000"/>
              <a:gd name="adj2" fmla="val 20157182"/>
            </a:avLst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  <xdr:grpSp>
        <xdr:nvGrpSpPr>
          <xdr:cNvPr id="113" name="Group 112">
            <a:extLst>
              <a:ext uri="{FF2B5EF4-FFF2-40B4-BE49-F238E27FC236}">
                <a16:creationId xmlns:a16="http://schemas.microsoft.com/office/drawing/2014/main" id="{00000000-0008-0000-0800-000071000000}"/>
              </a:ext>
            </a:extLst>
          </xdr:cNvPr>
          <xdr:cNvGrpSpPr/>
        </xdr:nvGrpSpPr>
        <xdr:grpSpPr>
          <a:xfrm>
            <a:off x="8482006" y="5867402"/>
            <a:ext cx="285749" cy="409799"/>
            <a:chOff x="8491531" y="6686552"/>
            <a:chExt cx="285749" cy="409799"/>
          </a:xfrm>
        </xdr:grpSpPr>
        <xdr:sp macro="" textlink="">
          <xdr:nvSpPr>
            <xdr:cNvPr id="117" name="Arc 116">
              <a:extLst>
                <a:ext uri="{FF2B5EF4-FFF2-40B4-BE49-F238E27FC236}">
                  <a16:creationId xmlns:a16="http://schemas.microsoft.com/office/drawing/2014/main" id="{00000000-0008-0000-0800-000075000000}"/>
                </a:ext>
              </a:extLst>
            </xdr:cNvPr>
            <xdr:cNvSpPr>
              <a:spLocks noChangeAspect="1"/>
            </xdr:cNvSpPr>
          </xdr:nvSpPr>
          <xdr:spPr>
            <a:xfrm rot="10800000" flipV="1">
              <a:off x="8558205" y="6717727"/>
              <a:ext cx="219075" cy="378624"/>
            </a:xfrm>
            <a:prstGeom prst="arc">
              <a:avLst>
                <a:gd name="adj1" fmla="val 16200000"/>
                <a:gd name="adj2" fmla="val 20157182"/>
              </a:avLst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  <xdr:sp macro="" textlink="">
          <xdr:nvSpPr>
            <xdr:cNvPr id="118" name="Right Triangle 117">
              <a:extLst>
                <a:ext uri="{FF2B5EF4-FFF2-40B4-BE49-F238E27FC236}">
                  <a16:creationId xmlns:a16="http://schemas.microsoft.com/office/drawing/2014/main" id="{00000000-0008-0000-0800-000076000000}"/>
                </a:ext>
              </a:extLst>
            </xdr:cNvPr>
            <xdr:cNvSpPr/>
          </xdr:nvSpPr>
          <xdr:spPr bwMode="auto">
            <a:xfrm rot="5400000">
              <a:off x="8477243" y="6700840"/>
              <a:ext cx="114301" cy="85725"/>
            </a:xfrm>
            <a:prstGeom prst="rtTriangle">
              <a:avLst/>
            </a:prstGeom>
            <a:solidFill>
              <a:schemeClr val="bg1">
                <a:lumMod val="65000"/>
              </a:schemeClr>
            </a:solidFill>
            <a:ln w="9525" cap="flat" cmpd="sng" algn="ctr">
              <a:solidFill>
                <a:schemeClr val="bg1">
                  <a:lumMod val="6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horzOverflow="clip" wrap="square" lIns="91440" tIns="45720" rIns="91440" bIns="45720" rtlCol="0" anchor="t" upright="1"/>
            <a:lstStyle/>
            <a:p>
              <a:pPr algn="l"/>
              <a:endParaRPr lang="en-ZA" sz="1100"/>
            </a:p>
          </xdr:txBody>
        </xdr:sp>
      </xdr:grpSp>
      <xdr:cxnSp macro="">
        <xdr:nvCxnSpPr>
          <xdr:cNvPr id="114" name="Straight Connector 113">
            <a:extLst>
              <a:ext uri="{FF2B5EF4-FFF2-40B4-BE49-F238E27FC236}">
                <a16:creationId xmlns:a16="http://schemas.microsoft.com/office/drawing/2014/main" id="{00000000-0008-0000-0800-000072000000}"/>
              </a:ext>
            </a:extLst>
          </xdr:cNvPr>
          <xdr:cNvCxnSpPr/>
        </xdr:nvCxnSpPr>
        <xdr:spPr>
          <a:xfrm rot="5520000">
            <a:off x="8572501" y="5045229"/>
            <a:ext cx="9524" cy="200025"/>
          </a:xfrm>
          <a:prstGeom prst="line">
            <a:avLst/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5" name="Arc 114">
            <a:extLst>
              <a:ext uri="{FF2B5EF4-FFF2-40B4-BE49-F238E27FC236}">
                <a16:creationId xmlns:a16="http://schemas.microsoft.com/office/drawing/2014/main" id="{00000000-0008-0000-0800-000073000000}"/>
              </a:ext>
            </a:extLst>
          </xdr:cNvPr>
          <xdr:cNvSpPr>
            <a:spLocks noChangeAspect="1"/>
          </xdr:cNvSpPr>
        </xdr:nvSpPr>
        <xdr:spPr>
          <a:xfrm rot="10800000">
            <a:off x="8582024" y="4894557"/>
            <a:ext cx="123825" cy="236390"/>
          </a:xfrm>
          <a:prstGeom prst="arc">
            <a:avLst>
              <a:gd name="adj1" fmla="val 16200000"/>
              <a:gd name="adj2" fmla="val 20940575"/>
            </a:avLst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  <xdr:sp macro="" textlink="">
        <xdr:nvSpPr>
          <xdr:cNvPr id="116" name="Arc 115">
            <a:extLst>
              <a:ext uri="{FF2B5EF4-FFF2-40B4-BE49-F238E27FC236}">
                <a16:creationId xmlns:a16="http://schemas.microsoft.com/office/drawing/2014/main" id="{00000000-0008-0000-0800-000074000000}"/>
              </a:ext>
            </a:extLst>
          </xdr:cNvPr>
          <xdr:cNvSpPr>
            <a:spLocks noChangeAspect="1"/>
          </xdr:cNvSpPr>
        </xdr:nvSpPr>
        <xdr:spPr>
          <a:xfrm rot="10800000" flipV="1">
            <a:off x="8567731" y="5140479"/>
            <a:ext cx="176219" cy="304557"/>
          </a:xfrm>
          <a:prstGeom prst="arc">
            <a:avLst>
              <a:gd name="adj1" fmla="val 16200000"/>
              <a:gd name="adj2" fmla="val 20157182"/>
            </a:avLst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</xdr:grpSp>
    <xdr:clientData/>
  </xdr:twoCellAnchor>
  <xdr:twoCellAnchor>
    <xdr:from>
      <xdr:col>5</xdr:col>
      <xdr:colOff>243425</xdr:colOff>
      <xdr:row>13</xdr:row>
      <xdr:rowOff>23810</xdr:rowOff>
    </xdr:from>
    <xdr:to>
      <xdr:col>6</xdr:col>
      <xdr:colOff>271462</xdr:colOff>
      <xdr:row>23</xdr:row>
      <xdr:rowOff>25399</xdr:rowOff>
    </xdr:to>
    <xdr:grpSp>
      <xdr:nvGrpSpPr>
        <xdr:cNvPr id="123" name="Group 122"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GrpSpPr/>
      </xdr:nvGrpSpPr>
      <xdr:grpSpPr>
        <a:xfrm rot="10800000">
          <a:off x="1802061" y="2431037"/>
          <a:ext cx="339765" cy="1646817"/>
          <a:chOff x="8467856" y="4467227"/>
          <a:chExt cx="299899" cy="1809974"/>
        </a:xfrm>
      </xdr:grpSpPr>
      <xdr:sp macro="" textlink="">
        <xdr:nvSpPr>
          <xdr:cNvPr id="124" name="Arc 123">
            <a:extLst>
              <a:ext uri="{FF2B5EF4-FFF2-40B4-BE49-F238E27FC236}">
                <a16:creationId xmlns:a16="http://schemas.microsoft.com/office/drawing/2014/main" id="{00000000-0008-0000-0800-00007C000000}"/>
              </a:ext>
            </a:extLst>
          </xdr:cNvPr>
          <xdr:cNvSpPr>
            <a:spLocks noChangeAspect="1"/>
          </xdr:cNvSpPr>
        </xdr:nvSpPr>
        <xdr:spPr>
          <a:xfrm rot="10800000">
            <a:off x="8548682" y="4467227"/>
            <a:ext cx="180977" cy="345497"/>
          </a:xfrm>
          <a:prstGeom prst="arc">
            <a:avLst>
              <a:gd name="adj1" fmla="val 16200000"/>
              <a:gd name="adj2" fmla="val 20940575"/>
            </a:avLst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solidFill>
                <a:sysClr val="windowText" lastClr="000000"/>
              </a:solidFill>
            </a:endParaRPr>
          </a:p>
        </xdr:txBody>
      </xdr:sp>
      <xdr:grpSp>
        <xdr:nvGrpSpPr>
          <xdr:cNvPr id="125" name="Group 124">
            <a:extLst>
              <a:ext uri="{FF2B5EF4-FFF2-40B4-BE49-F238E27FC236}">
                <a16:creationId xmlns:a16="http://schemas.microsoft.com/office/drawing/2014/main" id="{00000000-0008-0000-0800-00007D000000}"/>
              </a:ext>
            </a:extLst>
          </xdr:cNvPr>
          <xdr:cNvGrpSpPr/>
        </xdr:nvGrpSpPr>
        <xdr:grpSpPr>
          <a:xfrm rot="5400000">
            <a:off x="8464474" y="4714231"/>
            <a:ext cx="282728" cy="238124"/>
            <a:chOff x="6234973" y="2576507"/>
            <a:chExt cx="282728" cy="238124"/>
          </a:xfrm>
        </xdr:grpSpPr>
        <xdr:cxnSp macro="">
          <xdr:nvCxnSpPr>
            <xdr:cNvPr id="137" name="Straight Connector 136">
              <a:extLst>
                <a:ext uri="{FF2B5EF4-FFF2-40B4-BE49-F238E27FC236}">
                  <a16:creationId xmlns:a16="http://schemas.microsoft.com/office/drawing/2014/main" id="{00000000-0008-0000-0800-000089000000}"/>
                </a:ext>
              </a:extLst>
            </xdr:cNvPr>
            <xdr:cNvCxnSpPr/>
          </xdr:nvCxnSpPr>
          <xdr:spPr>
            <a:xfrm rot="120000">
              <a:off x="6508177" y="2614606"/>
              <a:ext cx="9524" cy="200025"/>
            </a:xfrm>
            <a:prstGeom prst="line">
              <a:avLst/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38" name="Arc 137">
              <a:extLst>
                <a:ext uri="{FF2B5EF4-FFF2-40B4-BE49-F238E27FC236}">
                  <a16:creationId xmlns:a16="http://schemas.microsoft.com/office/drawing/2014/main" id="{00000000-0008-0000-0800-00008A000000}"/>
                </a:ext>
              </a:extLst>
            </xdr:cNvPr>
            <xdr:cNvSpPr>
              <a:spLocks noChangeAspect="1"/>
            </xdr:cNvSpPr>
          </xdr:nvSpPr>
          <xdr:spPr>
            <a:xfrm rot="5400000">
              <a:off x="6297751" y="2513729"/>
              <a:ext cx="138117" cy="263674"/>
            </a:xfrm>
            <a:prstGeom prst="arc">
              <a:avLst>
                <a:gd name="adj1" fmla="val 16200000"/>
                <a:gd name="adj2" fmla="val 20940575"/>
              </a:avLst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>
                <a:solidFill>
                  <a:sysClr val="windowText" lastClr="000000"/>
                </a:solidFill>
              </a:endParaRPr>
            </a:p>
          </xdr:txBody>
        </xdr:sp>
      </xdr:grpSp>
      <xdr:cxnSp macro="">
        <xdr:nvCxnSpPr>
          <xdr:cNvPr id="126" name="Straight Connector 125">
            <a:extLst>
              <a:ext uri="{FF2B5EF4-FFF2-40B4-BE49-F238E27FC236}">
                <a16:creationId xmlns:a16="http://schemas.microsoft.com/office/drawing/2014/main" id="{00000000-0008-0000-0800-00007E000000}"/>
              </a:ext>
            </a:extLst>
          </xdr:cNvPr>
          <xdr:cNvCxnSpPr/>
        </xdr:nvCxnSpPr>
        <xdr:spPr>
          <a:xfrm rot="5520000">
            <a:off x="8563107" y="5241355"/>
            <a:ext cx="9524" cy="200025"/>
          </a:xfrm>
          <a:prstGeom prst="line">
            <a:avLst/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127" name="Group 126">
            <a:extLst>
              <a:ext uri="{FF2B5EF4-FFF2-40B4-BE49-F238E27FC236}">
                <a16:creationId xmlns:a16="http://schemas.microsoft.com/office/drawing/2014/main" id="{00000000-0008-0000-0800-00007F000000}"/>
              </a:ext>
            </a:extLst>
          </xdr:cNvPr>
          <xdr:cNvGrpSpPr/>
        </xdr:nvGrpSpPr>
        <xdr:grpSpPr>
          <a:xfrm>
            <a:off x="8471957" y="5533389"/>
            <a:ext cx="273614" cy="327522"/>
            <a:chOff x="8462432" y="5485764"/>
            <a:chExt cx="273614" cy="327522"/>
          </a:xfrm>
        </xdr:grpSpPr>
        <xdr:cxnSp macro="">
          <xdr:nvCxnSpPr>
            <xdr:cNvPr id="135" name="Straight Connector 134">
              <a:extLst>
                <a:ext uri="{FF2B5EF4-FFF2-40B4-BE49-F238E27FC236}">
                  <a16:creationId xmlns:a16="http://schemas.microsoft.com/office/drawing/2014/main" id="{00000000-0008-0000-0800-000087000000}"/>
                </a:ext>
              </a:extLst>
            </xdr:cNvPr>
            <xdr:cNvCxnSpPr/>
          </xdr:nvCxnSpPr>
          <xdr:spPr>
            <a:xfrm rot="5520000">
              <a:off x="8557683" y="5390513"/>
              <a:ext cx="9524" cy="200025"/>
            </a:xfrm>
            <a:prstGeom prst="line">
              <a:avLst/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36" name="Arc 135">
              <a:extLst>
                <a:ext uri="{FF2B5EF4-FFF2-40B4-BE49-F238E27FC236}">
                  <a16:creationId xmlns:a16="http://schemas.microsoft.com/office/drawing/2014/main" id="{00000000-0008-0000-0800-000088000000}"/>
                </a:ext>
              </a:extLst>
            </xdr:cNvPr>
            <xdr:cNvSpPr>
              <a:spLocks noChangeAspect="1"/>
            </xdr:cNvSpPr>
          </xdr:nvSpPr>
          <xdr:spPr>
            <a:xfrm rot="10800000" flipV="1">
              <a:off x="8558431" y="5506318"/>
              <a:ext cx="177615" cy="306968"/>
            </a:xfrm>
            <a:prstGeom prst="arc">
              <a:avLst>
                <a:gd name="adj1" fmla="val 16200000"/>
                <a:gd name="adj2" fmla="val 20157182"/>
              </a:avLst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>
                <a:solidFill>
                  <a:sysClr val="windowText" lastClr="000000"/>
                </a:solidFill>
              </a:endParaRPr>
            </a:p>
          </xdr:txBody>
        </xdr:sp>
      </xdr:grpSp>
      <xdr:sp macro="" textlink="">
        <xdr:nvSpPr>
          <xdr:cNvPr id="128" name="Arc 127">
            <a:extLst>
              <a:ext uri="{FF2B5EF4-FFF2-40B4-BE49-F238E27FC236}">
                <a16:creationId xmlns:a16="http://schemas.microsoft.com/office/drawing/2014/main" id="{00000000-0008-0000-0800-000080000000}"/>
              </a:ext>
            </a:extLst>
          </xdr:cNvPr>
          <xdr:cNvSpPr>
            <a:spLocks noChangeAspect="1"/>
          </xdr:cNvSpPr>
        </xdr:nvSpPr>
        <xdr:spPr>
          <a:xfrm rot="10800000" flipV="1">
            <a:off x="8539155" y="5689027"/>
            <a:ext cx="219075" cy="378624"/>
          </a:xfrm>
          <a:prstGeom prst="arc">
            <a:avLst>
              <a:gd name="adj1" fmla="val 16200000"/>
              <a:gd name="adj2" fmla="val 20157182"/>
            </a:avLst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solidFill>
                <a:sysClr val="windowText" lastClr="000000"/>
              </a:solidFill>
            </a:endParaRPr>
          </a:p>
        </xdr:txBody>
      </xdr:sp>
      <xdr:grpSp>
        <xdr:nvGrpSpPr>
          <xdr:cNvPr id="129" name="Group 128">
            <a:extLst>
              <a:ext uri="{FF2B5EF4-FFF2-40B4-BE49-F238E27FC236}">
                <a16:creationId xmlns:a16="http://schemas.microsoft.com/office/drawing/2014/main" id="{00000000-0008-0000-0800-000081000000}"/>
              </a:ext>
            </a:extLst>
          </xdr:cNvPr>
          <xdr:cNvGrpSpPr/>
        </xdr:nvGrpSpPr>
        <xdr:grpSpPr>
          <a:xfrm>
            <a:off x="8482006" y="5867402"/>
            <a:ext cx="285749" cy="409799"/>
            <a:chOff x="8491531" y="6686552"/>
            <a:chExt cx="285749" cy="409799"/>
          </a:xfrm>
        </xdr:grpSpPr>
        <xdr:sp macro="" textlink="">
          <xdr:nvSpPr>
            <xdr:cNvPr id="133" name="Arc 132">
              <a:extLst>
                <a:ext uri="{FF2B5EF4-FFF2-40B4-BE49-F238E27FC236}">
                  <a16:creationId xmlns:a16="http://schemas.microsoft.com/office/drawing/2014/main" id="{00000000-0008-0000-0800-000085000000}"/>
                </a:ext>
              </a:extLst>
            </xdr:cNvPr>
            <xdr:cNvSpPr>
              <a:spLocks noChangeAspect="1"/>
            </xdr:cNvSpPr>
          </xdr:nvSpPr>
          <xdr:spPr>
            <a:xfrm rot="10800000" flipV="1">
              <a:off x="8558205" y="6717727"/>
              <a:ext cx="219075" cy="378624"/>
            </a:xfrm>
            <a:prstGeom prst="arc">
              <a:avLst>
                <a:gd name="adj1" fmla="val 16200000"/>
                <a:gd name="adj2" fmla="val 20157182"/>
              </a:avLst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>
                <a:solidFill>
                  <a:sysClr val="windowText" lastClr="000000"/>
                </a:solidFill>
              </a:endParaRPr>
            </a:p>
          </xdr:txBody>
        </xdr:sp>
        <xdr:sp macro="" textlink="">
          <xdr:nvSpPr>
            <xdr:cNvPr id="134" name="Right Triangle 133">
              <a:extLst>
                <a:ext uri="{FF2B5EF4-FFF2-40B4-BE49-F238E27FC236}">
                  <a16:creationId xmlns:a16="http://schemas.microsoft.com/office/drawing/2014/main" id="{00000000-0008-0000-0800-000086000000}"/>
                </a:ext>
              </a:extLst>
            </xdr:cNvPr>
            <xdr:cNvSpPr/>
          </xdr:nvSpPr>
          <xdr:spPr bwMode="auto">
            <a:xfrm rot="5400000">
              <a:off x="8477243" y="6700840"/>
              <a:ext cx="114301" cy="85725"/>
            </a:xfrm>
            <a:prstGeom prst="rtTriangle">
              <a:avLst/>
            </a:prstGeom>
            <a:solidFill>
              <a:schemeClr val="bg1">
                <a:lumMod val="65000"/>
              </a:schemeClr>
            </a:solidFill>
            <a:ln w="9525" cap="flat" cmpd="sng" algn="ctr">
              <a:solidFill>
                <a:schemeClr val="bg1">
                  <a:lumMod val="65000"/>
                </a:scheme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horzOverflow="clip" wrap="square" lIns="91440" tIns="45720" rIns="91440" bIns="45720" rtlCol="0" anchor="t" upright="1"/>
            <a:lstStyle/>
            <a:p>
              <a:pPr algn="l"/>
              <a:endParaRPr lang="en-ZA" sz="1100">
                <a:solidFill>
                  <a:sysClr val="windowText" lastClr="000000"/>
                </a:solidFill>
              </a:endParaRPr>
            </a:p>
          </xdr:txBody>
        </xdr:sp>
      </xdr:grpSp>
      <xdr:cxnSp macro="">
        <xdr:nvCxnSpPr>
          <xdr:cNvPr id="130" name="Straight Connector 129">
            <a:extLst>
              <a:ext uri="{FF2B5EF4-FFF2-40B4-BE49-F238E27FC236}">
                <a16:creationId xmlns:a16="http://schemas.microsoft.com/office/drawing/2014/main" id="{00000000-0008-0000-0800-000082000000}"/>
              </a:ext>
            </a:extLst>
          </xdr:cNvPr>
          <xdr:cNvCxnSpPr/>
        </xdr:nvCxnSpPr>
        <xdr:spPr>
          <a:xfrm rot="5520000">
            <a:off x="8572501" y="5045229"/>
            <a:ext cx="9524" cy="200025"/>
          </a:xfrm>
          <a:prstGeom prst="line">
            <a:avLst/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1" name="Arc 130">
            <a:extLst>
              <a:ext uri="{FF2B5EF4-FFF2-40B4-BE49-F238E27FC236}">
                <a16:creationId xmlns:a16="http://schemas.microsoft.com/office/drawing/2014/main" id="{00000000-0008-0000-0800-000083000000}"/>
              </a:ext>
            </a:extLst>
          </xdr:cNvPr>
          <xdr:cNvSpPr>
            <a:spLocks noChangeAspect="1"/>
          </xdr:cNvSpPr>
        </xdr:nvSpPr>
        <xdr:spPr>
          <a:xfrm rot="10800000">
            <a:off x="8594023" y="4901699"/>
            <a:ext cx="123825" cy="236390"/>
          </a:xfrm>
          <a:prstGeom prst="arc">
            <a:avLst>
              <a:gd name="adj1" fmla="val 16200000"/>
              <a:gd name="adj2" fmla="val 20940575"/>
            </a:avLst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32" name="Arc 131">
            <a:extLst>
              <a:ext uri="{FF2B5EF4-FFF2-40B4-BE49-F238E27FC236}">
                <a16:creationId xmlns:a16="http://schemas.microsoft.com/office/drawing/2014/main" id="{00000000-0008-0000-0800-000084000000}"/>
              </a:ext>
            </a:extLst>
          </xdr:cNvPr>
          <xdr:cNvSpPr>
            <a:spLocks noChangeAspect="1"/>
          </xdr:cNvSpPr>
        </xdr:nvSpPr>
        <xdr:spPr>
          <a:xfrm rot="10800000" flipV="1">
            <a:off x="8576285" y="5150251"/>
            <a:ext cx="176219" cy="304557"/>
          </a:xfrm>
          <a:prstGeom prst="arc">
            <a:avLst>
              <a:gd name="adj1" fmla="val 16200000"/>
              <a:gd name="adj2" fmla="val 20157182"/>
            </a:avLst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8</xdr:col>
      <xdr:colOff>126996</xdr:colOff>
      <xdr:row>33</xdr:row>
      <xdr:rowOff>25399</xdr:rowOff>
    </xdr:from>
    <xdr:to>
      <xdr:col>17</xdr:col>
      <xdr:colOff>89119</xdr:colOff>
      <xdr:row>34</xdr:row>
      <xdr:rowOff>61911</xdr:rowOff>
    </xdr:to>
    <xdr:grpSp>
      <xdr:nvGrpSpPr>
        <xdr:cNvPr id="139" name="Group 138"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GrpSpPr/>
      </xdr:nvGrpSpPr>
      <xdr:grpSpPr>
        <a:xfrm rot="10800000">
          <a:off x="2620814" y="5775035"/>
          <a:ext cx="2438623" cy="261649"/>
          <a:chOff x="5600700" y="2505075"/>
          <a:chExt cx="2629125" cy="309556"/>
        </a:xfrm>
      </xdr:grpSpPr>
      <xdr:sp macro="" textlink="">
        <xdr:nvSpPr>
          <xdr:cNvPr id="140" name="Arc 139">
            <a:extLst>
              <a:ext uri="{FF2B5EF4-FFF2-40B4-BE49-F238E27FC236}">
                <a16:creationId xmlns:a16="http://schemas.microsoft.com/office/drawing/2014/main" id="{00000000-0008-0000-0800-00008C000000}"/>
              </a:ext>
            </a:extLst>
          </xdr:cNvPr>
          <xdr:cNvSpPr>
            <a:spLocks noChangeAspect="1"/>
          </xdr:cNvSpPr>
        </xdr:nvSpPr>
        <xdr:spPr>
          <a:xfrm rot="5400000">
            <a:off x="5682960" y="2479962"/>
            <a:ext cx="180977" cy="345497"/>
          </a:xfrm>
          <a:prstGeom prst="arc">
            <a:avLst>
              <a:gd name="adj1" fmla="val 16200000"/>
              <a:gd name="adj2" fmla="val 20940575"/>
            </a:avLst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  <xdr:grpSp>
        <xdr:nvGrpSpPr>
          <xdr:cNvPr id="141" name="Group 140">
            <a:extLst>
              <a:ext uri="{FF2B5EF4-FFF2-40B4-BE49-F238E27FC236}">
                <a16:creationId xmlns:a16="http://schemas.microsoft.com/office/drawing/2014/main" id="{00000000-0008-0000-0800-00008D000000}"/>
              </a:ext>
            </a:extLst>
          </xdr:cNvPr>
          <xdr:cNvGrpSpPr/>
        </xdr:nvGrpSpPr>
        <xdr:grpSpPr>
          <a:xfrm>
            <a:off x="5886450" y="2533647"/>
            <a:ext cx="364551" cy="280984"/>
            <a:chOff x="5838825" y="2533647"/>
            <a:chExt cx="364551" cy="280984"/>
          </a:xfrm>
        </xdr:grpSpPr>
        <xdr:cxnSp macro="">
          <xdr:nvCxnSpPr>
            <xdr:cNvPr id="152" name="Straight Connector 151">
              <a:extLst>
                <a:ext uri="{FF2B5EF4-FFF2-40B4-BE49-F238E27FC236}">
                  <a16:creationId xmlns:a16="http://schemas.microsoft.com/office/drawing/2014/main" id="{00000000-0008-0000-0800-000098000000}"/>
                </a:ext>
              </a:extLst>
            </xdr:cNvPr>
            <xdr:cNvCxnSpPr/>
          </xdr:nvCxnSpPr>
          <xdr:spPr>
            <a:xfrm rot="120000">
              <a:off x="6193852" y="2614606"/>
              <a:ext cx="9524" cy="200025"/>
            </a:xfrm>
            <a:prstGeom prst="line">
              <a:avLst/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53" name="Arc 152">
              <a:extLst>
                <a:ext uri="{FF2B5EF4-FFF2-40B4-BE49-F238E27FC236}">
                  <a16:creationId xmlns:a16="http://schemas.microsoft.com/office/drawing/2014/main" id="{00000000-0008-0000-0800-000099000000}"/>
                </a:ext>
              </a:extLst>
            </xdr:cNvPr>
            <xdr:cNvSpPr>
              <a:spLocks noChangeAspect="1"/>
            </xdr:cNvSpPr>
          </xdr:nvSpPr>
          <xdr:spPr>
            <a:xfrm rot="5400000">
              <a:off x="5921085" y="2451387"/>
              <a:ext cx="180977" cy="345497"/>
            </a:xfrm>
            <a:prstGeom prst="arc">
              <a:avLst>
                <a:gd name="adj1" fmla="val 16200000"/>
                <a:gd name="adj2" fmla="val 20940575"/>
              </a:avLst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</xdr:grpSp>
      <xdr:grpSp>
        <xdr:nvGrpSpPr>
          <xdr:cNvPr id="142" name="Group 141">
            <a:extLst>
              <a:ext uri="{FF2B5EF4-FFF2-40B4-BE49-F238E27FC236}">
                <a16:creationId xmlns:a16="http://schemas.microsoft.com/office/drawing/2014/main" id="{00000000-0008-0000-0800-00008E000000}"/>
              </a:ext>
            </a:extLst>
          </xdr:cNvPr>
          <xdr:cNvGrpSpPr/>
        </xdr:nvGrpSpPr>
        <xdr:grpSpPr>
          <a:xfrm>
            <a:off x="6200775" y="2505075"/>
            <a:ext cx="733650" cy="309556"/>
            <a:chOff x="6153150" y="2505075"/>
            <a:chExt cx="733650" cy="309556"/>
          </a:xfrm>
        </xdr:grpSpPr>
        <xdr:cxnSp macro="">
          <xdr:nvCxnSpPr>
            <xdr:cNvPr id="149" name="Straight Connector 148">
              <a:extLst>
                <a:ext uri="{FF2B5EF4-FFF2-40B4-BE49-F238E27FC236}">
                  <a16:creationId xmlns:a16="http://schemas.microsoft.com/office/drawing/2014/main" id="{00000000-0008-0000-0800-000095000000}"/>
                </a:ext>
              </a:extLst>
            </xdr:cNvPr>
            <xdr:cNvCxnSpPr/>
          </xdr:nvCxnSpPr>
          <xdr:spPr>
            <a:xfrm rot="120000">
              <a:off x="6508177" y="2614606"/>
              <a:ext cx="9524" cy="200025"/>
            </a:xfrm>
            <a:prstGeom prst="line">
              <a:avLst/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50" name="Arc 149">
              <a:extLst>
                <a:ext uri="{FF2B5EF4-FFF2-40B4-BE49-F238E27FC236}">
                  <a16:creationId xmlns:a16="http://schemas.microsoft.com/office/drawing/2014/main" id="{00000000-0008-0000-0800-000096000000}"/>
                </a:ext>
              </a:extLst>
            </xdr:cNvPr>
            <xdr:cNvSpPr>
              <a:spLocks noChangeAspect="1"/>
            </xdr:cNvSpPr>
          </xdr:nvSpPr>
          <xdr:spPr>
            <a:xfrm rot="5400000">
              <a:off x="6235410" y="2451387"/>
              <a:ext cx="180977" cy="345497"/>
            </a:xfrm>
            <a:prstGeom prst="arc">
              <a:avLst>
                <a:gd name="adj1" fmla="val 16200000"/>
                <a:gd name="adj2" fmla="val 20940575"/>
              </a:avLst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  <xdr:sp macro="" textlink="">
          <xdr:nvSpPr>
            <xdr:cNvPr id="151" name="Arc 150">
              <a:extLst>
                <a:ext uri="{FF2B5EF4-FFF2-40B4-BE49-F238E27FC236}">
                  <a16:creationId xmlns:a16="http://schemas.microsoft.com/office/drawing/2014/main" id="{00000000-0008-0000-0800-000097000000}"/>
                </a:ext>
              </a:extLst>
            </xdr:cNvPr>
            <xdr:cNvSpPr>
              <a:spLocks noChangeAspect="1"/>
            </xdr:cNvSpPr>
          </xdr:nvSpPr>
          <xdr:spPr>
            <a:xfrm rot="5400000" flipV="1">
              <a:off x="6587950" y="2425301"/>
              <a:ext cx="219075" cy="378624"/>
            </a:xfrm>
            <a:prstGeom prst="arc">
              <a:avLst>
                <a:gd name="adj1" fmla="val 16200000"/>
                <a:gd name="adj2" fmla="val 20157182"/>
              </a:avLst>
            </a:prstGeom>
            <a:ln>
              <a:solidFill>
                <a:schemeClr val="bg1">
                  <a:lumMod val="65000"/>
                </a:schemeClr>
              </a:solidFill>
              <a:tailEnd type="stealt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n-ZA" sz="1100"/>
            </a:p>
          </xdr:txBody>
        </xdr:sp>
      </xdr:grpSp>
      <xdr:cxnSp macro="">
        <xdr:nvCxnSpPr>
          <xdr:cNvPr id="143" name="Straight Connector 142">
            <a:extLst>
              <a:ext uri="{FF2B5EF4-FFF2-40B4-BE49-F238E27FC236}">
                <a16:creationId xmlns:a16="http://schemas.microsoft.com/office/drawing/2014/main" id="{00000000-0008-0000-0800-00008F000000}"/>
              </a:ext>
            </a:extLst>
          </xdr:cNvPr>
          <xdr:cNvCxnSpPr/>
        </xdr:nvCxnSpPr>
        <xdr:spPr>
          <a:xfrm rot="120000">
            <a:off x="6870127" y="2614606"/>
            <a:ext cx="9524" cy="200025"/>
          </a:xfrm>
          <a:prstGeom prst="line">
            <a:avLst/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4" name="Straight Connector 143">
            <a:extLst>
              <a:ext uri="{FF2B5EF4-FFF2-40B4-BE49-F238E27FC236}">
                <a16:creationId xmlns:a16="http://schemas.microsoft.com/office/drawing/2014/main" id="{00000000-0008-0000-0800-000090000000}"/>
              </a:ext>
            </a:extLst>
          </xdr:cNvPr>
          <xdr:cNvCxnSpPr/>
        </xdr:nvCxnSpPr>
        <xdr:spPr>
          <a:xfrm rot="120000">
            <a:off x="7203502" y="2614606"/>
            <a:ext cx="9524" cy="200025"/>
          </a:xfrm>
          <a:prstGeom prst="line">
            <a:avLst/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5" name="Arc 144">
            <a:extLst>
              <a:ext uri="{FF2B5EF4-FFF2-40B4-BE49-F238E27FC236}">
                <a16:creationId xmlns:a16="http://schemas.microsoft.com/office/drawing/2014/main" id="{00000000-0008-0000-0800-000091000000}"/>
              </a:ext>
            </a:extLst>
          </xdr:cNvPr>
          <xdr:cNvSpPr>
            <a:spLocks noChangeAspect="1"/>
          </xdr:cNvSpPr>
        </xdr:nvSpPr>
        <xdr:spPr>
          <a:xfrm rot="5400000" flipV="1">
            <a:off x="7283275" y="2425301"/>
            <a:ext cx="219075" cy="378624"/>
          </a:xfrm>
          <a:prstGeom prst="arc">
            <a:avLst>
              <a:gd name="adj1" fmla="val 16200000"/>
              <a:gd name="adj2" fmla="val 20157182"/>
            </a:avLst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  <xdr:sp macro="" textlink="">
        <xdr:nvSpPr>
          <xdr:cNvPr id="146" name="Arc 145">
            <a:extLst>
              <a:ext uri="{FF2B5EF4-FFF2-40B4-BE49-F238E27FC236}">
                <a16:creationId xmlns:a16="http://schemas.microsoft.com/office/drawing/2014/main" id="{00000000-0008-0000-0800-000092000000}"/>
              </a:ext>
            </a:extLst>
          </xdr:cNvPr>
          <xdr:cNvSpPr>
            <a:spLocks noChangeAspect="1"/>
          </xdr:cNvSpPr>
        </xdr:nvSpPr>
        <xdr:spPr>
          <a:xfrm rot="5400000" flipV="1">
            <a:off x="7597600" y="2425301"/>
            <a:ext cx="219075" cy="378624"/>
          </a:xfrm>
          <a:prstGeom prst="arc">
            <a:avLst>
              <a:gd name="adj1" fmla="val 16200000"/>
              <a:gd name="adj2" fmla="val 20157182"/>
            </a:avLst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  <xdr:sp macro="" textlink="">
        <xdr:nvSpPr>
          <xdr:cNvPr id="147" name="Arc 146">
            <a:extLst>
              <a:ext uri="{FF2B5EF4-FFF2-40B4-BE49-F238E27FC236}">
                <a16:creationId xmlns:a16="http://schemas.microsoft.com/office/drawing/2014/main" id="{00000000-0008-0000-0800-000093000000}"/>
              </a:ext>
            </a:extLst>
          </xdr:cNvPr>
          <xdr:cNvSpPr>
            <a:spLocks noChangeAspect="1"/>
          </xdr:cNvSpPr>
        </xdr:nvSpPr>
        <xdr:spPr>
          <a:xfrm rot="5400000" flipV="1">
            <a:off x="7930975" y="2434826"/>
            <a:ext cx="219075" cy="378624"/>
          </a:xfrm>
          <a:prstGeom prst="arc">
            <a:avLst>
              <a:gd name="adj1" fmla="val 16200000"/>
              <a:gd name="adj2" fmla="val 20157182"/>
            </a:avLst>
          </a:prstGeom>
          <a:ln>
            <a:solidFill>
              <a:schemeClr val="bg1">
                <a:lumMod val="65000"/>
              </a:schemeClr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  <xdr:sp macro="" textlink="">
        <xdr:nvSpPr>
          <xdr:cNvPr id="148" name="Right Triangle 147">
            <a:extLst>
              <a:ext uri="{FF2B5EF4-FFF2-40B4-BE49-F238E27FC236}">
                <a16:creationId xmlns:a16="http://schemas.microsoft.com/office/drawing/2014/main" id="{00000000-0008-0000-0800-000094000000}"/>
              </a:ext>
            </a:extLst>
          </xdr:cNvPr>
          <xdr:cNvSpPr/>
        </xdr:nvSpPr>
        <xdr:spPr bwMode="auto">
          <a:xfrm>
            <a:off x="7791451" y="2686049"/>
            <a:ext cx="142876" cy="104775"/>
          </a:xfrm>
          <a:prstGeom prst="rtTriangle">
            <a:avLst/>
          </a:prstGeom>
          <a:solidFill>
            <a:schemeClr val="bg1">
              <a:lumMod val="65000"/>
            </a:schemeClr>
          </a:solidFill>
          <a:ln w="9525" cap="flat" cmpd="sng" algn="ctr">
            <a:solidFill>
              <a:schemeClr val="bg1">
                <a:lumMod val="65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91440" tIns="45720" rIns="91440" bIns="45720" rtlCol="0" anchor="t" upright="1"/>
          <a:lstStyle/>
          <a:p>
            <a:pPr algn="l"/>
            <a:endParaRPr lang="en-ZA" sz="1100"/>
          </a:p>
        </xdr:txBody>
      </xdr:sp>
    </xdr:grpSp>
    <xdr:clientData/>
  </xdr:twoCellAnchor>
  <xdr:twoCellAnchor>
    <xdr:from>
      <xdr:col>27</xdr:col>
      <xdr:colOff>95250</xdr:colOff>
      <xdr:row>18</xdr:row>
      <xdr:rowOff>85725</xdr:rowOff>
    </xdr:from>
    <xdr:to>
      <xdr:col>27</xdr:col>
      <xdr:colOff>295275</xdr:colOff>
      <xdr:row>18</xdr:row>
      <xdr:rowOff>85726</xdr:rowOff>
    </xdr:to>
    <xdr:cxnSp macro="">
      <xdr:nvCxnSpPr>
        <xdr:cNvPr id="154" name="Straight Connector 153">
          <a:extLst>
            <a:ext uri="{FF2B5EF4-FFF2-40B4-BE49-F238E27FC236}">
              <a16:creationId xmlns:a16="http://schemas.microsoft.com/office/drawing/2014/main" id="{00000000-0008-0000-0800-00009A000000}"/>
            </a:ext>
          </a:extLst>
        </xdr:cNvPr>
        <xdr:cNvCxnSpPr/>
      </xdr:nvCxnSpPr>
      <xdr:spPr>
        <a:xfrm>
          <a:off x="8029575" y="3209925"/>
          <a:ext cx="200025" cy="1"/>
        </a:xfrm>
        <a:prstGeom prst="line">
          <a:avLst/>
        </a:prstGeom>
        <a:ln>
          <a:solidFill>
            <a:schemeClr val="bg1">
              <a:lumMod val="65000"/>
            </a:schemeClr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</xdr:colOff>
      <xdr:row>26</xdr:row>
      <xdr:rowOff>85725</xdr:rowOff>
    </xdr:from>
    <xdr:to>
      <xdr:col>7</xdr:col>
      <xdr:colOff>228600</xdr:colOff>
      <xdr:row>26</xdr:row>
      <xdr:rowOff>85726</xdr:rowOff>
    </xdr:to>
    <xdr:cxnSp macro="">
      <xdr:nvCxnSpPr>
        <xdr:cNvPr id="155" name="Straight Connector 154">
          <a:extLst>
            <a:ext uri="{FF2B5EF4-FFF2-40B4-BE49-F238E27FC236}">
              <a16:creationId xmlns:a16="http://schemas.microsoft.com/office/drawing/2014/main" id="{00000000-0008-0000-0800-00009B000000}"/>
            </a:ext>
          </a:extLst>
        </xdr:cNvPr>
        <xdr:cNvCxnSpPr/>
      </xdr:nvCxnSpPr>
      <xdr:spPr>
        <a:xfrm flipH="1" flipV="1">
          <a:off x="2209800" y="4581525"/>
          <a:ext cx="219075" cy="1"/>
        </a:xfrm>
        <a:prstGeom prst="line">
          <a:avLst/>
        </a:prstGeom>
        <a:ln>
          <a:solidFill>
            <a:schemeClr val="bg1">
              <a:lumMod val="65000"/>
            </a:schemeClr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152401</xdr:colOff>
      <xdr:row>12</xdr:row>
      <xdr:rowOff>9528</xdr:rowOff>
    </xdr:from>
    <xdr:to>
      <xdr:col>13</xdr:col>
      <xdr:colOff>154782</xdr:colOff>
      <xdr:row>13</xdr:row>
      <xdr:rowOff>0</xdr:rowOff>
    </xdr:to>
    <xdr:cxnSp macro="">
      <xdr:nvCxnSpPr>
        <xdr:cNvPr id="156" name="Straight Connector 155">
          <a:extLst>
            <a:ext uri="{FF2B5EF4-FFF2-40B4-BE49-F238E27FC236}">
              <a16:creationId xmlns:a16="http://schemas.microsoft.com/office/drawing/2014/main" id="{00000000-0008-0000-0800-00009C000000}"/>
            </a:ext>
          </a:extLst>
        </xdr:cNvPr>
        <xdr:cNvCxnSpPr/>
      </xdr:nvCxnSpPr>
      <xdr:spPr>
        <a:xfrm flipH="1" flipV="1">
          <a:off x="3974307" y="2253856"/>
          <a:ext cx="2381" cy="163113"/>
        </a:xfrm>
        <a:prstGeom prst="line">
          <a:avLst/>
        </a:prstGeom>
        <a:ln>
          <a:solidFill>
            <a:schemeClr val="bg1">
              <a:lumMod val="65000"/>
            </a:schemeClr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152400</xdr:colOff>
      <xdr:row>32</xdr:row>
      <xdr:rowOff>0</xdr:rowOff>
    </xdr:from>
    <xdr:to>
      <xdr:col>21</xdr:col>
      <xdr:colOff>152400</xdr:colOff>
      <xdr:row>32</xdr:row>
      <xdr:rowOff>161926</xdr:rowOff>
    </xdr:to>
    <xdr:cxnSp macro="">
      <xdr:nvCxnSpPr>
        <xdr:cNvPr id="157" name="Straight Connector 156">
          <a:extLst>
            <a:ext uri="{FF2B5EF4-FFF2-40B4-BE49-F238E27FC236}">
              <a16:creationId xmlns:a16="http://schemas.microsoft.com/office/drawing/2014/main" id="{00000000-0008-0000-0800-00009D000000}"/>
            </a:ext>
          </a:extLst>
        </xdr:cNvPr>
        <xdr:cNvCxnSpPr/>
      </xdr:nvCxnSpPr>
      <xdr:spPr>
        <a:xfrm>
          <a:off x="6477000" y="5391150"/>
          <a:ext cx="0" cy="161926"/>
        </a:xfrm>
        <a:prstGeom prst="line">
          <a:avLst/>
        </a:prstGeom>
        <a:ln>
          <a:solidFill>
            <a:schemeClr val="bg1">
              <a:lumMod val="65000"/>
            </a:schemeClr>
          </a:solidFill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142875</xdr:colOff>
      <xdr:row>0</xdr:row>
      <xdr:rowOff>100013</xdr:rowOff>
    </xdr:from>
    <xdr:to>
      <xdr:col>4</xdr:col>
      <xdr:colOff>238125</xdr:colOff>
      <xdr:row>3</xdr:row>
      <xdr:rowOff>61913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00000000-0008-0000-0800-0000C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98" r="63542"/>
        <a:stretch/>
      </xdr:blipFill>
      <xdr:spPr bwMode="auto">
        <a:xfrm>
          <a:off x="142875" y="100013"/>
          <a:ext cx="1365250" cy="5016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219075</xdr:colOff>
      <xdr:row>4</xdr:row>
      <xdr:rowOff>114300</xdr:rowOff>
    </xdr:from>
    <xdr:to>
      <xdr:col>1</xdr:col>
      <xdr:colOff>190500</xdr:colOff>
      <xdr:row>7</xdr:row>
      <xdr:rowOff>152400</xdr:rowOff>
    </xdr:to>
    <xdr:pic>
      <xdr:nvPicPr>
        <xdr:cNvPr id="69" name="Picture 548" descr="NORTH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857250"/>
          <a:ext cx="285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190501</xdr:rowOff>
    </xdr:from>
    <xdr:to>
      <xdr:col>2</xdr:col>
      <xdr:colOff>390525</xdr:colOff>
      <xdr:row>3</xdr:row>
      <xdr:rowOff>47626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98" r="63542"/>
        <a:stretch/>
      </xdr:blipFill>
      <xdr:spPr bwMode="auto">
        <a:xfrm>
          <a:off x="0" y="190501"/>
          <a:ext cx="1162050" cy="400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59"/>
  <sheetViews>
    <sheetView showGridLines="0" tabSelected="1" zoomScale="110" zoomScaleNormal="110" workbookViewId="0"/>
  </sheetViews>
  <sheetFormatPr defaultColWidth="9.140625" defaultRowHeight="12.75" x14ac:dyDescent="0.2"/>
  <cols>
    <col min="1" max="1" width="1.42578125" style="1" customWidth="1"/>
    <col min="2" max="2" width="5.85546875" style="1" customWidth="1"/>
    <col min="3" max="4" width="11.28515625" style="1" customWidth="1"/>
    <col min="5" max="5" width="40" style="1" customWidth="1"/>
    <col min="6" max="7" width="11.28515625" style="1" customWidth="1"/>
    <col min="8" max="8" width="5.7109375" style="1" customWidth="1"/>
    <col min="9" max="9" width="1.42578125" style="1" customWidth="1"/>
    <col min="10" max="16384" width="9.140625" style="1"/>
  </cols>
  <sheetData>
    <row r="1" spans="1:9" ht="18.75" customHeight="1" thickTop="1" x14ac:dyDescent="0.2">
      <c r="A1" s="223"/>
      <c r="B1" s="474"/>
      <c r="C1" s="224"/>
      <c r="D1" s="224"/>
      <c r="E1" s="224"/>
      <c r="F1" s="224"/>
      <c r="G1" s="224"/>
      <c r="H1" s="224"/>
      <c r="I1" s="225"/>
    </row>
    <row r="2" spans="1:9" ht="21.75" customHeight="1" x14ac:dyDescent="0.4">
      <c r="A2" s="226"/>
      <c r="E2" s="227"/>
      <c r="F2" s="227"/>
      <c r="G2" s="227"/>
      <c r="I2" s="228"/>
    </row>
    <row r="3" spans="1:9" ht="30" x14ac:dyDescent="0.4">
      <c r="A3" s="226"/>
      <c r="E3" s="227"/>
      <c r="F3" s="227"/>
      <c r="G3" s="227"/>
      <c r="I3" s="228"/>
    </row>
    <row r="4" spans="1:9" x14ac:dyDescent="0.2">
      <c r="A4" s="226"/>
      <c r="F4" s="17"/>
      <c r="G4" s="17"/>
      <c r="I4" s="228"/>
    </row>
    <row r="5" spans="1:9" x14ac:dyDescent="0.2">
      <c r="A5" s="226"/>
      <c r="I5" s="228"/>
    </row>
    <row r="6" spans="1:9" x14ac:dyDescent="0.2">
      <c r="A6" s="226"/>
      <c r="I6" s="228"/>
    </row>
    <row r="7" spans="1:9" ht="28.5" customHeight="1" x14ac:dyDescent="0.45">
      <c r="A7" s="226"/>
      <c r="E7" s="229" t="s">
        <v>581</v>
      </c>
      <c r="I7" s="228"/>
    </row>
    <row r="8" spans="1:9" ht="15.75" customHeight="1" x14ac:dyDescent="0.2">
      <c r="A8" s="226"/>
      <c r="E8" s="245" t="s">
        <v>0</v>
      </c>
      <c r="I8" s="228"/>
    </row>
    <row r="9" spans="1:9" ht="28.5" customHeight="1" x14ac:dyDescent="0.45">
      <c r="A9" s="226"/>
      <c r="E9" s="229" t="s">
        <v>582</v>
      </c>
      <c r="I9" s="228"/>
    </row>
    <row r="10" spans="1:9" ht="18" customHeight="1" x14ac:dyDescent="0.2">
      <c r="A10" s="226"/>
      <c r="E10" s="242"/>
      <c r="I10" s="228"/>
    </row>
    <row r="11" spans="1:9" ht="21" x14ac:dyDescent="0.35">
      <c r="A11" s="226"/>
      <c r="E11" s="435" t="s">
        <v>583</v>
      </c>
      <c r="I11" s="228"/>
    </row>
    <row r="12" spans="1:9" x14ac:dyDescent="0.2">
      <c r="A12" s="226"/>
      <c r="I12" s="228"/>
    </row>
    <row r="13" spans="1:9" ht="16.5" customHeight="1" x14ac:dyDescent="0.35">
      <c r="A13" s="226"/>
      <c r="E13" s="230"/>
      <c r="I13" s="228"/>
    </row>
    <row r="14" spans="1:9" x14ac:dyDescent="0.2">
      <c r="A14" s="226"/>
      <c r="I14" s="228"/>
    </row>
    <row r="15" spans="1:9" x14ac:dyDescent="0.2">
      <c r="A15" s="226"/>
      <c r="B15" s="193"/>
      <c r="C15" s="3"/>
      <c r="D15" s="3"/>
      <c r="E15" s="3"/>
      <c r="F15" s="3"/>
      <c r="G15" s="3"/>
      <c r="H15" s="4"/>
      <c r="I15" s="228"/>
    </row>
    <row r="16" spans="1:9" x14ac:dyDescent="0.2">
      <c r="A16" s="226"/>
      <c r="B16" s="5"/>
      <c r="H16" s="6"/>
      <c r="I16" s="228"/>
    </row>
    <row r="17" spans="1:9" x14ac:dyDescent="0.2">
      <c r="A17" s="226"/>
      <c r="B17" s="5"/>
      <c r="H17" s="6"/>
      <c r="I17" s="228"/>
    </row>
    <row r="18" spans="1:9" x14ac:dyDescent="0.2">
      <c r="A18" s="226"/>
      <c r="B18" s="5"/>
      <c r="H18" s="6"/>
      <c r="I18" s="228"/>
    </row>
    <row r="19" spans="1:9" x14ac:dyDescent="0.2">
      <c r="A19" s="226"/>
      <c r="B19" s="5"/>
      <c r="H19" s="6"/>
      <c r="I19" s="228"/>
    </row>
    <row r="20" spans="1:9" x14ac:dyDescent="0.2">
      <c r="A20" s="226"/>
      <c r="B20" s="5"/>
      <c r="H20" s="6"/>
      <c r="I20" s="228"/>
    </row>
    <row r="21" spans="1:9" x14ac:dyDescent="0.2">
      <c r="A21" s="226"/>
      <c r="B21" s="5"/>
      <c r="H21" s="6"/>
      <c r="I21" s="228"/>
    </row>
    <row r="22" spans="1:9" x14ac:dyDescent="0.2">
      <c r="A22" s="226"/>
      <c r="B22" s="5"/>
      <c r="H22" s="6"/>
      <c r="I22" s="228"/>
    </row>
    <row r="23" spans="1:9" x14ac:dyDescent="0.2">
      <c r="A23" s="226"/>
      <c r="B23" s="5"/>
      <c r="H23" s="6"/>
      <c r="I23" s="228"/>
    </row>
    <row r="24" spans="1:9" x14ac:dyDescent="0.2">
      <c r="A24" s="226"/>
      <c r="B24" s="5"/>
      <c r="H24" s="6"/>
      <c r="I24" s="228"/>
    </row>
    <row r="25" spans="1:9" x14ac:dyDescent="0.2">
      <c r="A25" s="226"/>
      <c r="B25" s="5"/>
      <c r="H25" s="6"/>
      <c r="I25" s="228"/>
    </row>
    <row r="26" spans="1:9" x14ac:dyDescent="0.2">
      <c r="A26" s="226"/>
      <c r="B26" s="5"/>
      <c r="H26" s="6"/>
      <c r="I26" s="228"/>
    </row>
    <row r="27" spans="1:9" x14ac:dyDescent="0.2">
      <c r="A27" s="226"/>
      <c r="B27" s="5"/>
      <c r="H27" s="6"/>
      <c r="I27" s="228"/>
    </row>
    <row r="28" spans="1:9" x14ac:dyDescent="0.2">
      <c r="A28" s="226"/>
      <c r="B28" s="5"/>
      <c r="H28" s="6"/>
      <c r="I28" s="228"/>
    </row>
    <row r="29" spans="1:9" x14ac:dyDescent="0.2">
      <c r="A29" s="226"/>
      <c r="B29" s="5"/>
      <c r="H29" s="6"/>
      <c r="I29" s="228"/>
    </row>
    <row r="30" spans="1:9" x14ac:dyDescent="0.2">
      <c r="A30" s="226"/>
      <c r="B30" s="5"/>
      <c r="H30" s="6"/>
      <c r="I30" s="228"/>
    </row>
    <row r="31" spans="1:9" x14ac:dyDescent="0.2">
      <c r="A31" s="226"/>
      <c r="B31" s="5"/>
      <c r="E31" s="194" t="s">
        <v>1</v>
      </c>
      <c r="H31" s="6"/>
      <c r="I31" s="228"/>
    </row>
    <row r="32" spans="1:9" x14ac:dyDescent="0.2">
      <c r="A32" s="226"/>
      <c r="B32" s="5"/>
      <c r="H32" s="6"/>
      <c r="I32" s="228"/>
    </row>
    <row r="33" spans="1:9" x14ac:dyDescent="0.2">
      <c r="A33" s="226"/>
      <c r="B33" s="5"/>
      <c r="H33" s="6"/>
      <c r="I33" s="228"/>
    </row>
    <row r="34" spans="1:9" x14ac:dyDescent="0.2">
      <c r="A34" s="226"/>
      <c r="B34" s="5"/>
      <c r="H34" s="6"/>
      <c r="I34" s="228"/>
    </row>
    <row r="35" spans="1:9" x14ac:dyDescent="0.2">
      <c r="A35" s="226"/>
      <c r="B35" s="5"/>
      <c r="H35" s="6"/>
      <c r="I35" s="228"/>
    </row>
    <row r="36" spans="1:9" x14ac:dyDescent="0.2">
      <c r="A36" s="226"/>
      <c r="B36" s="5"/>
      <c r="H36" s="6"/>
      <c r="I36" s="228"/>
    </row>
    <row r="37" spans="1:9" x14ac:dyDescent="0.2">
      <c r="A37" s="226"/>
      <c r="B37" s="5"/>
      <c r="H37" s="6"/>
      <c r="I37" s="228"/>
    </row>
    <row r="38" spans="1:9" x14ac:dyDescent="0.2">
      <c r="A38" s="226"/>
      <c r="B38" s="5"/>
      <c r="H38" s="6"/>
      <c r="I38" s="228"/>
    </row>
    <row r="39" spans="1:9" x14ac:dyDescent="0.2">
      <c r="A39" s="226"/>
      <c r="B39" s="5"/>
      <c r="H39" s="6"/>
      <c r="I39" s="228"/>
    </row>
    <row r="40" spans="1:9" x14ac:dyDescent="0.2">
      <c r="A40" s="226"/>
      <c r="B40" s="5"/>
      <c r="H40" s="6"/>
      <c r="I40" s="228"/>
    </row>
    <row r="41" spans="1:9" x14ac:dyDescent="0.2">
      <c r="A41" s="226"/>
      <c r="B41" s="5"/>
      <c r="H41" s="6"/>
      <c r="I41" s="228"/>
    </row>
    <row r="42" spans="1:9" x14ac:dyDescent="0.2">
      <c r="A42" s="226"/>
      <c r="B42" s="5"/>
      <c r="H42" s="6"/>
      <c r="I42" s="228"/>
    </row>
    <row r="43" spans="1:9" x14ac:dyDescent="0.2">
      <c r="A43" s="226"/>
      <c r="B43" s="5"/>
      <c r="H43" s="6"/>
      <c r="I43" s="228"/>
    </row>
    <row r="44" spans="1:9" x14ac:dyDescent="0.2">
      <c r="A44" s="226"/>
      <c r="B44" s="5"/>
      <c r="H44" s="6"/>
      <c r="I44" s="228"/>
    </row>
    <row r="45" spans="1:9" x14ac:dyDescent="0.2">
      <c r="A45" s="226"/>
      <c r="B45" s="5"/>
      <c r="H45" s="6"/>
      <c r="I45" s="228"/>
    </row>
    <row r="46" spans="1:9" x14ac:dyDescent="0.2">
      <c r="A46" s="226"/>
      <c r="B46" s="5"/>
      <c r="H46" s="6"/>
      <c r="I46" s="228"/>
    </row>
    <row r="47" spans="1:9" x14ac:dyDescent="0.2">
      <c r="A47" s="226"/>
      <c r="B47" s="5"/>
      <c r="H47" s="6"/>
      <c r="I47" s="228"/>
    </row>
    <row r="48" spans="1:9" x14ac:dyDescent="0.2">
      <c r="A48" s="226"/>
      <c r="B48" s="5"/>
      <c r="H48" s="6"/>
      <c r="I48" s="228"/>
    </row>
    <row r="49" spans="1:9" x14ac:dyDescent="0.2">
      <c r="A49" s="226"/>
      <c r="B49" s="5"/>
      <c r="H49" s="6"/>
      <c r="I49" s="228"/>
    </row>
    <row r="50" spans="1:9" x14ac:dyDescent="0.2">
      <c r="A50" s="226"/>
      <c r="B50" s="5"/>
      <c r="H50" s="6"/>
      <c r="I50" s="228"/>
    </row>
    <row r="51" spans="1:9" x14ac:dyDescent="0.2">
      <c r="A51" s="226"/>
      <c r="B51" s="7"/>
      <c r="C51" s="8"/>
      <c r="D51" s="8"/>
      <c r="E51" s="8"/>
      <c r="F51" s="8"/>
      <c r="G51" s="8"/>
      <c r="H51" s="291"/>
      <c r="I51" s="228"/>
    </row>
    <row r="52" spans="1:9" ht="15" x14ac:dyDescent="0.25">
      <c r="A52" s="226"/>
      <c r="B52" s="1160" t="s">
        <v>328</v>
      </c>
      <c r="C52" s="1161"/>
      <c r="H52" s="328" t="str">
        <f>cap!A1</f>
        <v>&amp;AutoJ 2408</v>
      </c>
      <c r="I52" s="228"/>
    </row>
    <row r="53" spans="1:9" x14ac:dyDescent="0.2">
      <c r="A53" s="226"/>
      <c r="B53" s="244"/>
      <c r="C53" s="356" t="s">
        <v>2</v>
      </c>
      <c r="D53" s="356" t="s">
        <v>294</v>
      </c>
      <c r="E53" s="1157" t="s">
        <v>486</v>
      </c>
      <c r="F53" s="1157"/>
      <c r="G53" s="1158" t="s">
        <v>288</v>
      </c>
      <c r="H53" s="1159"/>
      <c r="I53" s="236"/>
    </row>
    <row r="54" spans="1:9" x14ac:dyDescent="0.2">
      <c r="A54" s="226"/>
      <c r="B54" s="240" t="s">
        <v>293</v>
      </c>
      <c r="C54" s="357" t="s">
        <v>126</v>
      </c>
      <c r="D54" s="357" t="s">
        <v>133</v>
      </c>
      <c r="E54" s="1156" t="s">
        <v>584</v>
      </c>
      <c r="F54" s="1156"/>
      <c r="G54" s="1154"/>
      <c r="H54" s="1155"/>
      <c r="I54" s="237"/>
    </row>
    <row r="55" spans="1:9" x14ac:dyDescent="0.2">
      <c r="A55" s="226"/>
      <c r="B55" s="240" t="s">
        <v>4</v>
      </c>
      <c r="C55" s="242" t="s">
        <v>585</v>
      </c>
      <c r="D55" s="242"/>
      <c r="E55" s="242"/>
      <c r="F55" s="242"/>
      <c r="G55" s="242"/>
      <c r="H55" s="243"/>
      <c r="I55" s="228"/>
    </row>
    <row r="56" spans="1:9" x14ac:dyDescent="0.2">
      <c r="A56" s="226"/>
      <c r="B56" s="240" t="s">
        <v>4</v>
      </c>
      <c r="C56" s="242" t="s">
        <v>586</v>
      </c>
      <c r="D56" s="242"/>
      <c r="E56" s="242"/>
      <c r="F56" s="242"/>
      <c r="G56" s="242"/>
      <c r="H56" s="243"/>
      <c r="I56" s="228"/>
    </row>
    <row r="57" spans="1:9" x14ac:dyDescent="0.2">
      <c r="A57" s="226"/>
      <c r="B57" s="241" t="s">
        <v>4</v>
      </c>
      <c r="C57" s="8"/>
      <c r="D57" s="8"/>
      <c r="E57" s="8"/>
      <c r="F57" s="8"/>
      <c r="G57" s="8"/>
      <c r="H57" s="9"/>
      <c r="I57" s="228"/>
    </row>
    <row r="58" spans="1:9" ht="7.5" customHeight="1" thickBot="1" x14ac:dyDescent="0.25">
      <c r="A58" s="238"/>
      <c r="B58" s="239"/>
      <c r="C58" s="234"/>
      <c r="D58" s="234"/>
      <c r="E58" s="234"/>
      <c r="F58" s="234"/>
      <c r="G58" s="234"/>
      <c r="H58" s="234"/>
      <c r="I58" s="235"/>
    </row>
    <row r="59" spans="1:9" ht="13.5" thickTop="1" x14ac:dyDescent="0.2"/>
  </sheetData>
  <mergeCells count="5">
    <mergeCell ref="G54:H54"/>
    <mergeCell ref="E54:F54"/>
    <mergeCell ref="E53:F53"/>
    <mergeCell ref="G53:H53"/>
    <mergeCell ref="B52:C52"/>
  </mergeCells>
  <printOptions horizontalCentered="1" verticalCentered="1"/>
  <pageMargins left="0.47244094488188981" right="0.47244094488188981" top="0.55118110236220474" bottom="0.55118110236220474" header="0.11811023622047245" footer="0.31496062992125984"/>
  <pageSetup paperSize="9" scale="93" orientation="portrait" r:id="rId1"/>
  <headerFooter>
    <oddFooter>&amp;L&amp;8copyright:
Dr John Sampson&amp;C&amp;9&amp;F
&amp;A&amp;R&amp;9print:
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CFF99"/>
    <pageSetUpPr fitToPage="1"/>
  </sheetPr>
  <dimension ref="A1:M69"/>
  <sheetViews>
    <sheetView showGridLines="0" zoomScale="110" zoomScaleNormal="110" workbookViewId="0">
      <pane ySplit="4" topLeftCell="A5" activePane="bottomLeft" state="frozen"/>
      <selection pane="bottomLeft"/>
    </sheetView>
  </sheetViews>
  <sheetFormatPr defaultColWidth="9.140625" defaultRowHeight="12.75" x14ac:dyDescent="0.2"/>
  <cols>
    <col min="1" max="1" width="2.7109375" style="1" customWidth="1"/>
    <col min="2" max="11" width="8.85546875" style="1" customWidth="1"/>
    <col min="12" max="12" width="2.7109375" style="1" customWidth="1"/>
    <col min="13" max="16384" width="9.140625" style="1"/>
  </cols>
  <sheetData>
    <row r="1" spans="1:13" ht="17.25" customHeight="1" thickTop="1" x14ac:dyDescent="0.3">
      <c r="A1" s="223"/>
      <c r="B1" s="224"/>
      <c r="C1" s="224"/>
      <c r="D1" s="224"/>
      <c r="E1" s="224"/>
      <c r="F1" s="433" t="str">
        <f>CVR!E7</f>
        <v>Queen Street</v>
      </c>
      <c r="G1" s="283" t="s">
        <v>298</v>
      </c>
      <c r="H1" s="434" t="str">
        <f>CVR!E9</f>
        <v>Albertina Sisulu Road</v>
      </c>
      <c r="I1" s="224"/>
      <c r="J1" s="224"/>
      <c r="K1" s="224"/>
      <c r="L1" s="289"/>
    </row>
    <row r="2" spans="1:13" ht="12.75" customHeight="1" x14ac:dyDescent="0.2">
      <c r="A2" s="226"/>
      <c r="C2" s="27"/>
      <c r="D2" s="27"/>
      <c r="E2" s="200"/>
      <c r="G2" s="195" t="str">
        <f>CVR!E11</f>
        <v>example</v>
      </c>
      <c r="L2" s="228"/>
    </row>
    <row r="3" spans="1:13" ht="12.75" customHeight="1" x14ac:dyDescent="0.2">
      <c r="A3" s="226"/>
      <c r="B3" s="10"/>
      <c r="C3" s="27"/>
      <c r="D3" s="27"/>
      <c r="F3" s="10"/>
      <c r="L3" s="228"/>
    </row>
    <row r="4" spans="1:13" ht="15.75" x14ac:dyDescent="0.2">
      <c r="A4" s="614" t="str">
        <f>cap!$A$1</f>
        <v>&amp;AutoJ 2408</v>
      </c>
      <c r="B4" s="8"/>
      <c r="C4" s="8"/>
      <c r="D4" s="8"/>
      <c r="E4" s="285"/>
      <c r="F4" s="286"/>
      <c r="G4" s="286" t="s">
        <v>322</v>
      </c>
      <c r="H4" s="290"/>
      <c r="I4" s="287"/>
      <c r="J4" s="8"/>
      <c r="K4" s="8"/>
      <c r="L4" s="233"/>
    </row>
    <row r="5" spans="1:13" x14ac:dyDescent="0.2">
      <c r="A5" s="226"/>
      <c r="C5" s="17"/>
      <c r="G5" s="12"/>
      <c r="H5" s="12"/>
      <c r="I5" s="12"/>
      <c r="J5" s="12"/>
      <c r="K5" s="12"/>
      <c r="L5" s="265"/>
      <c r="M5" s="12"/>
    </row>
    <row r="6" spans="1:13" s="2" customFormat="1" ht="15" x14ac:dyDescent="0.25">
      <c r="A6" s="267"/>
      <c r="B6" s="395" t="s">
        <v>325</v>
      </c>
      <c r="C6" s="290"/>
      <c r="D6" s="324"/>
      <c r="E6" s="324"/>
      <c r="F6" s="313"/>
      <c r="L6" s="280"/>
    </row>
    <row r="7" spans="1:13" s="2" customFormat="1" ht="13.5" thickBot="1" x14ac:dyDescent="0.25">
      <c r="A7" s="267"/>
      <c r="B7" s="263" t="s">
        <v>575</v>
      </c>
      <c r="L7" s="280"/>
    </row>
    <row r="8" spans="1:13" s="2" customFormat="1" x14ac:dyDescent="0.2">
      <c r="A8" s="267"/>
      <c r="B8" s="263"/>
      <c r="C8" s="1270" t="s">
        <v>392</v>
      </c>
      <c r="D8" s="1271"/>
      <c r="E8" s="1272"/>
      <c r="F8" s="1273" t="s">
        <v>393</v>
      </c>
      <c r="G8" s="1274"/>
      <c r="H8" s="1275"/>
      <c r="I8" s="1276" t="s">
        <v>394</v>
      </c>
      <c r="J8" s="1277"/>
      <c r="K8" s="1278"/>
      <c r="L8" s="280"/>
    </row>
    <row r="9" spans="1:13" s="2" customFormat="1" x14ac:dyDescent="0.2">
      <c r="A9" s="267"/>
      <c r="B9" s="263"/>
      <c r="C9" s="497" t="s">
        <v>395</v>
      </c>
      <c r="D9" s="495" t="s">
        <v>396</v>
      </c>
      <c r="E9" s="498" t="s">
        <v>397</v>
      </c>
      <c r="F9" s="497" t="s">
        <v>485</v>
      </c>
      <c r="G9" s="495" t="s">
        <v>400</v>
      </c>
      <c r="H9" s="498" t="s">
        <v>401</v>
      </c>
      <c r="I9" s="497" t="s">
        <v>485</v>
      </c>
      <c r="J9" s="495" t="s">
        <v>400</v>
      </c>
      <c r="K9" s="498" t="s">
        <v>401</v>
      </c>
      <c r="L9" s="280"/>
    </row>
    <row r="10" spans="1:13" s="2" customFormat="1" x14ac:dyDescent="0.2">
      <c r="A10" s="267"/>
      <c r="B10" s="268" t="s">
        <v>74</v>
      </c>
      <c r="C10" s="493">
        <f>MAX($F$54,GEOM!AA17/$J$54)</f>
        <v>13</v>
      </c>
      <c r="D10" s="494">
        <f>$F$54</f>
        <v>7</v>
      </c>
      <c r="E10" s="482"/>
      <c r="F10" s="493">
        <f>MAX(F57,$F$47+0.5*(GEOM!V6/3.6)/(-$K$47+9.8*GEOM!V7))</f>
        <v>3.0022522522522523</v>
      </c>
      <c r="G10" s="496">
        <f>$F$57</f>
        <v>3</v>
      </c>
      <c r="H10" s="482"/>
      <c r="I10" s="493">
        <f>MAX(F58,$F$48+0.5*(GEOM!V6/3.6)/(-$K$48+9.8*GEOM!V7)+(GEOM!U16/(MIN(100,GEOM!V6)/3.6))-F10)</f>
        <v>2.7339881849062175</v>
      </c>
      <c r="J10" s="494">
        <f>I10-1</f>
        <v>1.7339881849062175</v>
      </c>
      <c r="K10" s="482"/>
      <c r="L10" s="280"/>
    </row>
    <row r="11" spans="1:13" s="2" customFormat="1" x14ac:dyDescent="0.2">
      <c r="A11" s="267"/>
      <c r="B11" s="268" t="s">
        <v>75</v>
      </c>
      <c r="C11" s="481">
        <f>MAX($F$54,GEOM!I30/$J$54)</f>
        <v>13</v>
      </c>
      <c r="D11" s="475">
        <f>$F$54</f>
        <v>7</v>
      </c>
      <c r="E11" s="482"/>
      <c r="F11" s="481">
        <f>MAX(F57,$F$47+0.5*(GEOM!N37/3.6)/(-$K$47+9.8*GEOM!N38))</f>
        <v>3.0022522522522523</v>
      </c>
      <c r="G11" s="476">
        <f>$F$57</f>
        <v>3</v>
      </c>
      <c r="H11" s="482"/>
      <c r="I11" s="481">
        <f>MAX(F58,$F$48+0.5*(GEOM!N37/3.6)/(-$K$48+9.8*GEOM!N38)+(GEOM!O30/(MIN(100,GEOM!N37)/3.6))-F11)</f>
        <v>2.7339881849062175</v>
      </c>
      <c r="J11" s="475">
        <f>I11-1</f>
        <v>1.7339881849062175</v>
      </c>
      <c r="K11" s="482"/>
      <c r="L11" s="280"/>
    </row>
    <row r="12" spans="1:13" s="2" customFormat="1" x14ac:dyDescent="0.2">
      <c r="A12" s="267"/>
      <c r="B12" s="403" t="s">
        <v>398</v>
      </c>
      <c r="C12" s="483" cm="1">
        <f t="array" ref="C12">MAX($F$53,C10:C11+1)</f>
        <v>14</v>
      </c>
      <c r="D12" s="263"/>
      <c r="E12" s="484">
        <f>$F$55</f>
        <v>4</v>
      </c>
      <c r="F12" s="488">
        <f>MAX(F10:F11)</f>
        <v>3.0022522522522523</v>
      </c>
      <c r="H12" s="499">
        <f>IF(K12=F58,F57,F12)</f>
        <v>3</v>
      </c>
      <c r="I12" s="491">
        <f>MAX(I10:I11)</f>
        <v>2.7339881849062175</v>
      </c>
      <c r="K12" s="499">
        <f>F58</f>
        <v>2</v>
      </c>
      <c r="L12" s="280"/>
    </row>
    <row r="13" spans="1:13" s="2" customFormat="1" x14ac:dyDescent="0.2">
      <c r="A13" s="267"/>
      <c r="B13" s="268" t="s">
        <v>76</v>
      </c>
      <c r="C13" s="481">
        <f>MAX($F$54,GEOM!L14/$J$54)</f>
        <v>10</v>
      </c>
      <c r="D13" s="475">
        <f>$F$54</f>
        <v>7</v>
      </c>
      <c r="E13" s="482"/>
      <c r="F13" s="481">
        <f>MAX(F57,$F$47+0.5*(GEOM!D18/3.6)/(-$K$47+9.8*GEOM!D19))</f>
        <v>3.3776276276276271</v>
      </c>
      <c r="G13" s="476">
        <f>$F$57</f>
        <v>3</v>
      </c>
      <c r="H13" s="482"/>
      <c r="I13" s="481">
        <f>MAX(F58,$F$48+0.5*(GEOM!D18/3.6)/(-$K$48+9.8*GEOM!D19)+(GEOM!K20/(MIN(100,GEOM!D18)/3.6))-F13)</f>
        <v>2.1471290728667785</v>
      </c>
      <c r="J13" s="475">
        <f>I13-1</f>
        <v>1.1471290728667785</v>
      </c>
      <c r="K13" s="482"/>
      <c r="L13" s="280"/>
    </row>
    <row r="14" spans="1:13" s="2" customFormat="1" x14ac:dyDescent="0.2">
      <c r="A14" s="267"/>
      <c r="B14" s="268" t="s">
        <v>77</v>
      </c>
      <c r="C14" s="481">
        <f>MAX($F$54,GEOM!Y32/$J$54)</f>
        <v>10</v>
      </c>
      <c r="D14" s="475">
        <f>$F$54</f>
        <v>7</v>
      </c>
      <c r="E14" s="482"/>
      <c r="F14" s="481">
        <f>MAX(F57,$F$47+0.5*(GEOM!AF25/3.6)/(-$K$47+9.8*GEOM!AF26))</f>
        <v>3.3776276276276271</v>
      </c>
      <c r="G14" s="476">
        <f>$F$57</f>
        <v>3</v>
      </c>
      <c r="H14" s="482"/>
      <c r="I14" s="481">
        <f>MAX(F58,$F$48+0.5*(GEOM!AF25/3.6)/(-$K$48+9.8*GEOM!AF26)+(GEOM!Y26/(MIN(100,GEOM!AF25)/3.6))-F14)</f>
        <v>2.1471290728667785</v>
      </c>
      <c r="J14" s="475">
        <f>I14-1</f>
        <v>1.1471290728667785</v>
      </c>
      <c r="K14" s="482"/>
      <c r="L14" s="280"/>
    </row>
    <row r="15" spans="1:13" s="2" customFormat="1" ht="13.5" thickBot="1" x14ac:dyDescent="0.25">
      <c r="A15" s="267"/>
      <c r="B15" s="403" t="s">
        <v>399</v>
      </c>
      <c r="C15" s="485" cm="1">
        <f t="array" ref="C15">MAX($F$53,C13:C14+1)</f>
        <v>11</v>
      </c>
      <c r="D15" s="486"/>
      <c r="E15" s="487">
        <f>$F$55</f>
        <v>4</v>
      </c>
      <c r="F15" s="489">
        <f>MAX(F13:F14)</f>
        <v>3.3776276276276271</v>
      </c>
      <c r="G15" s="490"/>
      <c r="H15" s="487">
        <f>IF(K15=F58,F57,F15)</f>
        <v>3</v>
      </c>
      <c r="I15" s="492">
        <f>MAX(I13:I14)</f>
        <v>2.1471290728667785</v>
      </c>
      <c r="J15" s="490"/>
      <c r="K15" s="500">
        <f>F58</f>
        <v>2</v>
      </c>
      <c r="L15" s="280"/>
    </row>
    <row r="16" spans="1:13" s="2" customFormat="1" x14ac:dyDescent="0.2">
      <c r="A16" s="267"/>
      <c r="B16" s="567" t="s">
        <v>439</v>
      </c>
      <c r="C16" s="568">
        <f>$F$56</f>
        <v>4</v>
      </c>
      <c r="D16" s="1072"/>
      <c r="E16" s="569"/>
      <c r="F16" s="571">
        <f>MAX(C10,C11)-F12</f>
        <v>9.9977477477477485</v>
      </c>
      <c r="G16" s="1073" t="s">
        <v>579</v>
      </c>
      <c r="H16" s="66"/>
      <c r="K16" s="564"/>
      <c r="L16" s="280"/>
    </row>
    <row r="17" spans="1:12" s="2" customFormat="1" x14ac:dyDescent="0.2">
      <c r="A17" s="267"/>
      <c r="B17" s="567" t="s">
        <v>440</v>
      </c>
      <c r="C17" s="570">
        <f>F56</f>
        <v>4</v>
      </c>
      <c r="D17" s="1072"/>
      <c r="E17" s="569"/>
      <c r="F17" s="572">
        <f>MAX(C13,C14)-F15</f>
        <v>6.6223723723723733</v>
      </c>
      <c r="G17" s="1073" t="s">
        <v>579</v>
      </c>
      <c r="H17" s="66"/>
      <c r="K17" s="564"/>
      <c r="L17" s="280"/>
    </row>
    <row r="18" spans="1:12" s="2" customFormat="1" x14ac:dyDescent="0.2">
      <c r="A18" s="267"/>
      <c r="B18" s="97"/>
      <c r="D18" s="97"/>
      <c r="E18" s="97"/>
      <c r="F18" s="97"/>
      <c r="G18" s="97"/>
      <c r="L18" s="280"/>
    </row>
    <row r="19" spans="1:12" s="2" customFormat="1" ht="15" x14ac:dyDescent="0.25">
      <c r="A19" s="267"/>
      <c r="B19" s="395" t="s">
        <v>326</v>
      </c>
      <c r="C19" s="290"/>
      <c r="D19" s="313"/>
      <c r="I19" s="31"/>
      <c r="J19" s="31"/>
      <c r="K19" s="31"/>
      <c r="L19" s="280"/>
    </row>
    <row r="20" spans="1:12" s="2" customFormat="1" ht="13.5" thickBot="1" x14ac:dyDescent="0.25">
      <c r="A20" s="267"/>
      <c r="B20" s="263" t="s">
        <v>80</v>
      </c>
      <c r="K20" s="34" t="s">
        <v>445</v>
      </c>
      <c r="L20" s="280"/>
    </row>
    <row r="21" spans="1:12" s="2" customFormat="1" ht="15" customHeight="1" x14ac:dyDescent="0.2">
      <c r="A21" s="267"/>
      <c r="C21" s="121"/>
      <c r="D21" s="122" t="s">
        <v>81</v>
      </c>
      <c r="E21" s="123"/>
      <c r="F21" s="121"/>
      <c r="G21" s="122" t="s">
        <v>82</v>
      </c>
      <c r="H21" s="123"/>
      <c r="I21" s="121"/>
      <c r="J21" s="122" t="s">
        <v>83</v>
      </c>
      <c r="K21" s="123"/>
      <c r="L21" s="280"/>
    </row>
    <row r="22" spans="1:12" s="2" customFormat="1" x14ac:dyDescent="0.2">
      <c r="A22" s="267"/>
      <c r="B22" s="129"/>
      <c r="C22" s="124" t="s">
        <v>154</v>
      </c>
      <c r="D22" s="35" t="s">
        <v>226</v>
      </c>
      <c r="E22" s="125" t="s">
        <v>225</v>
      </c>
      <c r="F22" s="124" t="s">
        <v>154</v>
      </c>
      <c r="G22" s="35" t="s">
        <v>226</v>
      </c>
      <c r="H22" s="125" t="s">
        <v>225</v>
      </c>
      <c r="I22" s="124" t="s">
        <v>154</v>
      </c>
      <c r="J22" s="35" t="s">
        <v>226</v>
      </c>
      <c r="K22" s="125" t="s">
        <v>225</v>
      </c>
      <c r="L22" s="280"/>
    </row>
    <row r="23" spans="1:12" s="2" customFormat="1" x14ac:dyDescent="0.2">
      <c r="A23" s="267"/>
      <c r="B23" s="120" t="str">
        <f>hr!$A$9</f>
        <v>AM</v>
      </c>
      <c r="C23" s="204">
        <v>70</v>
      </c>
      <c r="D23" s="116">
        <f>SMY!G$17</f>
        <v>1.9434690780696136</v>
      </c>
      <c r="E23" s="126">
        <f>SMY!K17</f>
        <v>981.27057607086499</v>
      </c>
      <c r="F23" s="204">
        <v>80</v>
      </c>
      <c r="G23" s="116">
        <f>MIN(SMY!G18:G23,SMY!G33:G34)</f>
        <v>1.3959238577876854</v>
      </c>
      <c r="H23" s="126">
        <f>MIN(SMY!K18:K23,SMY!K33:K34)</f>
        <v>650.16738756886878</v>
      </c>
      <c r="I23" s="204">
        <v>90</v>
      </c>
      <c r="J23" s="116">
        <f>MIN(SMY!G24:G32,SMY!G35:G37)</f>
        <v>0.8249292913206262</v>
      </c>
      <c r="K23" s="126">
        <f>MIN(SMY!K24:K32,SMY!K35:K37)</f>
        <v>40.144361005541469</v>
      </c>
      <c r="L23" s="280"/>
    </row>
    <row r="24" spans="1:12" s="2" customFormat="1" x14ac:dyDescent="0.2">
      <c r="A24" s="267"/>
      <c r="B24" s="120" t="str">
        <f>hr!$A$10</f>
        <v>off</v>
      </c>
      <c r="C24" s="204">
        <v>60</v>
      </c>
      <c r="D24" s="116">
        <f>SMY!H$17</f>
        <v>0.45901292032458341</v>
      </c>
      <c r="E24" s="126">
        <f>SMY!L17</f>
        <v>16.117249232772849</v>
      </c>
      <c r="F24" s="204">
        <v>70</v>
      </c>
      <c r="G24" s="116">
        <f>MIN(SMY!H18:H23,SMY!H33:H34)</f>
        <v>0.41008500857149655</v>
      </c>
      <c r="H24" s="126">
        <f>MIN(SMY!L18:L23,SMY!L33:L34)</f>
        <v>21.180042994795734</v>
      </c>
      <c r="I24" s="204">
        <v>80</v>
      </c>
      <c r="J24" s="116">
        <f>MIN(SMY!H24:H32,SMY!H35:H37)</f>
        <v>0.40032402772156911</v>
      </c>
      <c r="K24" s="126">
        <f>MIN(SMY!L24:L32,SMY!L35:L37)</f>
        <v>25.82890825548796</v>
      </c>
      <c r="L24" s="280"/>
    </row>
    <row r="25" spans="1:12" s="2" customFormat="1" ht="13.5" thickBot="1" x14ac:dyDescent="0.25">
      <c r="A25" s="267"/>
      <c r="B25" s="120" t="str">
        <f>hr!$A$11</f>
        <v>PM</v>
      </c>
      <c r="C25" s="205">
        <v>70</v>
      </c>
      <c r="D25" s="128">
        <f>SMY!I$17</f>
        <v>1.7080729484068329</v>
      </c>
      <c r="E25" s="127">
        <f>SMY!M17</f>
        <v>865.97219869172216</v>
      </c>
      <c r="F25" s="205">
        <v>80</v>
      </c>
      <c r="G25" s="128">
        <f>MIN(SMY!I18:I23,SMY!I33:I34)</f>
        <v>1.8605469622308521</v>
      </c>
      <c r="H25" s="127">
        <f>MIN(SMY!M18:M23,SMY!M33:M34)</f>
        <v>945.76313108878639</v>
      </c>
      <c r="I25" s="204">
        <v>90</v>
      </c>
      <c r="J25" s="128">
        <f>MIN(SMY!I24:I32,SMY!I35:I37)</f>
        <v>0.92357272584450956</v>
      </c>
      <c r="K25" s="127">
        <f>MIN(SMY!M24:M32,SMY!M35:M37)</f>
        <v>50.507666952507648</v>
      </c>
      <c r="L25" s="280"/>
    </row>
    <row r="26" spans="1:12" s="2" customFormat="1" x14ac:dyDescent="0.2">
      <c r="A26" s="267"/>
      <c r="J26" s="117"/>
      <c r="K26" s="117"/>
      <c r="L26" s="280"/>
    </row>
    <row r="27" spans="1:12" ht="15" x14ac:dyDescent="0.25">
      <c r="A27" s="226"/>
      <c r="B27" s="395" t="s">
        <v>323</v>
      </c>
      <c r="C27" s="290"/>
      <c r="D27" s="313"/>
      <c r="H27" s="1267" t="s">
        <v>335</v>
      </c>
      <c r="I27" s="1268"/>
      <c r="J27" s="1268"/>
      <c r="K27" s="1269"/>
      <c r="L27" s="228"/>
    </row>
    <row r="28" spans="1:12" s="2" customFormat="1" x14ac:dyDescent="0.2">
      <c r="A28" s="267"/>
      <c r="B28" s="266" t="s">
        <v>255</v>
      </c>
      <c r="C28" s="266" t="s">
        <v>72</v>
      </c>
      <c r="D28" s="266" t="s">
        <v>73</v>
      </c>
      <c r="E28" s="40"/>
      <c r="F28" s="40"/>
      <c r="H28" s="36" t="s">
        <v>74</v>
      </c>
      <c r="I28" s="36" t="s">
        <v>75</v>
      </c>
      <c r="J28" s="36" t="s">
        <v>76</v>
      </c>
      <c r="K28" s="36" t="s">
        <v>77</v>
      </c>
      <c r="L28" s="280"/>
    </row>
    <row r="29" spans="1:12" s="2" customFormat="1" x14ac:dyDescent="0.2">
      <c r="A29" s="267"/>
      <c r="B29" s="31" t="str">
        <f>hr!$A$9</f>
        <v>AM</v>
      </c>
      <c r="C29" s="863" t="str">
        <f>B29</f>
        <v>AM</v>
      </c>
      <c r="D29" s="1" t="s">
        <v>78</v>
      </c>
      <c r="G29" s="120" t="str">
        <f>hr!$A$9</f>
        <v>AM</v>
      </c>
      <c r="H29" s="130">
        <v>0.5</v>
      </c>
      <c r="I29" s="130">
        <v>0.5</v>
      </c>
      <c r="J29" s="130">
        <v>0.5</v>
      </c>
      <c r="K29" s="130">
        <v>0.5</v>
      </c>
      <c r="L29" s="280"/>
    </row>
    <row r="30" spans="1:12" s="2" customFormat="1" x14ac:dyDescent="0.2">
      <c r="A30" s="267"/>
      <c r="B30" s="31" t="str">
        <f>hr!$A$10</f>
        <v>off</v>
      </c>
      <c r="C30" s="863" t="str">
        <f t="shared" ref="C30:C31" si="0">B30</f>
        <v>off</v>
      </c>
      <c r="D30" s="242" t="s">
        <v>389</v>
      </c>
      <c r="G30" s="120" t="str">
        <f>hr!$A$10</f>
        <v>off</v>
      </c>
      <c r="H30" s="130">
        <v>0.5</v>
      </c>
      <c r="I30" s="130">
        <v>0.5</v>
      </c>
      <c r="J30" s="130">
        <v>0.5</v>
      </c>
      <c r="K30" s="130">
        <v>0.5</v>
      </c>
      <c r="L30" s="280"/>
    </row>
    <row r="31" spans="1:12" s="2" customFormat="1" x14ac:dyDescent="0.2">
      <c r="A31" s="267"/>
      <c r="B31" s="31" t="str">
        <f>hr!$A$11</f>
        <v>PM</v>
      </c>
      <c r="C31" s="863" t="str">
        <f t="shared" si="0"/>
        <v>PM</v>
      </c>
      <c r="D31" s="1" t="s">
        <v>79</v>
      </c>
      <c r="G31" s="120" t="str">
        <f>hr!$A$11</f>
        <v>PM</v>
      </c>
      <c r="H31" s="130">
        <v>0.5</v>
      </c>
      <c r="I31" s="130">
        <v>0.5</v>
      </c>
      <c r="J31" s="130">
        <v>0.5</v>
      </c>
      <c r="K31" s="130">
        <v>0.5</v>
      </c>
      <c r="L31" s="280"/>
    </row>
    <row r="32" spans="1:12" s="2" customFormat="1" x14ac:dyDescent="0.2">
      <c r="A32" s="267"/>
      <c r="B32" s="31"/>
      <c r="C32" s="503" t="s">
        <v>391</v>
      </c>
      <c r="D32" s="480" t="s">
        <v>403</v>
      </c>
      <c r="G32" s="31"/>
      <c r="H32" s="31"/>
      <c r="I32" s="31"/>
      <c r="J32" s="31"/>
      <c r="K32" s="31"/>
      <c r="L32" s="280"/>
    </row>
    <row r="33" spans="1:12" s="2" customFormat="1" x14ac:dyDescent="0.2">
      <c r="A33" s="267"/>
      <c r="B33" s="31"/>
      <c r="C33" s="263" t="s">
        <v>390</v>
      </c>
      <c r="D33" s="263"/>
      <c r="G33" s="31"/>
      <c r="L33" s="280"/>
    </row>
    <row r="34" spans="1:12" s="2" customFormat="1" x14ac:dyDescent="0.2">
      <c r="A34" s="267"/>
      <c r="B34" s="31"/>
      <c r="C34" s="263"/>
      <c r="D34" s="263"/>
      <c r="G34" s="31"/>
      <c r="L34" s="280"/>
    </row>
    <row r="35" spans="1:12" s="2" customFormat="1" ht="15.75" x14ac:dyDescent="0.25">
      <c r="A35" s="267"/>
      <c r="B35" s="395" t="s">
        <v>519</v>
      </c>
      <c r="C35" s="286"/>
      <c r="D35" s="286"/>
      <c r="E35" s="287"/>
      <c r="H35" s="395" t="s">
        <v>522</v>
      </c>
      <c r="I35" s="286"/>
      <c r="J35" s="286"/>
      <c r="K35" s="287"/>
      <c r="L35" s="280"/>
    </row>
    <row r="36" spans="1:12" s="2" customFormat="1" x14ac:dyDescent="0.2">
      <c r="A36" s="267"/>
      <c r="B36" s="216" t="s">
        <v>493</v>
      </c>
      <c r="C36" s="842" t="s">
        <v>190</v>
      </c>
      <c r="D36" s="1075" t="s">
        <v>191</v>
      </c>
      <c r="E36" s="843" t="s">
        <v>192</v>
      </c>
      <c r="F36" s="844" t="s">
        <v>193</v>
      </c>
      <c r="H36" s="851" t="s">
        <v>277</v>
      </c>
      <c r="I36" s="852" t="s">
        <v>278</v>
      </c>
      <c r="J36" s="853" t="s">
        <v>279</v>
      </c>
      <c r="L36" s="280"/>
    </row>
    <row r="37" spans="1:12" s="2" customFormat="1" x14ac:dyDescent="0.2">
      <c r="A37" s="267"/>
      <c r="B37" s="1074" t="s">
        <v>493</v>
      </c>
      <c r="C37" s="860" t="s">
        <v>190</v>
      </c>
      <c r="D37" s="861" t="s">
        <v>191</v>
      </c>
      <c r="E37" s="862" t="s">
        <v>192</v>
      </c>
      <c r="F37" s="1076" t="s">
        <v>193</v>
      </c>
      <c r="H37" s="854" t="s">
        <v>527</v>
      </c>
      <c r="I37" s="848"/>
      <c r="J37" s="849"/>
      <c r="L37" s="280"/>
    </row>
    <row r="38" spans="1:12" s="2" customFormat="1" x14ac:dyDescent="0.2">
      <c r="A38" s="267"/>
      <c r="B38" s="845" t="s">
        <v>167</v>
      </c>
      <c r="C38" s="845" t="s">
        <v>361</v>
      </c>
      <c r="D38" s="848" t="s">
        <v>523</v>
      </c>
      <c r="E38" s="848"/>
      <c r="F38" s="849"/>
      <c r="G38" s="850"/>
      <c r="K38" s="242"/>
      <c r="L38" s="280"/>
    </row>
    <row r="39" spans="1:12" s="2" customFormat="1" x14ac:dyDescent="0.2">
      <c r="A39" s="267"/>
      <c r="B39" s="845" t="s">
        <v>167</v>
      </c>
      <c r="C39" s="845" t="s">
        <v>353</v>
      </c>
      <c r="D39" s="848" t="s">
        <v>525</v>
      </c>
      <c r="E39" s="848"/>
      <c r="F39" s="849"/>
      <c r="G39" s="850"/>
      <c r="H39" s="850"/>
      <c r="I39" s="850"/>
      <c r="J39" s="850"/>
      <c r="L39" s="280"/>
    </row>
    <row r="40" spans="1:12" s="2" customFormat="1" x14ac:dyDescent="0.2">
      <c r="A40" s="267"/>
      <c r="B40" s="846" t="s">
        <v>166</v>
      </c>
      <c r="C40" s="847" t="s">
        <v>520</v>
      </c>
      <c r="D40" s="848" t="s">
        <v>524</v>
      </c>
      <c r="E40" s="848"/>
      <c r="F40" s="849"/>
      <c r="G40" s="850"/>
      <c r="H40" s="850"/>
      <c r="I40" s="850"/>
      <c r="J40" s="850"/>
      <c r="L40" s="280"/>
    </row>
    <row r="41" spans="1:12" s="2" customFormat="1" ht="15" x14ac:dyDescent="0.25">
      <c r="A41" s="267"/>
      <c r="B41" s="846" t="s">
        <v>166</v>
      </c>
      <c r="C41" s="846" t="s">
        <v>521</v>
      </c>
      <c r="D41" s="848" t="s">
        <v>526</v>
      </c>
      <c r="E41" s="848"/>
      <c r="F41" s="849"/>
      <c r="G41" s="850"/>
      <c r="H41" s="1267" t="s">
        <v>336</v>
      </c>
      <c r="I41" s="1268"/>
      <c r="J41" s="1268"/>
      <c r="K41" s="1269"/>
      <c r="L41" s="280"/>
    </row>
    <row r="42" spans="1:12" s="2" customFormat="1" x14ac:dyDescent="0.2">
      <c r="A42" s="267"/>
      <c r="B42" s="846" t="s">
        <v>166</v>
      </c>
      <c r="C42" s="846" t="s">
        <v>353</v>
      </c>
      <c r="D42" s="848" t="s">
        <v>524</v>
      </c>
      <c r="E42" s="848"/>
      <c r="F42" s="849"/>
      <c r="G42" s="850"/>
      <c r="I42" s="31"/>
      <c r="J42" s="355" t="s">
        <v>341</v>
      </c>
      <c r="K42" s="393" t="s">
        <v>337</v>
      </c>
      <c r="L42" s="280"/>
    </row>
    <row r="43" spans="1:12" s="2" customFormat="1" x14ac:dyDescent="0.2">
      <c r="A43" s="267"/>
      <c r="B43" s="97"/>
      <c r="C43" s="97"/>
      <c r="D43" s="97"/>
      <c r="E43" s="97"/>
      <c r="F43" s="97"/>
      <c r="G43" s="97"/>
      <c r="L43" s="269"/>
    </row>
    <row r="44" spans="1:12" s="2" customFormat="1" ht="15" x14ac:dyDescent="0.25">
      <c r="A44" s="398"/>
      <c r="B44" s="477" t="s">
        <v>324</v>
      </c>
      <c r="C44" s="478"/>
      <c r="D44" s="479"/>
      <c r="E44" s="399"/>
      <c r="F44" s="399"/>
      <c r="G44" s="399"/>
      <c r="L44" s="392"/>
    </row>
    <row r="45" spans="1:12" s="2" customFormat="1" ht="15" x14ac:dyDescent="0.25">
      <c r="A45" s="267"/>
      <c r="B45" s="400"/>
      <c r="C45" s="3"/>
      <c r="D45" s="401"/>
      <c r="E45" s="402"/>
      <c r="F45" s="402"/>
      <c r="G45" s="402"/>
      <c r="H45" s="402"/>
      <c r="I45" s="402"/>
      <c r="J45" s="402"/>
      <c r="K45" s="402"/>
      <c r="L45" s="280"/>
    </row>
    <row r="46" spans="1:12" s="2" customFormat="1" x14ac:dyDescent="0.2">
      <c r="A46" s="267"/>
      <c r="B46" s="153" t="s">
        <v>86</v>
      </c>
      <c r="D46" s="151"/>
      <c r="E46" s="151"/>
      <c r="F46" s="151"/>
      <c r="G46" s="151"/>
      <c r="H46" s="153" t="s">
        <v>87</v>
      </c>
      <c r="I46" s="151"/>
      <c r="J46" s="151"/>
      <c r="K46" s="151"/>
      <c r="L46" s="280"/>
    </row>
    <row r="47" spans="1:12" s="2" customFormat="1" x14ac:dyDescent="0.2">
      <c r="A47" s="267"/>
      <c r="B47" s="151"/>
      <c r="D47" s="151"/>
      <c r="E47" s="142" t="s">
        <v>88</v>
      </c>
      <c r="F47" s="39">
        <v>0.75</v>
      </c>
      <c r="G47" s="151"/>
      <c r="H47" s="151"/>
      <c r="I47" s="151"/>
      <c r="J47" s="142" t="s">
        <v>89</v>
      </c>
      <c r="K47" s="39">
        <v>-3.7</v>
      </c>
      <c r="L47" s="280"/>
    </row>
    <row r="48" spans="1:12" s="2" customFormat="1" x14ac:dyDescent="0.2">
      <c r="A48" s="267"/>
      <c r="B48" s="151"/>
      <c r="D48" s="151"/>
      <c r="E48" s="142" t="s">
        <v>90</v>
      </c>
      <c r="F48" s="39">
        <v>1</v>
      </c>
      <c r="G48" s="151"/>
      <c r="H48" s="151"/>
      <c r="I48" s="151"/>
      <c r="J48" s="142" t="s">
        <v>91</v>
      </c>
      <c r="K48" s="39">
        <v>-3.05</v>
      </c>
      <c r="L48" s="280"/>
    </row>
    <row r="49" spans="1:12" s="2" customFormat="1" x14ac:dyDescent="0.2">
      <c r="A49" s="267"/>
      <c r="B49" s="151"/>
      <c r="D49" s="151"/>
      <c r="E49" s="142" t="s">
        <v>92</v>
      </c>
      <c r="F49" s="144">
        <v>0.67</v>
      </c>
      <c r="G49" s="151"/>
      <c r="H49" s="151"/>
      <c r="I49" s="151"/>
      <c r="J49" s="142" t="s">
        <v>93</v>
      </c>
      <c r="K49" s="144">
        <v>-2</v>
      </c>
      <c r="L49" s="280"/>
    </row>
    <row r="50" spans="1:12" s="2" customFormat="1" x14ac:dyDescent="0.2">
      <c r="A50" s="267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280"/>
    </row>
    <row r="51" spans="1:12" s="2" customFormat="1" x14ac:dyDescent="0.2">
      <c r="A51" s="267"/>
      <c r="B51" s="153" t="s">
        <v>94</v>
      </c>
      <c r="C51" s="151"/>
      <c r="D51" s="151"/>
      <c r="E51" s="151"/>
      <c r="F51" s="151"/>
      <c r="G51" s="151"/>
      <c r="H51" s="153" t="s">
        <v>101</v>
      </c>
      <c r="I51" s="151"/>
      <c r="J51" s="151"/>
      <c r="K51" s="151"/>
      <c r="L51" s="280"/>
    </row>
    <row r="52" spans="1:12" s="2" customFormat="1" x14ac:dyDescent="0.2">
      <c r="A52" s="267"/>
      <c r="B52" s="154"/>
      <c r="C52" s="151"/>
      <c r="D52" s="151"/>
      <c r="E52" s="151"/>
      <c r="F52" s="143" t="s">
        <v>106</v>
      </c>
      <c r="G52" s="151"/>
      <c r="H52" s="154"/>
      <c r="I52" s="151"/>
      <c r="J52" s="143" t="s">
        <v>107</v>
      </c>
      <c r="K52" s="143" t="s">
        <v>108</v>
      </c>
      <c r="L52" s="280"/>
    </row>
    <row r="53" spans="1:12" s="2" customFormat="1" x14ac:dyDescent="0.2">
      <c r="A53" s="267"/>
      <c r="B53" s="151"/>
      <c r="C53" s="151"/>
      <c r="D53" s="151"/>
      <c r="E53" s="142" t="s">
        <v>98</v>
      </c>
      <c r="F53" s="141">
        <v>11</v>
      </c>
      <c r="G53" s="151"/>
      <c r="H53" s="151"/>
      <c r="I53" s="142" t="s">
        <v>95</v>
      </c>
      <c r="J53" s="145">
        <v>1</v>
      </c>
      <c r="K53" s="145">
        <v>3.6</v>
      </c>
      <c r="L53" s="280"/>
    </row>
    <row r="54" spans="1:12" s="2" customFormat="1" x14ac:dyDescent="0.2">
      <c r="A54" s="267"/>
      <c r="B54" s="151"/>
      <c r="C54" s="151"/>
      <c r="D54" s="151"/>
      <c r="E54" s="142" t="s">
        <v>99</v>
      </c>
      <c r="F54" s="141">
        <v>7</v>
      </c>
      <c r="G54" s="151"/>
      <c r="H54" s="151"/>
      <c r="I54" s="142" t="s">
        <v>96</v>
      </c>
      <c r="J54" s="146">
        <v>1.2</v>
      </c>
      <c r="K54" s="145">
        <v>4.32</v>
      </c>
      <c r="L54" s="280"/>
    </row>
    <row r="55" spans="1:12" s="2" customFormat="1" x14ac:dyDescent="0.2">
      <c r="A55" s="267"/>
      <c r="B55" s="151"/>
      <c r="C55" s="151"/>
      <c r="D55" s="151"/>
      <c r="E55" s="142" t="s">
        <v>352</v>
      </c>
      <c r="F55" s="141">
        <v>4</v>
      </c>
      <c r="G55" s="151"/>
      <c r="H55" s="151"/>
      <c r="I55" s="142" t="s">
        <v>97</v>
      </c>
      <c r="J55" s="145">
        <v>1.5</v>
      </c>
      <c r="K55" s="145">
        <v>5.4</v>
      </c>
      <c r="L55" s="280"/>
    </row>
    <row r="56" spans="1:12" s="2" customFormat="1" x14ac:dyDescent="0.2">
      <c r="A56" s="267"/>
      <c r="B56" s="151"/>
      <c r="C56" s="151"/>
      <c r="D56" s="151"/>
      <c r="E56" s="142" t="s">
        <v>100</v>
      </c>
      <c r="F56" s="141">
        <v>4</v>
      </c>
      <c r="G56" s="151"/>
      <c r="H56" s="152"/>
      <c r="I56" s="152"/>
      <c r="J56" s="152"/>
      <c r="K56" s="152"/>
      <c r="L56" s="280"/>
    </row>
    <row r="57" spans="1:12" s="2" customFormat="1" x14ac:dyDescent="0.2">
      <c r="A57" s="267"/>
      <c r="B57" s="151"/>
      <c r="C57" s="151"/>
      <c r="D57" s="151"/>
      <c r="E57" s="142" t="s">
        <v>84</v>
      </c>
      <c r="F57" s="141">
        <v>3</v>
      </c>
      <c r="G57" s="151"/>
      <c r="H57" s="152"/>
      <c r="I57" s="152"/>
      <c r="J57" s="152"/>
      <c r="K57" s="152"/>
      <c r="L57" s="280"/>
    </row>
    <row r="58" spans="1:12" s="2" customFormat="1" x14ac:dyDescent="0.2">
      <c r="A58" s="267"/>
      <c r="B58" s="152"/>
      <c r="C58" s="152"/>
      <c r="D58" s="152"/>
      <c r="E58" s="142" t="s">
        <v>85</v>
      </c>
      <c r="F58" s="141">
        <v>2</v>
      </c>
      <c r="G58" s="152"/>
      <c r="H58" s="152"/>
      <c r="I58" s="152"/>
      <c r="J58" s="152"/>
      <c r="K58" s="152"/>
      <c r="L58" s="280"/>
    </row>
    <row r="59" spans="1:12" s="2" customFormat="1" x14ac:dyDescent="0.2">
      <c r="A59" s="267"/>
      <c r="B59" s="152"/>
      <c r="C59" s="152"/>
      <c r="D59" s="152"/>
      <c r="E59" s="152"/>
      <c r="F59" s="152"/>
      <c r="G59" s="152"/>
      <c r="H59" s="152"/>
      <c r="I59" s="152"/>
      <c r="J59" s="152"/>
      <c r="K59" s="152"/>
      <c r="L59" s="280"/>
    </row>
    <row r="60" spans="1:12" s="2" customFormat="1" x14ac:dyDescent="0.2">
      <c r="A60" s="267"/>
      <c r="B60" s="153" t="s">
        <v>102</v>
      </c>
      <c r="C60" s="151"/>
      <c r="D60" s="151"/>
      <c r="E60" s="151"/>
      <c r="F60" s="151"/>
      <c r="G60" s="151"/>
      <c r="H60" s="151"/>
      <c r="I60" s="151"/>
      <c r="J60" s="142" t="s">
        <v>105</v>
      </c>
      <c r="K60" s="396">
        <v>6</v>
      </c>
      <c r="L60" s="280"/>
    </row>
    <row r="61" spans="1:12" s="2" customFormat="1" x14ac:dyDescent="0.2">
      <c r="A61" s="267"/>
      <c r="E61" s="142" t="s">
        <v>103</v>
      </c>
      <c r="F61" s="113">
        <f>2/60</f>
        <v>3.3333333333333333E-2</v>
      </c>
      <c r="J61" s="142" t="s">
        <v>104</v>
      </c>
      <c r="K61" s="145">
        <v>1.5</v>
      </c>
      <c r="L61" s="280"/>
    </row>
    <row r="62" spans="1:12" s="2" customFormat="1" ht="13.5" thickBot="1" x14ac:dyDescent="0.25">
      <c r="A62" s="394"/>
      <c r="B62" s="270"/>
      <c r="C62" s="270"/>
      <c r="D62" s="271"/>
      <c r="E62" s="397"/>
      <c r="F62" s="397"/>
      <c r="G62" s="270"/>
      <c r="H62" s="270"/>
      <c r="I62" s="270"/>
      <c r="J62" s="270"/>
      <c r="K62" s="397"/>
      <c r="L62" s="391"/>
    </row>
    <row r="63" spans="1:12" s="2" customFormat="1" ht="13.5" thickTop="1" x14ac:dyDescent="0.2"/>
    <row r="64" spans="1:12" s="2" customFormat="1" x14ac:dyDescent="0.2"/>
    <row r="65" s="2" customFormat="1" x14ac:dyDescent="0.2"/>
    <row r="66" s="2" customFormat="1" x14ac:dyDescent="0.2"/>
    <row r="67" s="2" customFormat="1" x14ac:dyDescent="0.2"/>
    <row r="68" s="2" customFormat="1" x14ac:dyDescent="0.2"/>
    <row r="69" s="2" customFormat="1" x14ac:dyDescent="0.2"/>
  </sheetData>
  <mergeCells count="5">
    <mergeCell ref="H27:K27"/>
    <mergeCell ref="H41:K41"/>
    <mergeCell ref="C8:E8"/>
    <mergeCell ref="F8:H8"/>
    <mergeCell ref="I8:K8"/>
  </mergeCells>
  <phoneticPr fontId="15" type="noConversion"/>
  <conditionalFormatting sqref="D23:D25">
    <cfRule type="cellIs" priority="12" stopIfTrue="1" operator="equal">
      <formula>0</formula>
    </cfRule>
    <cfRule type="cellIs" dxfId="76" priority="14" stopIfTrue="1" operator="greaterThan">
      <formula>0.99</formula>
    </cfRule>
    <cfRule type="cellIs" dxfId="75" priority="15" stopIfTrue="1" operator="greaterThan">
      <formula>0.95</formula>
    </cfRule>
    <cfRule type="cellIs" dxfId="74" priority="16" stopIfTrue="1" operator="greaterThan">
      <formula>0.8</formula>
    </cfRule>
  </conditionalFormatting>
  <conditionalFormatting sqref="E23:E25">
    <cfRule type="cellIs" dxfId="73" priority="23" stopIfTrue="1" operator="greaterThan">
      <formula>80</formula>
    </cfRule>
    <cfRule type="cellIs" dxfId="72" priority="24" stopIfTrue="1" operator="greaterThan">
      <formula>55</formula>
    </cfRule>
    <cfRule type="cellIs" dxfId="71" priority="25" stopIfTrue="1" operator="greaterThan">
      <formula>20</formula>
    </cfRule>
  </conditionalFormatting>
  <conditionalFormatting sqref="G23:G25">
    <cfRule type="cellIs" dxfId="70" priority="9" stopIfTrue="1" operator="greaterThan">
      <formula>0.99</formula>
    </cfRule>
    <cfRule type="cellIs" dxfId="69" priority="10" stopIfTrue="1" operator="greaterThan">
      <formula>0.95</formula>
    </cfRule>
    <cfRule type="cellIs" dxfId="68" priority="11" stopIfTrue="1" operator="greaterThan">
      <formula>0.8</formula>
    </cfRule>
  </conditionalFormatting>
  <conditionalFormatting sqref="H23:H25">
    <cfRule type="cellIs" dxfId="67" priority="20" stopIfTrue="1" operator="greaterThan">
      <formula>80</formula>
    </cfRule>
    <cfRule type="cellIs" dxfId="66" priority="21" stopIfTrue="1" operator="greaterThan">
      <formula>55</formula>
    </cfRule>
    <cfRule type="cellIs" dxfId="65" priority="22" stopIfTrue="1" operator="greaterThan">
      <formula>20</formula>
    </cfRule>
  </conditionalFormatting>
  <conditionalFormatting sqref="J23:J25">
    <cfRule type="cellIs" dxfId="64" priority="5" stopIfTrue="1" operator="greaterThan">
      <formula>0.99</formula>
    </cfRule>
    <cfRule type="cellIs" dxfId="63" priority="6" stopIfTrue="1" operator="greaterThan">
      <formula>0.95</formula>
    </cfRule>
    <cfRule type="cellIs" dxfId="62" priority="7" stopIfTrue="1" operator="greaterThan">
      <formula>0.8</formula>
    </cfRule>
  </conditionalFormatting>
  <conditionalFormatting sqref="K23:K25">
    <cfRule type="cellIs" dxfId="61" priority="17" stopIfTrue="1" operator="greaterThan">
      <formula>80</formula>
    </cfRule>
    <cfRule type="cellIs" dxfId="60" priority="18" stopIfTrue="1" operator="greaterThan">
      <formula>55</formula>
    </cfRule>
    <cfRule type="cellIs" dxfId="59" priority="19" stopIfTrue="1" operator="greaterThan">
      <formula>20</formula>
    </cfRule>
  </conditionalFormatting>
  <printOptions horizontalCentered="1" verticalCentered="1"/>
  <pageMargins left="0.70866141732283472" right="0.70866141732283472" top="0.74803149606299213" bottom="0.74803149606299213" header="0.31496062992125984" footer="0.35433070866141736"/>
  <pageSetup paperSize="9" scale="92" orientation="portrait" r:id="rId1"/>
  <headerFooter>
    <oddFooter>&amp;L&amp;8copyright:
Dr John Sampson&amp;C&amp;9&amp;F
&amp;A&amp;R&amp;9print:
&amp;D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W104"/>
  <sheetViews>
    <sheetView zoomScale="110" zoomScaleNormal="11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I42" sqref="I42"/>
    </sheetView>
  </sheetViews>
  <sheetFormatPr defaultColWidth="9.140625" defaultRowHeight="12.75" x14ac:dyDescent="0.2"/>
  <cols>
    <col min="1" max="1" width="14.140625" style="14" customWidth="1"/>
    <col min="2" max="2" width="7.7109375" style="187" customWidth="1"/>
    <col min="3" max="3" width="4" style="413" customWidth="1"/>
    <col min="4" max="4" width="19.7109375" style="14" customWidth="1"/>
    <col min="5" max="5" width="2.42578125" style="181" customWidth="1"/>
    <col min="6" max="6" width="8.5703125" style="1001" customWidth="1"/>
    <col min="7" max="7" width="8.5703125" style="160" customWidth="1"/>
    <col min="8" max="13" width="8.5703125" style="14" customWidth="1"/>
    <col min="14" max="15" width="8.5703125" style="187" customWidth="1"/>
    <col min="16" max="16" width="2.42578125" style="181" customWidth="1"/>
    <col min="17" max="17" width="8.5703125" style="1001" customWidth="1"/>
    <col min="18" max="18" width="8.5703125" style="160" customWidth="1"/>
    <col min="19" max="24" width="8.5703125" style="14" customWidth="1"/>
    <col min="25" max="26" width="8.5703125" style="187" customWidth="1"/>
    <col min="27" max="27" width="2.42578125" style="181" customWidth="1"/>
    <col min="28" max="28" width="8.5703125" style="1001" customWidth="1"/>
    <col min="29" max="29" width="8.5703125" style="160" customWidth="1"/>
    <col min="30" max="35" width="8.5703125" style="14" customWidth="1"/>
    <col min="36" max="37" width="8.5703125" style="187" customWidth="1"/>
    <col min="38" max="38" width="2.42578125" style="181" customWidth="1"/>
    <col min="39" max="39" width="8.5703125" style="1001" customWidth="1"/>
    <col min="40" max="40" width="8.5703125" style="160" customWidth="1"/>
    <col min="41" max="46" width="8.5703125" style="14" customWidth="1"/>
    <col min="47" max="47" width="8.5703125" style="187" customWidth="1"/>
    <col min="48" max="48" width="8.5703125" style="14" customWidth="1"/>
    <col min="49" max="49" width="2.42578125" style="181" customWidth="1"/>
    <col min="50" max="16384" width="9.140625" style="14"/>
  </cols>
  <sheetData>
    <row r="1" spans="1:49" s="168" customFormat="1" ht="15" customHeight="1" thickBot="1" x14ac:dyDescent="0.3">
      <c r="A1" s="750" t="s">
        <v>576</v>
      </c>
      <c r="B1" s="752"/>
      <c r="C1" s="511" t="s">
        <v>329</v>
      </c>
      <c r="D1" s="512"/>
      <c r="E1" s="513"/>
      <c r="F1" s="1291" t="s">
        <v>44</v>
      </c>
      <c r="G1" s="1292"/>
      <c r="H1" s="1292"/>
      <c r="I1" s="1292"/>
      <c r="J1" s="1292"/>
      <c r="K1" s="1292"/>
      <c r="L1" s="1292"/>
      <c r="M1" s="1292"/>
      <c r="N1" s="1292"/>
      <c r="O1" s="1293"/>
      <c r="P1" s="552"/>
      <c r="Q1" s="1294" t="s">
        <v>46</v>
      </c>
      <c r="R1" s="1295"/>
      <c r="S1" s="1295"/>
      <c r="T1" s="1295"/>
      <c r="U1" s="1295"/>
      <c r="V1" s="1295"/>
      <c r="W1" s="1295"/>
      <c r="X1" s="1295"/>
      <c r="Y1" s="1295"/>
      <c r="Z1" s="1296"/>
      <c r="AA1" s="552"/>
      <c r="AB1" s="1279" t="s">
        <v>48</v>
      </c>
      <c r="AC1" s="1280"/>
      <c r="AD1" s="1280"/>
      <c r="AE1" s="1280"/>
      <c r="AF1" s="1280"/>
      <c r="AG1" s="1280"/>
      <c r="AH1" s="1280"/>
      <c r="AI1" s="1280"/>
      <c r="AJ1" s="1280"/>
      <c r="AK1" s="1281"/>
      <c r="AL1" s="552"/>
      <c r="AM1" s="1282" t="s">
        <v>47</v>
      </c>
      <c r="AN1" s="1283"/>
      <c r="AO1" s="1283"/>
      <c r="AP1" s="1283"/>
      <c r="AQ1" s="1283"/>
      <c r="AR1" s="1283"/>
      <c r="AS1" s="1283"/>
      <c r="AT1" s="1283"/>
      <c r="AU1" s="1283"/>
      <c r="AV1" s="1284"/>
      <c r="AW1" s="552"/>
    </row>
    <row r="2" spans="1:49" s="516" customFormat="1" ht="12.75" customHeight="1" x14ac:dyDescent="0.2">
      <c r="B2" s="516" t="s">
        <v>424</v>
      </c>
      <c r="C2" s="1022"/>
      <c r="D2" s="418" t="s">
        <v>59</v>
      </c>
      <c r="E2" s="1023"/>
      <c r="F2" s="979" t="s">
        <v>499</v>
      </c>
      <c r="G2" s="516" t="s">
        <v>483</v>
      </c>
      <c r="H2" s="185" t="s">
        <v>62</v>
      </c>
      <c r="I2" s="516" t="s">
        <v>63</v>
      </c>
      <c r="J2" s="185" t="s">
        <v>64</v>
      </c>
      <c r="K2" s="516" t="s">
        <v>65</v>
      </c>
      <c r="L2" s="516" t="s">
        <v>66</v>
      </c>
      <c r="M2" s="185" t="s">
        <v>500</v>
      </c>
      <c r="N2" s="559" t="s">
        <v>501</v>
      </c>
      <c r="O2" s="516" t="s">
        <v>51</v>
      </c>
      <c r="P2" s="1024"/>
      <c r="Q2" s="979" t="s">
        <v>499</v>
      </c>
      <c r="R2" s="516" t="s">
        <v>483</v>
      </c>
      <c r="S2" s="185" t="s">
        <v>62</v>
      </c>
      <c r="T2" s="516" t="s">
        <v>63</v>
      </c>
      <c r="U2" s="185" t="s">
        <v>64</v>
      </c>
      <c r="V2" s="516" t="s">
        <v>65</v>
      </c>
      <c r="W2" s="516" t="s">
        <v>66</v>
      </c>
      <c r="X2" s="185" t="s">
        <v>500</v>
      </c>
      <c r="Y2" s="559" t="s">
        <v>501</v>
      </c>
      <c r="Z2" s="516" t="s">
        <v>51</v>
      </c>
      <c r="AA2" s="1024"/>
      <c r="AB2" s="979" t="s">
        <v>499</v>
      </c>
      <c r="AC2" s="516" t="s">
        <v>483</v>
      </c>
      <c r="AD2" s="185" t="s">
        <v>62</v>
      </c>
      <c r="AE2" s="516" t="s">
        <v>63</v>
      </c>
      <c r="AF2" s="185" t="s">
        <v>64</v>
      </c>
      <c r="AG2" s="516" t="s">
        <v>65</v>
      </c>
      <c r="AH2" s="516" t="s">
        <v>66</v>
      </c>
      <c r="AI2" s="185" t="s">
        <v>500</v>
      </c>
      <c r="AJ2" s="559" t="s">
        <v>501</v>
      </c>
      <c r="AK2" s="516" t="s">
        <v>51</v>
      </c>
      <c r="AL2" s="1024"/>
      <c r="AM2" s="979" t="s">
        <v>499</v>
      </c>
      <c r="AN2" s="516" t="s">
        <v>483</v>
      </c>
      <c r="AO2" s="185" t="s">
        <v>62</v>
      </c>
      <c r="AP2" s="516" t="s">
        <v>63</v>
      </c>
      <c r="AQ2" s="185" t="s">
        <v>64</v>
      </c>
      <c r="AR2" s="516" t="s">
        <v>65</v>
      </c>
      <c r="AS2" s="516" t="s">
        <v>66</v>
      </c>
      <c r="AT2" s="185" t="s">
        <v>500</v>
      </c>
      <c r="AU2" s="559" t="s">
        <v>501</v>
      </c>
      <c r="AV2" s="516" t="s">
        <v>51</v>
      </c>
      <c r="AW2" s="1024"/>
    </row>
    <row r="3" spans="1:49" s="42" customFormat="1" ht="12.75" customHeight="1" x14ac:dyDescent="0.2">
      <c r="B3" s="42">
        <v>1045.7110537097237</v>
      </c>
      <c r="C3" s="560"/>
      <c r="D3" s="45" t="s">
        <v>21</v>
      </c>
      <c r="E3" s="953"/>
      <c r="F3" s="980">
        <v>10.00001</v>
      </c>
      <c r="G3" s="43">
        <v>203.72502180688443</v>
      </c>
      <c r="H3" s="45">
        <v>93.670001524590162</v>
      </c>
      <c r="I3" s="42">
        <v>572.02631562863849</v>
      </c>
      <c r="J3" s="45">
        <v>478.35631410404835</v>
      </c>
      <c r="K3" s="42">
        <v>541.4352081868509</v>
      </c>
      <c r="L3" s="42">
        <v>541.4352081868509</v>
      </c>
      <c r="M3" s="45">
        <v>63.078894082802549</v>
      </c>
      <c r="N3" s="43">
        <v>0</v>
      </c>
      <c r="O3" s="42">
        <v>541.4352081868509</v>
      </c>
      <c r="P3" s="178"/>
      <c r="Q3" s="980">
        <v>10.00001</v>
      </c>
      <c r="R3" s="156">
        <v>446.74419129824327</v>
      </c>
      <c r="S3" s="45">
        <v>50.02053043103448</v>
      </c>
      <c r="T3" s="42">
        <v>820.61257982994368</v>
      </c>
      <c r="U3" s="45">
        <v>770.59204939890924</v>
      </c>
      <c r="V3" s="42">
        <v>1080.4895884910316</v>
      </c>
      <c r="W3" s="42">
        <v>1030.469058059997</v>
      </c>
      <c r="X3" s="45">
        <v>259.87700866108781</v>
      </c>
      <c r="Y3" s="43">
        <v>0</v>
      </c>
      <c r="Z3" s="42">
        <v>1080.4895884910316</v>
      </c>
      <c r="AA3" s="178"/>
      <c r="AB3" s="980">
        <v>10.00001</v>
      </c>
      <c r="AC3" s="156">
        <v>376.48513977133229</v>
      </c>
      <c r="AD3" s="45">
        <v>186.22475084403669</v>
      </c>
      <c r="AE3" s="42">
        <v>1376.9375787098559</v>
      </c>
      <c r="AF3" s="45">
        <v>1190.7128278658192</v>
      </c>
      <c r="AG3" s="42">
        <v>1435.2843177023931</v>
      </c>
      <c r="AH3" s="42">
        <v>1249.0595668583564</v>
      </c>
      <c r="AI3" s="45">
        <v>58.346738992537311</v>
      </c>
      <c r="AJ3" s="43">
        <v>0</v>
      </c>
      <c r="AK3" s="42">
        <v>1435.2843177023931</v>
      </c>
      <c r="AL3" s="178"/>
      <c r="AM3" s="980">
        <v>10.00001</v>
      </c>
      <c r="AN3" s="156">
        <v>598.96686241148041</v>
      </c>
      <c r="AO3" s="45">
        <v>57.380318911111118</v>
      </c>
      <c r="AP3" s="42">
        <v>1793.4071619878682</v>
      </c>
      <c r="AQ3" s="45">
        <v>1736.0268430767571</v>
      </c>
      <c r="AR3" s="42">
        <v>2042.6574022845493</v>
      </c>
      <c r="AS3" s="42">
        <v>2042.6574022845493</v>
      </c>
      <c r="AT3" s="45">
        <v>306.6305592077922</v>
      </c>
      <c r="AU3" s="43">
        <v>2</v>
      </c>
      <c r="AV3" s="42">
        <v>2042.6574022845493</v>
      </c>
      <c r="AW3" s="178"/>
    </row>
    <row r="4" spans="1:49" s="42" customFormat="1" ht="12.75" customHeight="1" x14ac:dyDescent="0.2">
      <c r="B4" s="42">
        <v>420.22159687733011</v>
      </c>
      <c r="C4" s="560"/>
      <c r="D4" s="45" t="s">
        <v>22</v>
      </c>
      <c r="E4" s="953"/>
      <c r="F4" s="980">
        <v>10.00001</v>
      </c>
      <c r="G4" s="43">
        <v>177.12077116326037</v>
      </c>
      <c r="H4" s="45">
        <v>78.310763619541078</v>
      </c>
      <c r="I4" s="42">
        <v>384.08771174139775</v>
      </c>
      <c r="J4" s="45">
        <v>305.77694812185666</v>
      </c>
      <c r="K4" s="42">
        <v>415.67407355042809</v>
      </c>
      <c r="L4" s="42">
        <v>415.67407355042809</v>
      </c>
      <c r="M4" s="45">
        <v>109.89712542857143</v>
      </c>
      <c r="N4" s="43">
        <v>0</v>
      </c>
      <c r="O4" s="42">
        <v>415.67407355042809</v>
      </c>
      <c r="P4" s="178"/>
      <c r="Q4" s="980">
        <v>10.00001</v>
      </c>
      <c r="R4" s="156">
        <v>203.19366533518644</v>
      </c>
      <c r="S4" s="45">
        <v>52.320076100680275</v>
      </c>
      <c r="T4" s="42">
        <v>415.03982660073513</v>
      </c>
      <c r="U4" s="45">
        <v>362.71975050005483</v>
      </c>
      <c r="V4" s="42">
        <v>512.34089035294755</v>
      </c>
      <c r="W4" s="42">
        <v>460.0208142522672</v>
      </c>
      <c r="X4" s="45">
        <v>97.3010637522124</v>
      </c>
      <c r="Y4" s="43">
        <v>0</v>
      </c>
      <c r="Z4" s="42">
        <v>512.34089035294755</v>
      </c>
      <c r="AA4" s="178"/>
      <c r="AB4" s="980">
        <v>10.00001</v>
      </c>
      <c r="AC4" s="156">
        <v>194.72303248637999</v>
      </c>
      <c r="AD4" s="45">
        <v>83.786954123076924</v>
      </c>
      <c r="AE4" s="42">
        <v>654.51095850457637</v>
      </c>
      <c r="AF4" s="45">
        <v>570.72400438149941</v>
      </c>
      <c r="AG4" s="42">
        <v>713.51822650457632</v>
      </c>
      <c r="AH4" s="42">
        <v>629.73127238149937</v>
      </c>
      <c r="AI4" s="45">
        <v>59.007268000000003</v>
      </c>
      <c r="AJ4" s="43">
        <v>0</v>
      </c>
      <c r="AK4" s="42">
        <v>713.51822650457632</v>
      </c>
      <c r="AL4" s="178"/>
      <c r="AM4" s="980">
        <v>10.00001</v>
      </c>
      <c r="AN4" s="156">
        <v>217.02793154214368</v>
      </c>
      <c r="AO4" s="45">
        <v>66.459530397515522</v>
      </c>
      <c r="AP4" s="42">
        <v>700.45722949653475</v>
      </c>
      <c r="AQ4" s="45">
        <v>633.9976990990192</v>
      </c>
      <c r="AR4" s="42">
        <v>742.61597369792025</v>
      </c>
      <c r="AS4" s="42">
        <v>742.61597369792025</v>
      </c>
      <c r="AT4" s="45">
        <v>108.6182745989011</v>
      </c>
      <c r="AU4" s="43">
        <v>1</v>
      </c>
      <c r="AV4" s="42">
        <v>742.61597369792025</v>
      </c>
      <c r="AW4" s="178"/>
    </row>
    <row r="5" spans="1:49" s="42" customFormat="1" ht="12.75" customHeight="1" x14ac:dyDescent="0.2">
      <c r="B5" s="42">
        <v>1005.8687687718336</v>
      </c>
      <c r="C5" s="560"/>
      <c r="D5" s="45" t="s">
        <v>23</v>
      </c>
      <c r="E5" s="953"/>
      <c r="F5" s="980">
        <v>10.00001</v>
      </c>
      <c r="G5" s="43">
        <v>268.27041684014677</v>
      </c>
      <c r="H5" s="45">
        <v>336.16661848896433</v>
      </c>
      <c r="I5" s="42">
        <v>1003.2647331785041</v>
      </c>
      <c r="J5" s="45">
        <v>667.09811468953978</v>
      </c>
      <c r="K5" s="42">
        <v>731.56901768953981</v>
      </c>
      <c r="L5" s="42">
        <v>731.56901768953981</v>
      </c>
      <c r="M5" s="45">
        <v>64.470903000000007</v>
      </c>
      <c r="N5" s="43">
        <v>0</v>
      </c>
      <c r="O5" s="42">
        <v>731.56901768953981</v>
      </c>
      <c r="P5" s="178"/>
      <c r="Q5" s="980">
        <v>10.00001</v>
      </c>
      <c r="R5" s="156">
        <v>409.38262518168551</v>
      </c>
      <c r="S5" s="45">
        <v>275.10061494277107</v>
      </c>
      <c r="T5" s="42">
        <v>612.97146310604876</v>
      </c>
      <c r="U5" s="45">
        <v>337.87084816327774</v>
      </c>
      <c r="V5" s="42">
        <v>920.62107671932995</v>
      </c>
      <c r="W5" s="42">
        <v>645.52046177655893</v>
      </c>
      <c r="X5" s="45">
        <v>307.64961361328119</v>
      </c>
      <c r="Y5" s="43">
        <v>0</v>
      </c>
      <c r="Z5" s="42">
        <v>920.62107671932995</v>
      </c>
      <c r="AA5" s="178"/>
      <c r="AB5" s="980">
        <v>10.00001</v>
      </c>
      <c r="AC5" s="156">
        <v>596.48614359014812</v>
      </c>
      <c r="AD5" s="45">
        <v>303.69581856903761</v>
      </c>
      <c r="AE5" s="42">
        <v>1814.4752272288194</v>
      </c>
      <c r="AF5" s="45">
        <v>1510.7794086597819</v>
      </c>
      <c r="AG5" s="42">
        <v>2090.4585894749252</v>
      </c>
      <c r="AH5" s="42">
        <v>1786.7627709058879</v>
      </c>
      <c r="AI5" s="45">
        <v>275.98336224610591</v>
      </c>
      <c r="AJ5" s="43">
        <v>0</v>
      </c>
      <c r="AK5" s="42">
        <v>2090.4585894749252</v>
      </c>
      <c r="AL5" s="178"/>
      <c r="AM5" s="980">
        <v>10.00001</v>
      </c>
      <c r="AN5" s="156">
        <v>347.8965993985617</v>
      </c>
      <c r="AO5" s="45">
        <v>77.237152585365848</v>
      </c>
      <c r="AP5" s="42">
        <v>1109.746944622452</v>
      </c>
      <c r="AQ5" s="45">
        <v>1032.5097920370861</v>
      </c>
      <c r="AR5" s="42">
        <v>1198.5207642175142</v>
      </c>
      <c r="AS5" s="42">
        <v>1198.5207642175142</v>
      </c>
      <c r="AT5" s="45">
        <v>166.01097218042815</v>
      </c>
      <c r="AU5" s="43">
        <v>2</v>
      </c>
      <c r="AV5" s="42">
        <v>1198.5207642175142</v>
      </c>
      <c r="AW5" s="178"/>
    </row>
    <row r="6" spans="1:49" s="42" customFormat="1" ht="12.75" customHeight="1" x14ac:dyDescent="0.2">
      <c r="A6" s="14"/>
      <c r="B6" s="14"/>
      <c r="C6" s="520"/>
      <c r="D6" s="189"/>
      <c r="E6" s="954"/>
      <c r="F6" s="981"/>
      <c r="G6" s="43"/>
      <c r="H6" s="190"/>
      <c r="I6" s="189"/>
      <c r="J6" s="190"/>
      <c r="K6" s="189"/>
      <c r="L6" s="189"/>
      <c r="M6" s="190"/>
      <c r="N6" s="43"/>
      <c r="O6" s="414"/>
      <c r="P6" s="177"/>
      <c r="Q6" s="981"/>
      <c r="R6" s="156"/>
      <c r="S6" s="190"/>
      <c r="T6" s="189"/>
      <c r="U6" s="190"/>
      <c r="V6" s="189"/>
      <c r="W6" s="189"/>
      <c r="X6" s="190"/>
      <c r="Y6" s="43"/>
      <c r="Z6" s="414"/>
      <c r="AA6" s="177"/>
      <c r="AB6" s="981"/>
      <c r="AC6" s="156"/>
      <c r="AD6" s="190"/>
      <c r="AE6" s="189"/>
      <c r="AF6" s="190"/>
      <c r="AG6" s="189"/>
      <c r="AH6" s="189"/>
      <c r="AI6" s="190"/>
      <c r="AJ6" s="43"/>
      <c r="AK6" s="414"/>
      <c r="AL6" s="177"/>
      <c r="AM6" s="981"/>
      <c r="AN6" s="156"/>
      <c r="AO6" s="190"/>
      <c r="AP6" s="189"/>
      <c r="AQ6" s="190"/>
      <c r="AR6" s="189"/>
      <c r="AS6" s="189"/>
      <c r="AT6" s="190"/>
      <c r="AU6" s="43"/>
      <c r="AV6" s="138"/>
      <c r="AW6" s="177"/>
    </row>
    <row r="7" spans="1:49" s="561" customFormat="1" ht="12.75" customHeight="1" x14ac:dyDescent="0.2">
      <c r="A7" s="749" t="s">
        <v>510</v>
      </c>
      <c r="B7" s="726" t="s">
        <v>491</v>
      </c>
      <c r="C7" s="520"/>
      <c r="D7" s="506" t="s">
        <v>60</v>
      </c>
      <c r="E7" s="952"/>
      <c r="F7" s="982" t="s">
        <v>61</v>
      </c>
      <c r="G7" s="507" t="s">
        <v>273</v>
      </c>
      <c r="H7" s="508" t="s">
        <v>62</v>
      </c>
      <c r="I7" s="508" t="s">
        <v>63</v>
      </c>
      <c r="J7" s="508" t="s">
        <v>64</v>
      </c>
      <c r="K7" s="508" t="s">
        <v>65</v>
      </c>
      <c r="L7" s="508" t="s">
        <v>66</v>
      </c>
      <c r="M7" s="508" t="s">
        <v>67</v>
      </c>
      <c r="N7" s="767" t="s">
        <v>478</v>
      </c>
      <c r="O7" s="736" t="s">
        <v>51</v>
      </c>
      <c r="P7" s="176"/>
      <c r="Q7" s="982" t="s">
        <v>61</v>
      </c>
      <c r="R7" s="519" t="s">
        <v>273</v>
      </c>
      <c r="S7" s="508" t="s">
        <v>62</v>
      </c>
      <c r="T7" s="508" t="s">
        <v>63</v>
      </c>
      <c r="U7" s="508" t="s">
        <v>64</v>
      </c>
      <c r="V7" s="508" t="s">
        <v>65</v>
      </c>
      <c r="W7" s="508" t="s">
        <v>66</v>
      </c>
      <c r="X7" s="508" t="s">
        <v>67</v>
      </c>
      <c r="Y7" s="767" t="s">
        <v>478</v>
      </c>
      <c r="Z7" s="736" t="s">
        <v>51</v>
      </c>
      <c r="AA7" s="176"/>
      <c r="AB7" s="982" t="s">
        <v>61</v>
      </c>
      <c r="AC7" s="519" t="s">
        <v>273</v>
      </c>
      <c r="AD7" s="508" t="s">
        <v>62</v>
      </c>
      <c r="AE7" s="508" t="s">
        <v>63</v>
      </c>
      <c r="AF7" s="508" t="s">
        <v>64</v>
      </c>
      <c r="AG7" s="508" t="s">
        <v>65</v>
      </c>
      <c r="AH7" s="508" t="s">
        <v>66</v>
      </c>
      <c r="AI7" s="508" t="s">
        <v>67</v>
      </c>
      <c r="AJ7" s="767" t="s">
        <v>478</v>
      </c>
      <c r="AK7" s="736" t="s">
        <v>51</v>
      </c>
      <c r="AL7" s="176"/>
      <c r="AM7" s="982" t="s">
        <v>61</v>
      </c>
      <c r="AN7" s="519" t="s">
        <v>273</v>
      </c>
      <c r="AO7" s="508" t="s">
        <v>62</v>
      </c>
      <c r="AP7" s="508" t="s">
        <v>63</v>
      </c>
      <c r="AQ7" s="508" t="s">
        <v>64</v>
      </c>
      <c r="AR7" s="508" t="s">
        <v>65</v>
      </c>
      <c r="AS7" s="508" t="s">
        <v>66</v>
      </c>
      <c r="AT7" s="508" t="s">
        <v>67</v>
      </c>
      <c r="AU7" s="767" t="s">
        <v>478</v>
      </c>
      <c r="AV7" s="736" t="s">
        <v>51</v>
      </c>
      <c r="AW7" s="176"/>
    </row>
    <row r="8" spans="1:49" s="42" customFormat="1" ht="12.75" customHeight="1" x14ac:dyDescent="0.2">
      <c r="A8" s="566"/>
      <c r="B8" s="727">
        <v>0.69714070247314919</v>
      </c>
      <c r="C8" s="560"/>
      <c r="D8" s="1025" t="s">
        <v>507</v>
      </c>
      <c r="E8" s="1026"/>
      <c r="F8" s="983">
        <v>3</v>
      </c>
      <c r="G8" s="608">
        <v>1</v>
      </c>
      <c r="H8" s="67">
        <v>1E-4</v>
      </c>
      <c r="I8" s="67">
        <v>0</v>
      </c>
      <c r="J8" s="67">
        <v>1.9671041480524964</v>
      </c>
      <c r="K8" s="67">
        <v>0</v>
      </c>
      <c r="L8" s="67">
        <v>0</v>
      </c>
      <c r="M8" s="67">
        <v>1.0001</v>
      </c>
      <c r="N8" s="768">
        <v>1</v>
      </c>
      <c r="O8" s="608">
        <v>1.892115293451192</v>
      </c>
      <c r="P8" s="373"/>
      <c r="Q8" s="983">
        <v>3</v>
      </c>
      <c r="R8" s="494">
        <v>0</v>
      </c>
      <c r="S8" s="67">
        <v>1E-4</v>
      </c>
      <c r="T8" s="67">
        <v>1</v>
      </c>
      <c r="U8" s="67">
        <v>1.0001</v>
      </c>
      <c r="V8" s="67">
        <v>0</v>
      </c>
      <c r="W8" s="67">
        <v>0</v>
      </c>
      <c r="X8" s="67">
        <v>1.0001</v>
      </c>
      <c r="Y8" s="768">
        <v>1</v>
      </c>
      <c r="Z8" s="608">
        <v>1.892115293451192</v>
      </c>
      <c r="AA8" s="373"/>
      <c r="AB8" s="983">
        <v>3</v>
      </c>
      <c r="AC8" s="494">
        <v>0</v>
      </c>
      <c r="AD8" s="67">
        <v>1E-4</v>
      </c>
      <c r="AE8" s="67">
        <v>1</v>
      </c>
      <c r="AF8" s="67">
        <v>1.9671041480524964</v>
      </c>
      <c r="AG8" s="67">
        <v>0</v>
      </c>
      <c r="AH8" s="67">
        <v>0</v>
      </c>
      <c r="AI8" s="67">
        <v>1.0001</v>
      </c>
      <c r="AJ8" s="768">
        <v>1</v>
      </c>
      <c r="AK8" s="608">
        <v>1.892115293451192</v>
      </c>
      <c r="AL8" s="373"/>
      <c r="AM8" s="983">
        <v>3</v>
      </c>
      <c r="AN8" s="494">
        <v>1</v>
      </c>
      <c r="AO8" s="67">
        <v>1E-4</v>
      </c>
      <c r="AP8" s="67">
        <v>0</v>
      </c>
      <c r="AQ8" s="67">
        <v>2.9220336141167333</v>
      </c>
      <c r="AR8" s="67">
        <v>0</v>
      </c>
      <c r="AS8" s="67">
        <v>0</v>
      </c>
      <c r="AT8" s="67">
        <v>1.0001</v>
      </c>
      <c r="AU8" s="768">
        <v>1</v>
      </c>
      <c r="AV8" s="608">
        <v>1.892115293451192</v>
      </c>
      <c r="AW8" s="178"/>
    </row>
    <row r="9" spans="1:49" s="42" customFormat="1" ht="12.75" customHeight="1" x14ac:dyDescent="0.2">
      <c r="A9" s="404"/>
      <c r="B9" s="727">
        <v>0.2801477312515534</v>
      </c>
      <c r="C9" s="560"/>
      <c r="D9" s="138"/>
      <c r="E9" s="953"/>
      <c r="F9" s="978" t="s">
        <v>69</v>
      </c>
      <c r="G9" s="728" t="s">
        <v>68</v>
      </c>
      <c r="H9" s="190"/>
      <c r="J9" s="190"/>
      <c r="K9" s="729" t="s">
        <v>71</v>
      </c>
      <c r="M9" s="190"/>
      <c r="N9" s="730" t="s">
        <v>557</v>
      </c>
      <c r="O9" s="728" t="s">
        <v>70</v>
      </c>
      <c r="P9" s="178"/>
      <c r="Q9" s="978" t="s">
        <v>69</v>
      </c>
      <c r="R9" s="728" t="s">
        <v>68</v>
      </c>
      <c r="S9" s="190"/>
      <c r="U9" s="190"/>
      <c r="V9" s="729" t="s">
        <v>71</v>
      </c>
      <c r="X9" s="190"/>
      <c r="Y9" s="730" t="s">
        <v>557</v>
      </c>
      <c r="Z9" s="728" t="s">
        <v>70</v>
      </c>
      <c r="AA9" s="178"/>
      <c r="AB9" s="978" t="s">
        <v>69</v>
      </c>
      <c r="AC9" s="728" t="s">
        <v>68</v>
      </c>
      <c r="AD9" s="190"/>
      <c r="AF9" s="190"/>
      <c r="AG9" s="729" t="s">
        <v>71</v>
      </c>
      <c r="AI9" s="190"/>
      <c r="AJ9" s="730" t="s">
        <v>557</v>
      </c>
      <c r="AK9" s="728" t="s">
        <v>70</v>
      </c>
      <c r="AL9" s="178"/>
      <c r="AM9" s="978" t="s">
        <v>69</v>
      </c>
      <c r="AN9" s="728" t="s">
        <v>68</v>
      </c>
      <c r="AO9" s="190"/>
      <c r="AQ9" s="190"/>
      <c r="AR9" s="729" t="s">
        <v>71</v>
      </c>
      <c r="AT9" s="190"/>
      <c r="AU9" s="730" t="s">
        <v>557</v>
      </c>
      <c r="AV9" s="728" t="s">
        <v>70</v>
      </c>
      <c r="AW9" s="178"/>
    </row>
    <row r="10" spans="1:49" s="192" customFormat="1" ht="12.75" customHeight="1" x14ac:dyDescent="0.2">
      <c r="A10" s="562"/>
      <c r="B10" s="727">
        <v>0.67057917918122245</v>
      </c>
      <c r="C10" s="563"/>
      <c r="E10" s="955"/>
      <c r="F10" s="984">
        <v>1.5</v>
      </c>
      <c r="G10" s="531" t="s">
        <v>45</v>
      </c>
      <c r="H10" s="505"/>
      <c r="J10" s="505"/>
      <c r="K10" s="510">
        <v>33.400000000000006</v>
      </c>
      <c r="M10" s="505"/>
      <c r="N10" s="748" t="s">
        <v>45</v>
      </c>
      <c r="O10" s="534">
        <v>0</v>
      </c>
      <c r="P10" s="373"/>
      <c r="Q10" s="984">
        <v>1.5</v>
      </c>
      <c r="R10" s="504" t="s">
        <v>45</v>
      </c>
      <c r="S10" s="505"/>
      <c r="U10" s="505"/>
      <c r="V10" s="510">
        <v>33.400000000000006</v>
      </c>
      <c r="X10" s="505"/>
      <c r="Y10" s="748" t="s">
        <v>45</v>
      </c>
      <c r="Z10" s="534">
        <v>0</v>
      </c>
      <c r="AA10" s="373"/>
      <c r="AB10" s="984">
        <v>1.5</v>
      </c>
      <c r="AC10" s="504" t="s">
        <v>45</v>
      </c>
      <c r="AD10" s="505"/>
      <c r="AF10" s="505"/>
      <c r="AG10" s="510">
        <v>26</v>
      </c>
      <c r="AI10" s="505"/>
      <c r="AJ10" s="748" t="s">
        <v>45</v>
      </c>
      <c r="AK10" s="534">
        <v>0</v>
      </c>
      <c r="AL10" s="373"/>
      <c r="AM10" s="984">
        <v>1.5</v>
      </c>
      <c r="AN10" s="504" t="s">
        <v>45</v>
      </c>
      <c r="AO10" s="505"/>
      <c r="AQ10" s="505"/>
      <c r="AR10" s="510">
        <v>26</v>
      </c>
      <c r="AT10" s="505"/>
      <c r="AU10" s="748" t="s">
        <v>45</v>
      </c>
      <c r="AV10" s="534">
        <v>0</v>
      </c>
      <c r="AW10" s="373"/>
    </row>
    <row r="11" spans="1:49" s="514" customFormat="1" ht="12.75" customHeight="1" x14ac:dyDescent="0.25">
      <c r="A11" s="751" t="s">
        <v>241</v>
      </c>
      <c r="C11" s="515" t="s">
        <v>404</v>
      </c>
      <c r="E11" s="1002"/>
      <c r="F11" s="1003"/>
      <c r="G11" s="1004"/>
      <c r="N11" s="1005"/>
      <c r="O11" s="1004"/>
      <c r="P11" s="1006"/>
      <c r="Q11" s="1003"/>
      <c r="R11" s="1006"/>
      <c r="Y11" s="1005"/>
      <c r="Z11" s="1004"/>
      <c r="AA11" s="1006"/>
      <c r="AB11" s="1003"/>
      <c r="AC11" s="1006"/>
      <c r="AJ11" s="1005"/>
      <c r="AK11" s="1004"/>
      <c r="AL11" s="1006"/>
      <c r="AM11" s="1003"/>
      <c r="AN11" s="1006"/>
      <c r="AU11" s="1005"/>
      <c r="AV11" s="1004"/>
      <c r="AW11" s="1006"/>
    </row>
    <row r="12" spans="1:49" s="135" customFormat="1" ht="12.75" customHeight="1" x14ac:dyDescent="0.2">
      <c r="A12" s="171" t="s">
        <v>51</v>
      </c>
      <c r="B12" s="416">
        <v>0.92</v>
      </c>
      <c r="C12" s="1289" t="s">
        <v>433</v>
      </c>
      <c r="D12" s="135" t="s">
        <v>405</v>
      </c>
      <c r="E12" s="956"/>
      <c r="F12" s="986"/>
      <c r="G12" s="973" t="s">
        <v>274</v>
      </c>
      <c r="H12" s="135" t="s">
        <v>49</v>
      </c>
      <c r="I12" s="31"/>
      <c r="J12" s="31"/>
      <c r="K12" s="31"/>
      <c r="L12" s="31"/>
      <c r="M12" s="135" t="s">
        <v>50</v>
      </c>
      <c r="N12" s="577"/>
      <c r="O12" s="553"/>
      <c r="P12" s="179"/>
      <c r="Q12" s="986"/>
      <c r="R12" s="163" t="s">
        <v>274</v>
      </c>
      <c r="S12" s="135" t="s">
        <v>49</v>
      </c>
      <c r="T12" s="31"/>
      <c r="U12" s="31"/>
      <c r="V12" s="31"/>
      <c r="W12" s="31"/>
      <c r="X12" s="135" t="s">
        <v>50</v>
      </c>
      <c r="Y12" s="577"/>
      <c r="Z12" s="553"/>
      <c r="AA12" s="179"/>
      <c r="AB12" s="986"/>
      <c r="AC12" s="163" t="s">
        <v>274</v>
      </c>
      <c r="AD12" s="135" t="s">
        <v>49</v>
      </c>
      <c r="AE12" s="31"/>
      <c r="AF12" s="31"/>
      <c r="AG12" s="31"/>
      <c r="AH12" s="31"/>
      <c r="AI12" s="135" t="s">
        <v>50</v>
      </c>
      <c r="AJ12" s="577"/>
      <c r="AK12" s="553"/>
      <c r="AL12" s="179"/>
      <c r="AM12" s="986"/>
      <c r="AN12" s="163" t="s">
        <v>274</v>
      </c>
      <c r="AO12" s="135" t="s">
        <v>49</v>
      </c>
      <c r="AP12" s="31"/>
      <c r="AQ12" s="31"/>
      <c r="AR12" s="31"/>
      <c r="AS12" s="31"/>
      <c r="AT12" s="135" t="s">
        <v>50</v>
      </c>
      <c r="AU12" s="577"/>
      <c r="AV12" s="553"/>
      <c r="AW12" s="179"/>
    </row>
    <row r="13" spans="1:49" s="32" customFormat="1" ht="12.75" customHeight="1" x14ac:dyDescent="0.2">
      <c r="A13" s="170" t="s">
        <v>273</v>
      </c>
      <c r="B13" s="416">
        <v>0.92</v>
      </c>
      <c r="C13" s="1289"/>
      <c r="D13" s="45" t="s">
        <v>21</v>
      </c>
      <c r="E13" s="957"/>
      <c r="F13" s="985"/>
      <c r="G13" s="33">
        <v>10.00001</v>
      </c>
      <c r="H13" s="32">
        <v>5.0000049999999998</v>
      </c>
      <c r="M13" s="32">
        <v>797.26001355786775</v>
      </c>
      <c r="N13" s="186"/>
      <c r="O13" s="187"/>
      <c r="P13" s="180"/>
      <c r="Q13" s="985"/>
      <c r="R13" s="134">
        <v>10.00001</v>
      </c>
      <c r="S13" s="32">
        <v>5.0000049999999998</v>
      </c>
      <c r="X13" s="32">
        <v>519.56925363573453</v>
      </c>
      <c r="Y13" s="186"/>
      <c r="Z13" s="187"/>
      <c r="AA13" s="180"/>
      <c r="AB13" s="985"/>
      <c r="AC13" s="134">
        <v>10.00001</v>
      </c>
      <c r="AD13" s="32">
        <v>5.0000049999999998</v>
      </c>
      <c r="AI13" s="32">
        <v>1774.7026746215404</v>
      </c>
      <c r="AJ13" s="186"/>
      <c r="AK13" s="187"/>
      <c r="AL13" s="180"/>
      <c r="AM13" s="985"/>
      <c r="AN13" s="134">
        <v>10.00001</v>
      </c>
      <c r="AO13" s="32">
        <v>5.0000049999999998</v>
      </c>
      <c r="AT13" s="32">
        <v>1293.7786803665872</v>
      </c>
      <c r="AU13" s="186"/>
      <c r="AV13" s="187"/>
      <c r="AW13" s="180"/>
    </row>
    <row r="14" spans="1:49" s="32" customFormat="1" x14ac:dyDescent="0.2">
      <c r="A14" s="170" t="s">
        <v>237</v>
      </c>
      <c r="B14" s="416">
        <v>0.7</v>
      </c>
      <c r="C14" s="1289"/>
      <c r="D14" s="45" t="s">
        <v>22</v>
      </c>
      <c r="E14" s="957"/>
      <c r="F14" s="985"/>
      <c r="G14" s="33">
        <v>10.00001</v>
      </c>
      <c r="H14" s="32">
        <v>5.0000049999999998</v>
      </c>
      <c r="M14" s="32">
        <v>390.15397446229417</v>
      </c>
      <c r="N14" s="186"/>
      <c r="O14" s="187"/>
      <c r="P14" s="180"/>
      <c r="Q14" s="985"/>
      <c r="R14" s="134">
        <v>10.00001</v>
      </c>
      <c r="S14" s="32">
        <v>5.0000049999999998</v>
      </c>
      <c r="X14" s="32">
        <v>341.87184769851143</v>
      </c>
      <c r="Y14" s="186"/>
      <c r="Z14" s="187"/>
      <c r="AA14" s="180"/>
      <c r="AB14" s="985"/>
      <c r="AC14" s="134">
        <v>10.00001</v>
      </c>
      <c r="AD14" s="32">
        <v>5.0000049999999998</v>
      </c>
      <c r="AI14" s="32">
        <v>677.21086771846717</v>
      </c>
      <c r="AJ14" s="186"/>
      <c r="AK14" s="187"/>
      <c r="AL14" s="180"/>
      <c r="AM14" s="985"/>
      <c r="AN14" s="134">
        <v>10.00001</v>
      </c>
      <c r="AO14" s="32">
        <v>5.0000049999999998</v>
      </c>
      <c r="AT14" s="32">
        <v>622.5965551726423</v>
      </c>
      <c r="AU14" s="186"/>
      <c r="AV14" s="187"/>
      <c r="AW14" s="180"/>
    </row>
    <row r="15" spans="1:49" s="32" customFormat="1" x14ac:dyDescent="0.2">
      <c r="A15" s="170" t="s">
        <v>238</v>
      </c>
      <c r="B15" s="416">
        <v>0.9425</v>
      </c>
      <c r="C15" s="1289"/>
      <c r="D15" s="45" t="s">
        <v>23</v>
      </c>
      <c r="E15" s="957"/>
      <c r="F15" s="985"/>
      <c r="G15" s="33">
        <v>10.00001</v>
      </c>
      <c r="H15" s="32">
        <v>5.0000049999999998</v>
      </c>
      <c r="M15" s="32">
        <v>439.54050659472426</v>
      </c>
      <c r="N15" s="186"/>
      <c r="O15" s="187"/>
      <c r="P15" s="180"/>
      <c r="Q15" s="985"/>
      <c r="R15" s="134">
        <v>10.00001</v>
      </c>
      <c r="S15" s="32">
        <v>5.0000049999999998</v>
      </c>
      <c r="X15" s="32">
        <v>789.11632478582908</v>
      </c>
      <c r="Y15" s="186"/>
      <c r="Z15" s="187"/>
      <c r="AA15" s="180"/>
      <c r="AB15" s="985"/>
      <c r="AC15" s="134">
        <v>10.00001</v>
      </c>
      <c r="AD15" s="32">
        <v>5.0000049999999998</v>
      </c>
      <c r="AI15" s="32">
        <v>1081.1090786914417</v>
      </c>
      <c r="AJ15" s="186"/>
      <c r="AK15" s="187"/>
      <c r="AL15" s="180"/>
      <c r="AM15" s="985"/>
      <c r="AN15" s="134">
        <v>10.00001</v>
      </c>
      <c r="AO15" s="32">
        <v>5.0000049999999998</v>
      </c>
      <c r="AT15" s="32">
        <v>1672.5514419326641</v>
      </c>
      <c r="AU15" s="186"/>
      <c r="AV15" s="187"/>
      <c r="AW15" s="180"/>
    </row>
    <row r="16" spans="1:49" s="213" customFormat="1" x14ac:dyDescent="0.2">
      <c r="A16" s="170" t="s">
        <v>239</v>
      </c>
      <c r="B16" s="416">
        <v>0.97599999999999998</v>
      </c>
      <c r="C16" s="1289"/>
      <c r="D16" s="135" t="s">
        <v>426</v>
      </c>
      <c r="E16" s="958"/>
      <c r="F16" s="986"/>
      <c r="G16" s="973" t="s">
        <v>408</v>
      </c>
      <c r="H16" s="135" t="s">
        <v>52</v>
      </c>
      <c r="I16" s="31"/>
      <c r="J16" s="135" t="s">
        <v>53</v>
      </c>
      <c r="K16" s="31"/>
      <c r="L16" s="31"/>
      <c r="M16" s="135" t="s">
        <v>54</v>
      </c>
      <c r="N16" s="767" t="s">
        <v>478</v>
      </c>
      <c r="O16" s="736" t="s">
        <v>51</v>
      </c>
      <c r="P16" s="175"/>
      <c r="Q16" s="986"/>
      <c r="R16" s="163" t="s">
        <v>408</v>
      </c>
      <c r="S16" s="135" t="s">
        <v>52</v>
      </c>
      <c r="T16" s="31"/>
      <c r="U16" s="135" t="s">
        <v>53</v>
      </c>
      <c r="V16" s="31"/>
      <c r="W16" s="31"/>
      <c r="X16" s="135" t="s">
        <v>54</v>
      </c>
      <c r="Y16" s="767" t="s">
        <v>478</v>
      </c>
      <c r="Z16" s="736" t="s">
        <v>51</v>
      </c>
      <c r="AA16" s="175"/>
      <c r="AB16" s="986"/>
      <c r="AC16" s="163" t="s">
        <v>408</v>
      </c>
      <c r="AD16" s="135" t="s">
        <v>52</v>
      </c>
      <c r="AE16" s="31"/>
      <c r="AF16" s="135" t="s">
        <v>53</v>
      </c>
      <c r="AG16" s="31"/>
      <c r="AH16" s="31"/>
      <c r="AI16" s="135" t="s">
        <v>54</v>
      </c>
      <c r="AJ16" s="767" t="s">
        <v>478</v>
      </c>
      <c r="AK16" s="736" t="s">
        <v>51</v>
      </c>
      <c r="AL16" s="175"/>
      <c r="AM16" s="986"/>
      <c r="AN16" s="163" t="s">
        <v>408</v>
      </c>
      <c r="AO16" s="135" t="s">
        <v>52</v>
      </c>
      <c r="AP16" s="31"/>
      <c r="AQ16" s="135" t="s">
        <v>53</v>
      </c>
      <c r="AR16" s="31"/>
      <c r="AS16" s="31"/>
      <c r="AT16" s="135" t="s">
        <v>54</v>
      </c>
      <c r="AU16" s="767" t="s">
        <v>478</v>
      </c>
      <c r="AV16" s="736" t="s">
        <v>51</v>
      </c>
      <c r="AW16" s="175"/>
    </row>
    <row r="17" spans="1:49" x14ac:dyDescent="0.2">
      <c r="A17" s="170" t="s">
        <v>240</v>
      </c>
      <c r="B17" s="416">
        <v>0.95</v>
      </c>
      <c r="C17" s="1289"/>
      <c r="D17" s="45" t="s">
        <v>21</v>
      </c>
      <c r="E17" s="959"/>
      <c r="F17" s="985"/>
      <c r="G17" s="33">
        <v>450.07043059192375</v>
      </c>
      <c r="H17" s="32">
        <v>411.77203361573447</v>
      </c>
      <c r="I17" s="32"/>
      <c r="J17" s="32">
        <v>3666.6942773432352</v>
      </c>
      <c r="K17" s="32"/>
      <c r="L17" s="32"/>
      <c r="M17" s="32">
        <v>3294.7463815149258</v>
      </c>
      <c r="N17" s="186">
        <v>1515.9365805194443</v>
      </c>
      <c r="O17" s="33">
        <v>1515.9365805194443</v>
      </c>
      <c r="Q17" s="985"/>
      <c r="R17" s="134">
        <v>598.99244256186546</v>
      </c>
      <c r="S17" s="32">
        <v>593.48280176333128</v>
      </c>
      <c r="T17" s="32"/>
      <c r="U17" s="32">
        <v>3759.8066527652531</v>
      </c>
      <c r="V17" s="32"/>
      <c r="W17" s="32"/>
      <c r="X17" s="32">
        <v>3374.8437875021164</v>
      </c>
      <c r="Y17" s="186">
        <v>2110.7363013673516</v>
      </c>
      <c r="Z17" s="33">
        <v>2110.7363013673516</v>
      </c>
      <c r="AB17" s="985"/>
      <c r="AC17" s="134">
        <v>471.72281309985277</v>
      </c>
      <c r="AD17" s="32">
        <v>400.10348796297313</v>
      </c>
      <c r="AE17" s="32"/>
      <c r="AF17" s="32">
        <v>1904.8601789907384</v>
      </c>
      <c r="AG17" s="32"/>
      <c r="AH17" s="32"/>
      <c r="AI17" s="32">
        <v>3418.0654044838248</v>
      </c>
      <c r="AJ17" s="186">
        <v>1342.0996222677893</v>
      </c>
      <c r="AK17" s="33">
        <v>1342.0996222677893</v>
      </c>
      <c r="AM17" s="985"/>
      <c r="AN17" s="134">
        <v>263.63803278876412</v>
      </c>
      <c r="AO17" s="32">
        <v>254.0586427381551</v>
      </c>
      <c r="AP17" s="32"/>
      <c r="AQ17" s="32">
        <v>1929.8704442062556</v>
      </c>
      <c r="AR17" s="32"/>
      <c r="AS17" s="32"/>
      <c r="AT17" s="32">
        <v>2752.329385589429</v>
      </c>
      <c r="AU17" s="186">
        <v>604.78195217938821</v>
      </c>
      <c r="AV17" s="33">
        <v>604.78195217938821</v>
      </c>
    </row>
    <row r="18" spans="1:49" x14ac:dyDescent="0.2">
      <c r="C18" s="1289"/>
      <c r="D18" s="45" t="s">
        <v>22</v>
      </c>
      <c r="E18" s="959"/>
      <c r="F18" s="985"/>
      <c r="G18" s="33">
        <v>216.38939229177129</v>
      </c>
      <c r="H18" s="32">
        <v>205.17795714645098</v>
      </c>
      <c r="I18" s="32"/>
      <c r="J18" s="32">
        <v>1549.9727986783209</v>
      </c>
      <c r="K18" s="32"/>
      <c r="L18" s="32"/>
      <c r="M18" s="32">
        <v>1505.4210159506154</v>
      </c>
      <c r="N18" s="186">
        <v>733.03234113371172</v>
      </c>
      <c r="O18" s="33">
        <v>733.03234113371172</v>
      </c>
      <c r="Q18" s="985"/>
      <c r="R18" s="134">
        <v>239.57223986114789</v>
      </c>
      <c r="S18" s="32">
        <v>226.26216065112268</v>
      </c>
      <c r="T18" s="32"/>
      <c r="U18" s="32">
        <v>1591.8662757398595</v>
      </c>
      <c r="V18" s="32"/>
      <c r="W18" s="32"/>
      <c r="X18" s="32">
        <v>1495.8658422890373</v>
      </c>
      <c r="Y18" s="186">
        <v>857.51310412649161</v>
      </c>
      <c r="Z18" s="33">
        <v>857.51310412649161</v>
      </c>
      <c r="AB18" s="985"/>
      <c r="AC18" s="134">
        <v>218.41024878036248</v>
      </c>
      <c r="AD18" s="32">
        <v>196.26925562971255</v>
      </c>
      <c r="AE18" s="32"/>
      <c r="AF18" s="32">
        <v>1092.8930869834794</v>
      </c>
      <c r="AG18" s="32"/>
      <c r="AH18" s="32"/>
      <c r="AI18" s="32">
        <v>1592.2178170670597</v>
      </c>
      <c r="AJ18" s="186">
        <v>573.63909385116824</v>
      </c>
      <c r="AK18" s="33">
        <v>573.63909385116824</v>
      </c>
      <c r="AM18" s="985"/>
      <c r="AN18" s="134">
        <v>177.55652280452605</v>
      </c>
      <c r="AO18" s="32">
        <v>167.81208302691488</v>
      </c>
      <c r="AP18" s="32"/>
      <c r="AQ18" s="32">
        <v>1119.0531250338195</v>
      </c>
      <c r="AR18" s="32"/>
      <c r="AS18" s="32"/>
      <c r="AT18" s="32">
        <v>1503.9239773192517</v>
      </c>
      <c r="AU18" s="186">
        <v>479.68134655042809</v>
      </c>
      <c r="AV18" s="33">
        <v>479.68134655042809</v>
      </c>
    </row>
    <row r="19" spans="1:49" x14ac:dyDescent="0.2">
      <c r="C19" s="1289"/>
      <c r="D19" s="45" t="s">
        <v>23</v>
      </c>
      <c r="E19" s="959"/>
      <c r="F19" s="985"/>
      <c r="G19" s="33">
        <v>564.68318742966426</v>
      </c>
      <c r="H19" s="32">
        <v>518.42534277733489</v>
      </c>
      <c r="I19" s="32"/>
      <c r="J19" s="32">
        <v>3437.2778795499353</v>
      </c>
      <c r="K19" s="32"/>
      <c r="L19" s="32"/>
      <c r="M19" s="32">
        <v>3146.7143092618448</v>
      </c>
      <c r="N19" s="212">
        <v>2101.4123895191688</v>
      </c>
      <c r="O19" s="174">
        <v>2101.4123895191688</v>
      </c>
      <c r="Q19" s="985"/>
      <c r="R19" s="134">
        <v>364.7968255738374</v>
      </c>
      <c r="S19" s="32">
        <v>359.05526059716294</v>
      </c>
      <c r="T19" s="32"/>
      <c r="U19" s="32">
        <v>3589.1257888344549</v>
      </c>
      <c r="V19" s="32"/>
      <c r="W19" s="32"/>
      <c r="X19" s="32">
        <v>3169.2552420548218</v>
      </c>
      <c r="Y19" s="212">
        <v>1267.9916722175142</v>
      </c>
      <c r="Z19" s="174">
        <v>1267.9916722175142</v>
      </c>
      <c r="AB19" s="985"/>
      <c r="AC19" s="134">
        <v>220.33301062643267</v>
      </c>
      <c r="AD19" s="32">
        <v>183.85101358234769</v>
      </c>
      <c r="AE19" s="32"/>
      <c r="AF19" s="32">
        <v>1759.21000607938</v>
      </c>
      <c r="AG19" s="32"/>
      <c r="AH19" s="32"/>
      <c r="AI19" s="32">
        <v>2478.4514851056888</v>
      </c>
      <c r="AJ19" s="212">
        <v>816.53143895698702</v>
      </c>
      <c r="AK19" s="174">
        <v>816.53143895698702</v>
      </c>
      <c r="AM19" s="985"/>
      <c r="AN19" s="134">
        <v>412.3437360432747</v>
      </c>
      <c r="AO19" s="32">
        <v>348.38238116168901</v>
      </c>
      <c r="AP19" s="32"/>
      <c r="AQ19" s="32">
        <v>1896.7603135507659</v>
      </c>
      <c r="AR19" s="32"/>
      <c r="AS19" s="32"/>
      <c r="AT19" s="32">
        <v>3166.7087338720394</v>
      </c>
      <c r="AU19" s="212">
        <v>1012.5523849356457</v>
      </c>
      <c r="AV19" s="174">
        <v>1012.5523849356457</v>
      </c>
    </row>
    <row r="20" spans="1:49" s="213" customFormat="1" x14ac:dyDescent="0.2">
      <c r="A20" s="557" t="s">
        <v>388</v>
      </c>
      <c r="B20" s="558" t="s">
        <v>251</v>
      </c>
      <c r="C20" s="1289"/>
      <c r="D20" s="135">
        <v>2</v>
      </c>
      <c r="E20" s="958"/>
      <c r="F20" s="987"/>
      <c r="G20" s="973" t="s">
        <v>408</v>
      </c>
      <c r="H20" s="539" t="s">
        <v>409</v>
      </c>
      <c r="K20" s="556" t="s">
        <v>407</v>
      </c>
      <c r="M20" s="540" t="s">
        <v>419</v>
      </c>
      <c r="N20" s="578"/>
      <c r="O20" s="553"/>
      <c r="P20" s="175"/>
      <c r="Q20" s="987"/>
      <c r="R20" s="163" t="s">
        <v>408</v>
      </c>
      <c r="S20" s="539" t="s">
        <v>409</v>
      </c>
      <c r="U20" s="14"/>
      <c r="V20" s="556" t="s">
        <v>407</v>
      </c>
      <c r="X20" s="540" t="s">
        <v>419</v>
      </c>
      <c r="Y20" s="578"/>
      <c r="Z20" s="553"/>
      <c r="AA20" s="175"/>
      <c r="AB20" s="987"/>
      <c r="AC20" s="163" t="s">
        <v>408</v>
      </c>
      <c r="AD20" s="539" t="s">
        <v>409</v>
      </c>
      <c r="AG20" s="556" t="s">
        <v>415</v>
      </c>
      <c r="AI20" s="540" t="s">
        <v>419</v>
      </c>
      <c r="AJ20" s="578"/>
      <c r="AK20" s="553"/>
      <c r="AL20" s="175"/>
      <c r="AM20" s="987"/>
      <c r="AN20" s="163" t="s">
        <v>408</v>
      </c>
      <c r="AO20" s="539" t="s">
        <v>409</v>
      </c>
      <c r="AQ20" s="14"/>
      <c r="AR20" s="556" t="s">
        <v>415</v>
      </c>
      <c r="AT20" s="540" t="s">
        <v>419</v>
      </c>
      <c r="AU20" s="578"/>
      <c r="AV20" s="553"/>
      <c r="AW20" s="175"/>
    </row>
    <row r="21" spans="1:49" x14ac:dyDescent="0.2">
      <c r="A21" s="469">
        <v>0.8571428571428571</v>
      </c>
      <c r="B21" s="112">
        <v>70</v>
      </c>
      <c r="C21" s="1289"/>
      <c r="D21" s="45" t="s">
        <v>21</v>
      </c>
      <c r="E21" s="959"/>
      <c r="F21" s="988"/>
      <c r="G21" s="33">
        <v>285.26143716348429</v>
      </c>
      <c r="H21" s="186">
        <v>13.65431798652955</v>
      </c>
      <c r="J21" s="213"/>
      <c r="K21" s="537">
        <v>0.36618489513227059</v>
      </c>
      <c r="M21" s="32">
        <v>2532.0501479273084</v>
      </c>
      <c r="N21" s="574"/>
      <c r="Q21" s="988"/>
      <c r="R21" s="134">
        <v>379.65045779732611</v>
      </c>
      <c r="S21" s="186">
        <v>13.65431798652955</v>
      </c>
      <c r="V21" s="537">
        <v>0.36618489513227059</v>
      </c>
      <c r="X21" s="32">
        <v>1505.0011838365656</v>
      </c>
      <c r="Y21" s="574"/>
      <c r="AB21" s="988"/>
      <c r="AC21" s="134">
        <v>240.12674214644832</v>
      </c>
      <c r="AD21" s="186">
        <v>10.184181512249689</v>
      </c>
      <c r="AF21" s="213"/>
      <c r="AG21" s="537">
        <v>0.49095796201058645</v>
      </c>
      <c r="AI21" s="32">
        <v>3927.0530338885978</v>
      </c>
      <c r="AJ21" s="574"/>
      <c r="AM21" s="988"/>
      <c r="AN21" s="134">
        <v>134.20284150231234</v>
      </c>
      <c r="AO21" s="186">
        <v>10.184181512249689</v>
      </c>
      <c r="AR21" s="537">
        <v>0.49095796201058645</v>
      </c>
      <c r="AT21" s="32">
        <v>2694.6340669271581</v>
      </c>
      <c r="AU21" s="574"/>
      <c r="AV21" s="187"/>
    </row>
    <row r="22" spans="1:49" x14ac:dyDescent="0.2">
      <c r="A22" s="469">
        <v>0.83333333333333337</v>
      </c>
      <c r="B22" s="112">
        <v>60</v>
      </c>
      <c r="C22" s="1289"/>
      <c r="D22" s="45" t="s">
        <v>22</v>
      </c>
      <c r="E22" s="959"/>
      <c r="F22" s="988"/>
      <c r="G22" s="33">
        <v>129.19540923189649</v>
      </c>
      <c r="H22" s="186">
        <v>12.408517255862259</v>
      </c>
      <c r="J22" s="213"/>
      <c r="K22" s="537">
        <v>0.40294943359471946</v>
      </c>
      <c r="M22" s="32">
        <v>1088.9815687884634</v>
      </c>
      <c r="N22" s="574"/>
      <c r="Q22" s="988"/>
      <c r="R22" s="134">
        <v>143.03674150408008</v>
      </c>
      <c r="S22" s="186">
        <v>12.408517255862259</v>
      </c>
      <c r="V22" s="537">
        <v>0.40294943359471946</v>
      </c>
      <c r="X22" s="32">
        <v>984.78959722751028</v>
      </c>
      <c r="Y22" s="574"/>
      <c r="AB22" s="988"/>
      <c r="AC22" s="134">
        <v>124.40999416738923</v>
      </c>
      <c r="AD22" s="186">
        <v>11.617546574201928</v>
      </c>
      <c r="AF22" s="213"/>
      <c r="AG22" s="537">
        <v>0.43038389973861391</v>
      </c>
      <c r="AI22" s="32">
        <v>1699.6918459593714</v>
      </c>
      <c r="AJ22" s="574"/>
      <c r="AM22" s="988"/>
      <c r="AN22" s="134">
        <v>101.139054095886</v>
      </c>
      <c r="AO22" s="186">
        <v>11.617546574201928</v>
      </c>
      <c r="AR22" s="537">
        <v>0.43038389973861391</v>
      </c>
      <c r="AT22" s="32">
        <v>1515.1593485924634</v>
      </c>
      <c r="AU22" s="574"/>
      <c r="AV22" s="187"/>
    </row>
    <row r="23" spans="1:49" x14ac:dyDescent="0.2">
      <c r="A23" s="469">
        <v>0.8571428571428571</v>
      </c>
      <c r="B23" s="112">
        <v>70</v>
      </c>
      <c r="C23" s="1289"/>
      <c r="D23" s="45" t="s">
        <v>23</v>
      </c>
      <c r="E23" s="959"/>
      <c r="F23" s="988"/>
      <c r="G23" s="33">
        <v>367.6922937213514</v>
      </c>
      <c r="H23" s="186">
        <v>14.332737455087312</v>
      </c>
      <c r="J23" s="213"/>
      <c r="K23" s="537">
        <v>0.34885206093168758</v>
      </c>
      <c r="M23" s="32">
        <v>1700.9081494793231</v>
      </c>
      <c r="N23" s="574"/>
      <c r="Q23" s="988"/>
      <c r="R23" s="134">
        <v>237.53670115106684</v>
      </c>
      <c r="S23" s="186">
        <v>14.332737455087312</v>
      </c>
      <c r="V23" s="538">
        <v>0.34885206093168758</v>
      </c>
      <c r="X23" s="32">
        <v>2354.4415191133603</v>
      </c>
      <c r="Y23" s="574"/>
      <c r="AB23" s="988"/>
      <c r="AC23" s="134">
        <v>108.33976922351913</v>
      </c>
      <c r="AD23" s="186">
        <v>9.83689855742095</v>
      </c>
      <c r="AF23" s="213"/>
      <c r="AG23" s="537">
        <v>0.50829079621116957</v>
      </c>
      <c r="AI23" s="32">
        <v>2290.2530863415914</v>
      </c>
      <c r="AJ23" s="574"/>
      <c r="AM23" s="988"/>
      <c r="AN23" s="134">
        <v>202.75321013715026</v>
      </c>
      <c r="AO23" s="186">
        <v>9.83689855742095</v>
      </c>
      <c r="AR23" s="538">
        <v>0.50829079621116957</v>
      </c>
      <c r="AT23" s="32">
        <v>3562.0222450447959</v>
      </c>
      <c r="AU23" s="574"/>
      <c r="AV23" s="187"/>
    </row>
    <row r="24" spans="1:49" s="213" customFormat="1" x14ac:dyDescent="0.2">
      <c r="A24" s="557" t="s">
        <v>388</v>
      </c>
      <c r="B24" s="558" t="s">
        <v>253</v>
      </c>
      <c r="C24" s="1289"/>
      <c r="D24" s="135">
        <v>3</v>
      </c>
      <c r="E24" s="958"/>
      <c r="F24" s="986"/>
      <c r="G24" s="973" t="s">
        <v>408</v>
      </c>
      <c r="H24" s="539" t="s">
        <v>416</v>
      </c>
      <c r="K24" s="556" t="s">
        <v>407</v>
      </c>
      <c r="M24" s="540" t="s">
        <v>420</v>
      </c>
      <c r="N24" s="578"/>
      <c r="O24" s="553"/>
      <c r="P24" s="175"/>
      <c r="Q24" s="986"/>
      <c r="R24" s="163" t="s">
        <v>408</v>
      </c>
      <c r="S24" s="539" t="s">
        <v>416</v>
      </c>
      <c r="U24" s="14"/>
      <c r="V24" s="556" t="s">
        <v>407</v>
      </c>
      <c r="X24" s="540" t="s">
        <v>420</v>
      </c>
      <c r="Y24" s="578"/>
      <c r="Z24" s="553"/>
      <c r="AA24" s="175"/>
      <c r="AB24" s="986"/>
      <c r="AC24" s="163" t="s">
        <v>408</v>
      </c>
      <c r="AD24" s="539" t="s">
        <v>416</v>
      </c>
      <c r="AG24" s="556" t="s">
        <v>415</v>
      </c>
      <c r="AI24" s="540" t="s">
        <v>420</v>
      </c>
      <c r="AJ24" s="578"/>
      <c r="AK24" s="553"/>
      <c r="AL24" s="175"/>
      <c r="AM24" s="986"/>
      <c r="AN24" s="163" t="s">
        <v>408</v>
      </c>
      <c r="AO24" s="539" t="s">
        <v>416</v>
      </c>
      <c r="AQ24" s="14"/>
      <c r="AR24" s="556" t="s">
        <v>415</v>
      </c>
      <c r="AT24" s="540" t="s">
        <v>420</v>
      </c>
      <c r="AU24" s="578"/>
      <c r="AV24" s="553"/>
      <c r="AW24" s="175"/>
    </row>
    <row r="25" spans="1:49" x14ac:dyDescent="0.2">
      <c r="A25" s="469">
        <v>0.8</v>
      </c>
      <c r="B25" s="112">
        <v>80</v>
      </c>
      <c r="C25" s="1289"/>
      <c r="D25" s="45" t="s">
        <v>21</v>
      </c>
      <c r="E25" s="959"/>
      <c r="F25" s="985"/>
      <c r="G25" s="33">
        <v>296.24870339204693</v>
      </c>
      <c r="H25" s="186">
        <v>14.629626414138803</v>
      </c>
      <c r="I25" s="213"/>
      <c r="J25" s="213"/>
      <c r="K25" s="537">
        <v>0.34177256879011925</v>
      </c>
      <c r="M25" s="32">
        <v>2712.9108727792586</v>
      </c>
      <c r="N25" s="574"/>
      <c r="Q25" s="985"/>
      <c r="R25" s="134">
        <v>394.27325678162879</v>
      </c>
      <c r="S25" s="186">
        <v>14.629626414138803</v>
      </c>
      <c r="V25" s="537">
        <v>0.34177256879011925</v>
      </c>
      <c r="X25" s="32">
        <v>1612.50126839632</v>
      </c>
      <c r="Y25" s="574"/>
      <c r="AB25" s="985"/>
      <c r="AC25" s="134">
        <v>255.56648021000856</v>
      </c>
      <c r="AD25" s="186">
        <v>10.911623048838951</v>
      </c>
      <c r="AG25" s="537">
        <v>0.45822743120988074</v>
      </c>
      <c r="AI25" s="32">
        <v>4207.5568220234973</v>
      </c>
      <c r="AJ25" s="574"/>
      <c r="AM25" s="985"/>
      <c r="AN25" s="134">
        <v>142.83185425474244</v>
      </c>
      <c r="AO25" s="186">
        <v>10.911623048838951</v>
      </c>
      <c r="AR25" s="537">
        <v>0.45822743120988074</v>
      </c>
      <c r="AT25" s="32">
        <v>2887.1079288505262</v>
      </c>
      <c r="AU25" s="574"/>
      <c r="AV25" s="187"/>
    </row>
    <row r="26" spans="1:49" x14ac:dyDescent="0.2">
      <c r="A26" s="469">
        <v>0.77142857142857146</v>
      </c>
      <c r="B26" s="112">
        <v>70</v>
      </c>
      <c r="C26" s="1289"/>
      <c r="D26" s="45" t="s">
        <v>22</v>
      </c>
      <c r="E26" s="959"/>
      <c r="F26" s="985"/>
      <c r="G26" s="33">
        <v>135.67267654491576</v>
      </c>
      <c r="H26" s="186">
        <v>13.40426246775244</v>
      </c>
      <c r="I26" s="213"/>
      <c r="J26" s="213"/>
      <c r="K26" s="537">
        <v>0.37301604709911174</v>
      </c>
      <c r="M26" s="32">
        <v>1176.3689786295129</v>
      </c>
      <c r="N26" s="574"/>
      <c r="Q26" s="985"/>
      <c r="R26" s="134">
        <v>150.20794995346225</v>
      </c>
      <c r="S26" s="186">
        <v>13.40426246775244</v>
      </c>
      <c r="V26" s="537">
        <v>0.37301604709911174</v>
      </c>
      <c r="X26" s="32">
        <v>1063.8159229309524</v>
      </c>
      <c r="Y26" s="574"/>
      <c r="AB26" s="985"/>
      <c r="AC26" s="134">
        <v>131.39287022435298</v>
      </c>
      <c r="AD26" s="186">
        <v>12.549818830156402</v>
      </c>
      <c r="AG26" s="537">
        <v>0.39841252432945973</v>
      </c>
      <c r="AI26" s="32">
        <v>1836.0868706351234</v>
      </c>
      <c r="AJ26" s="574"/>
      <c r="AM26" s="985"/>
      <c r="AN26" s="134">
        <v>106.81578034281354</v>
      </c>
      <c r="AO26" s="186">
        <v>12.549818830156402</v>
      </c>
      <c r="AR26" s="537">
        <v>0.39841252432945973</v>
      </c>
      <c r="AT26" s="32">
        <v>1636.746209899266</v>
      </c>
      <c r="AU26" s="574"/>
      <c r="AV26" s="187"/>
    </row>
    <row r="27" spans="1:49" x14ac:dyDescent="0.2">
      <c r="A27" s="469">
        <v>0.8</v>
      </c>
      <c r="B27" s="112">
        <v>80</v>
      </c>
      <c r="C27" s="1289"/>
      <c r="D27" s="45" t="s">
        <v>23</v>
      </c>
      <c r="E27" s="959"/>
      <c r="F27" s="985"/>
      <c r="G27" s="33">
        <v>380.82501996857235</v>
      </c>
      <c r="H27" s="186">
        <v>15.356504416164977</v>
      </c>
      <c r="I27" s="213"/>
      <c r="J27" s="213"/>
      <c r="K27" s="538">
        <v>0.32559525686957508</v>
      </c>
      <c r="M27" s="32">
        <v>1822.4015887278463</v>
      </c>
      <c r="N27" s="574"/>
      <c r="Q27" s="985"/>
      <c r="R27" s="134">
        <v>246.02070944591824</v>
      </c>
      <c r="S27" s="186">
        <v>15.356504416164977</v>
      </c>
      <c r="V27" s="538">
        <v>0.32559525686957508</v>
      </c>
      <c r="X27" s="32">
        <v>2522.6159133357432</v>
      </c>
      <c r="Y27" s="574"/>
      <c r="AB27" s="985"/>
      <c r="AC27" s="134">
        <v>115.80598531704668</v>
      </c>
      <c r="AD27" s="186">
        <v>10.539534168665302</v>
      </c>
      <c r="AG27" s="538">
        <v>0.47440474313042502</v>
      </c>
      <c r="AI27" s="32">
        <v>2453.8425925088472</v>
      </c>
      <c r="AJ27" s="574"/>
      <c r="AM27" s="985"/>
      <c r="AN27" s="134">
        <v>216.7259118642252</v>
      </c>
      <c r="AO27" s="186">
        <v>10.539534168665302</v>
      </c>
      <c r="AR27" s="538">
        <v>0.47440474313042502</v>
      </c>
      <c r="AT27" s="32">
        <v>3816.4524054051381</v>
      </c>
      <c r="AU27" s="574"/>
      <c r="AV27" s="187"/>
    </row>
    <row r="28" spans="1:49" s="213" customFormat="1" x14ac:dyDescent="0.2">
      <c r="A28" s="557" t="s">
        <v>388</v>
      </c>
      <c r="B28" s="558" t="s">
        <v>252</v>
      </c>
      <c r="C28" s="1289"/>
      <c r="D28" s="135">
        <v>4</v>
      </c>
      <c r="E28" s="958"/>
      <c r="F28" s="986"/>
      <c r="G28" s="973" t="s">
        <v>408</v>
      </c>
      <c r="H28" s="539" t="s">
        <v>417</v>
      </c>
      <c r="K28" s="556" t="s">
        <v>407</v>
      </c>
      <c r="M28" s="540" t="s">
        <v>421</v>
      </c>
      <c r="N28" s="578"/>
      <c r="O28" s="553"/>
      <c r="P28" s="175"/>
      <c r="Q28" s="986"/>
      <c r="R28" s="163" t="s">
        <v>408</v>
      </c>
      <c r="S28" s="539" t="s">
        <v>417</v>
      </c>
      <c r="V28" s="556" t="s">
        <v>407</v>
      </c>
      <c r="X28" s="540" t="s">
        <v>421</v>
      </c>
      <c r="Y28" s="578"/>
      <c r="Z28" s="553"/>
      <c r="AA28" s="175"/>
      <c r="AB28" s="986"/>
      <c r="AC28" s="163" t="s">
        <v>408</v>
      </c>
      <c r="AD28" s="539" t="s">
        <v>417</v>
      </c>
      <c r="AG28" s="556" t="s">
        <v>415</v>
      </c>
      <c r="AI28" s="540" t="s">
        <v>421</v>
      </c>
      <c r="AJ28" s="578"/>
      <c r="AK28" s="553"/>
      <c r="AL28" s="175"/>
      <c r="AM28" s="986"/>
      <c r="AN28" s="163" t="s">
        <v>408</v>
      </c>
      <c r="AO28" s="539" t="s">
        <v>417</v>
      </c>
      <c r="AR28" s="556" t="s">
        <v>415</v>
      </c>
      <c r="AT28" s="540" t="s">
        <v>421</v>
      </c>
      <c r="AU28" s="578"/>
      <c r="AV28" s="553"/>
      <c r="AW28" s="175"/>
    </row>
    <row r="29" spans="1:49" x14ac:dyDescent="0.2">
      <c r="A29" s="469">
        <v>0.73333333333333328</v>
      </c>
      <c r="B29" s="112">
        <v>90</v>
      </c>
      <c r="C29" s="1289"/>
      <c r="D29" s="45" t="s">
        <v>21</v>
      </c>
      <c r="E29" s="959"/>
      <c r="F29" s="985"/>
      <c r="G29" s="33">
        <v>309.06718065870331</v>
      </c>
      <c r="H29" s="186">
        <v>15.959592451787787</v>
      </c>
      <c r="I29" s="213"/>
      <c r="J29" s="213"/>
      <c r="K29" s="537">
        <v>0.31329152139094263</v>
      </c>
      <c r="M29" s="32">
        <v>2959.5391339410094</v>
      </c>
      <c r="N29" s="574"/>
      <c r="Q29" s="985"/>
      <c r="R29" s="134">
        <v>411.33318892998182</v>
      </c>
      <c r="S29" s="186">
        <v>15.959592451787787</v>
      </c>
      <c r="V29" s="537">
        <v>0.31329152139094263</v>
      </c>
      <c r="X29" s="32">
        <v>1759.0922927959857</v>
      </c>
      <c r="Y29" s="574"/>
      <c r="AB29" s="985"/>
      <c r="AC29" s="134">
        <v>273.579507950829</v>
      </c>
      <c r="AD29" s="186">
        <v>11.903588780551585</v>
      </c>
      <c r="AG29" s="537">
        <v>0.4200418119423906</v>
      </c>
      <c r="AI29" s="32">
        <v>4590.0619876619976</v>
      </c>
      <c r="AJ29" s="574"/>
      <c r="AM29" s="985"/>
      <c r="AN29" s="134">
        <v>152.89903579924427</v>
      </c>
      <c r="AO29" s="186">
        <v>11.903588780551585</v>
      </c>
      <c r="AR29" s="537">
        <v>0.4200418119423906</v>
      </c>
      <c r="AT29" s="32">
        <v>3149.5722860187566</v>
      </c>
      <c r="AU29" s="574"/>
      <c r="AV29" s="187"/>
    </row>
    <row r="30" spans="1:49" x14ac:dyDescent="0.2">
      <c r="A30" s="469">
        <v>0.7</v>
      </c>
      <c r="B30" s="112">
        <v>80</v>
      </c>
      <c r="C30" s="1289"/>
      <c r="D30" s="45" t="s">
        <v>22</v>
      </c>
      <c r="E30" s="959"/>
      <c r="F30" s="985"/>
      <c r="G30" s="33">
        <v>143.14644652147646</v>
      </c>
      <c r="H30" s="186">
        <v>14.772044352216975</v>
      </c>
      <c r="I30" s="213"/>
      <c r="J30" s="213"/>
      <c r="K30" s="537">
        <v>0.33847752421956434</v>
      </c>
      <c r="M30" s="32">
        <v>1296.4066295100756</v>
      </c>
      <c r="N30" s="574"/>
      <c r="Q30" s="985"/>
      <c r="R30" s="134">
        <v>158.48242124121091</v>
      </c>
      <c r="S30" s="186">
        <v>14.772044352216975</v>
      </c>
      <c r="V30" s="537">
        <v>0.33847752421956434</v>
      </c>
      <c r="X30" s="32">
        <v>1172.3685681279885</v>
      </c>
      <c r="Y30" s="574"/>
      <c r="AB30" s="985"/>
      <c r="AC30" s="134">
        <v>139.45003490546497</v>
      </c>
      <c r="AD30" s="186">
        <v>13.83041258833563</v>
      </c>
      <c r="AG30" s="537">
        <v>0.36152247578043561</v>
      </c>
      <c r="AI30" s="32">
        <v>2023.4426737611568</v>
      </c>
      <c r="AJ30" s="574"/>
      <c r="AM30" s="985"/>
      <c r="AN30" s="134">
        <v>113.36584908926842</v>
      </c>
      <c r="AO30" s="186">
        <v>13.83041258833563</v>
      </c>
      <c r="AR30" s="537">
        <v>0.36152247578043561</v>
      </c>
      <c r="AT30" s="32">
        <v>1803.7611292767424</v>
      </c>
      <c r="AU30" s="574"/>
      <c r="AV30" s="187"/>
    </row>
    <row r="31" spans="1:49" x14ac:dyDescent="0.2">
      <c r="A31" s="469">
        <v>0.73333333333333328</v>
      </c>
      <c r="B31" s="112">
        <v>90</v>
      </c>
      <c r="C31" s="1289"/>
      <c r="D31" s="45" t="s">
        <v>23</v>
      </c>
      <c r="E31" s="959"/>
      <c r="F31" s="985"/>
      <c r="G31" s="33">
        <v>396.1465339236633</v>
      </c>
      <c r="H31" s="186">
        <v>16.752550272179977</v>
      </c>
      <c r="I31" s="213"/>
      <c r="J31" s="213"/>
      <c r="K31" s="538">
        <v>0.29846231879711044</v>
      </c>
      <c r="M31" s="32">
        <v>1988.0744604303779</v>
      </c>
      <c r="N31" s="574"/>
      <c r="Q31" s="985"/>
      <c r="R31" s="134">
        <v>255.91871912324484</v>
      </c>
      <c r="S31" s="186">
        <v>16.752550272179977</v>
      </c>
      <c r="V31" s="538">
        <v>0.29846231879711044</v>
      </c>
      <c r="X31" s="32">
        <v>2751.944632729902</v>
      </c>
      <c r="Y31" s="574"/>
      <c r="AB31" s="985"/>
      <c r="AC31" s="134">
        <v>124.51657075949551</v>
      </c>
      <c r="AD31" s="186">
        <v>11.497673638543965</v>
      </c>
      <c r="AG31" s="538">
        <v>0.4348710145362229</v>
      </c>
      <c r="AI31" s="32">
        <v>2676.9191918278334</v>
      </c>
      <c r="AJ31" s="574"/>
      <c r="AM31" s="985"/>
      <c r="AN31" s="134">
        <v>233.02739721247934</v>
      </c>
      <c r="AO31" s="186">
        <v>11.497673638543965</v>
      </c>
      <c r="AR31" s="538">
        <v>0.4348710145362229</v>
      </c>
      <c r="AT31" s="32">
        <v>4163.4026240783323</v>
      </c>
      <c r="AU31" s="574"/>
      <c r="AV31" s="187"/>
    </row>
    <row r="32" spans="1:49" s="213" customFormat="1" x14ac:dyDescent="0.2">
      <c r="A32" s="185" t="s">
        <v>410</v>
      </c>
      <c r="B32" s="558" t="s">
        <v>252</v>
      </c>
      <c r="C32" s="1289"/>
      <c r="D32" s="135" t="s">
        <v>411</v>
      </c>
      <c r="E32" s="958"/>
      <c r="F32" s="986"/>
      <c r="G32" s="973" t="s">
        <v>408</v>
      </c>
      <c r="H32" s="539" t="s">
        <v>418</v>
      </c>
      <c r="J32" s="556" t="s">
        <v>484</v>
      </c>
      <c r="K32" s="556" t="s">
        <v>406</v>
      </c>
      <c r="N32" s="578"/>
      <c r="O32" s="553"/>
      <c r="P32" s="175"/>
      <c r="Q32" s="986"/>
      <c r="R32" s="163" t="s">
        <v>408</v>
      </c>
      <c r="S32" s="539" t="s">
        <v>418</v>
      </c>
      <c r="U32" s="556" t="s">
        <v>484</v>
      </c>
      <c r="V32" s="556" t="s">
        <v>412</v>
      </c>
      <c r="Y32" s="578"/>
      <c r="Z32" s="553"/>
      <c r="AA32" s="175"/>
      <c r="AB32" s="986"/>
      <c r="AC32" s="163" t="s">
        <v>408</v>
      </c>
      <c r="AD32" s="539" t="s">
        <v>418</v>
      </c>
      <c r="AF32" s="556" t="s">
        <v>484</v>
      </c>
      <c r="AG32" s="556" t="s">
        <v>413</v>
      </c>
      <c r="AJ32" s="578"/>
      <c r="AK32" s="553"/>
      <c r="AL32" s="175"/>
      <c r="AM32" s="986"/>
      <c r="AN32" s="163" t="s">
        <v>408</v>
      </c>
      <c r="AO32" s="539" t="s">
        <v>418</v>
      </c>
      <c r="AQ32" s="556" t="s">
        <v>484</v>
      </c>
      <c r="AR32" s="556" t="s">
        <v>414</v>
      </c>
      <c r="AU32" s="578"/>
      <c r="AV32" s="553"/>
      <c r="AW32" s="175"/>
    </row>
    <row r="33" spans="1:49" x14ac:dyDescent="0.2">
      <c r="A33" s="612">
        <v>1425.1617925123148</v>
      </c>
      <c r="B33" s="112">
        <v>100</v>
      </c>
      <c r="C33" s="1289"/>
      <c r="D33" s="45" t="s">
        <v>21</v>
      </c>
      <c r="E33" s="959"/>
      <c r="F33" s="985"/>
      <c r="G33" s="33">
        <v>403.97151313523187</v>
      </c>
      <c r="H33" s="186">
        <v>48.815775455592672</v>
      </c>
      <c r="I33" s="213"/>
      <c r="J33" s="609">
        <v>182.46704118356257</v>
      </c>
      <c r="K33" s="537">
        <v>0.10242600784962363</v>
      </c>
      <c r="N33" s="574"/>
      <c r="Q33" s="985"/>
      <c r="R33" s="134">
        <v>477.90389675426047</v>
      </c>
      <c r="S33" s="186">
        <v>24.733678877688209</v>
      </c>
      <c r="U33" s="609">
        <v>360.12718344533261</v>
      </c>
      <c r="V33" s="537">
        <v>0.2021537121398633</v>
      </c>
      <c r="Y33" s="574"/>
      <c r="AB33" s="985"/>
      <c r="AC33" s="134">
        <v>375.9251005095964</v>
      </c>
      <c r="AD33" s="186">
        <v>24.620801064442389</v>
      </c>
      <c r="AF33" s="609">
        <v>361.77824138009629</v>
      </c>
      <c r="AG33" s="537">
        <v>0.20308051662953638</v>
      </c>
      <c r="AJ33" s="574"/>
      <c r="AM33" s="985"/>
      <c r="AN33" s="134">
        <v>186.56615266507066</v>
      </c>
      <c r="AO33" s="186">
        <v>17.103403731924082</v>
      </c>
      <c r="AQ33" s="609">
        <v>520.78932650332331</v>
      </c>
      <c r="AR33" s="537">
        <v>0.29233976338097667</v>
      </c>
      <c r="AU33" s="574"/>
      <c r="AV33" s="187"/>
    </row>
    <row r="34" spans="1:49" x14ac:dyDescent="0.2">
      <c r="A34" s="612">
        <v>680.03258350577653</v>
      </c>
      <c r="B34" s="112">
        <v>90</v>
      </c>
      <c r="C34" s="1289"/>
      <c r="D34" s="45" t="s">
        <v>22</v>
      </c>
      <c r="E34" s="959"/>
      <c r="F34" s="985"/>
      <c r="G34" s="33">
        <v>182.00250710394994</v>
      </c>
      <c r="H34" s="186">
        <v>31.4639734740792</v>
      </c>
      <c r="I34" s="213"/>
      <c r="J34" s="609">
        <v>140.08475464951701</v>
      </c>
      <c r="K34" s="537">
        <v>0.15891206506765992</v>
      </c>
      <c r="N34" s="574"/>
      <c r="Q34" s="985"/>
      <c r="R34" s="134">
        <v>193.1638150920663</v>
      </c>
      <c r="S34" s="186">
        <v>25.811313422665084</v>
      </c>
      <c r="U34" s="609">
        <v>170.7632204622696</v>
      </c>
      <c r="V34" s="537">
        <v>0.19371369903282265</v>
      </c>
      <c r="Y34" s="574"/>
      <c r="AB34" s="985"/>
      <c r="AC34" s="134">
        <v>173.84989951593536</v>
      </c>
      <c r="AD34" s="186">
        <v>24.507266078025349</v>
      </c>
      <c r="AF34" s="609">
        <v>179.84964093434434</v>
      </c>
      <c r="AG34" s="537">
        <v>0.20402132918788918</v>
      </c>
      <c r="AJ34" s="574"/>
      <c r="AM34" s="985"/>
      <c r="AN34" s="134">
        <v>139.42067038313587</v>
      </c>
      <c r="AO34" s="186">
        <v>23.27949804282574</v>
      </c>
      <c r="AQ34" s="609">
        <v>189.33496745964567</v>
      </c>
      <c r="AR34" s="537">
        <v>0.21478147814019977</v>
      </c>
      <c r="AU34" s="574"/>
      <c r="AV34" s="187"/>
    </row>
    <row r="35" spans="1:49" s="168" customFormat="1" x14ac:dyDescent="0.2">
      <c r="A35" s="612">
        <v>1385.8789929116751</v>
      </c>
      <c r="B35" s="112">
        <v>100</v>
      </c>
      <c r="C35" s="1290"/>
      <c r="D35" s="510" t="s">
        <v>23</v>
      </c>
      <c r="E35" s="960"/>
      <c r="F35" s="989"/>
      <c r="G35" s="174">
        <v>484.31896008247452</v>
      </c>
      <c r="H35" s="212">
        <v>35.132780513978169</v>
      </c>
      <c r="I35" s="610"/>
      <c r="J35" s="611">
        <v>246.54332053210109</v>
      </c>
      <c r="K35" s="538">
        <v>0.14231737217641124</v>
      </c>
      <c r="N35" s="575"/>
      <c r="O35" s="419"/>
      <c r="P35" s="420"/>
      <c r="Q35" s="989"/>
      <c r="R35" s="172">
        <v>300.18203261244207</v>
      </c>
      <c r="S35" s="212">
        <v>28.228612493474539</v>
      </c>
      <c r="U35" s="611">
        <v>306.84300793898274</v>
      </c>
      <c r="V35" s="538">
        <v>0.17712542552900271</v>
      </c>
      <c r="Y35" s="575"/>
      <c r="Z35" s="419"/>
      <c r="AA35" s="420"/>
      <c r="AB35" s="989"/>
      <c r="AC35" s="172">
        <v>153.31518758478961</v>
      </c>
      <c r="AD35" s="212">
        <v>16.438405558364241</v>
      </c>
      <c r="AF35" s="611">
        <v>526.92168572482842</v>
      </c>
      <c r="AG35" s="538">
        <v>0.30416605687501619</v>
      </c>
      <c r="AJ35" s="575"/>
      <c r="AK35" s="419"/>
      <c r="AL35" s="420"/>
      <c r="AM35" s="989"/>
      <c r="AN35" s="172">
        <v>339.60995213601666</v>
      </c>
      <c r="AO35" s="212">
        <v>28.346122409414722</v>
      </c>
      <c r="AQ35" s="611">
        <v>305.57097871576286</v>
      </c>
      <c r="AR35" s="538">
        <v>0.17639114541956985</v>
      </c>
      <c r="AU35" s="575"/>
      <c r="AV35" s="419"/>
      <c r="AW35" s="420"/>
    </row>
    <row r="36" spans="1:49" s="137" customFormat="1" x14ac:dyDescent="0.2">
      <c r="A36" s="753"/>
      <c r="B36" s="754"/>
      <c r="C36" s="136" t="s">
        <v>425</v>
      </c>
      <c r="E36" s="961"/>
      <c r="F36" s="990" t="s">
        <v>250</v>
      </c>
      <c r="G36" s="974" t="s">
        <v>408</v>
      </c>
      <c r="H36" s="167" t="s">
        <v>52</v>
      </c>
      <c r="I36" s="161"/>
      <c r="J36" s="167" t="s">
        <v>53</v>
      </c>
      <c r="K36" s="161"/>
      <c r="L36" s="161"/>
      <c r="M36" s="167" t="s">
        <v>54</v>
      </c>
      <c r="N36" s="767" t="s">
        <v>478</v>
      </c>
      <c r="O36" s="736" t="s">
        <v>51</v>
      </c>
      <c r="P36" s="182"/>
      <c r="Q36" s="990" t="s">
        <v>250</v>
      </c>
      <c r="R36" s="166" t="s">
        <v>273</v>
      </c>
      <c r="S36" s="167" t="s">
        <v>52</v>
      </c>
      <c r="T36" s="161" t="s">
        <v>247</v>
      </c>
      <c r="U36" s="167" t="s">
        <v>53</v>
      </c>
      <c r="V36" s="161" t="s">
        <v>248</v>
      </c>
      <c r="W36" s="161" t="s">
        <v>249</v>
      </c>
      <c r="X36" s="167" t="s">
        <v>54</v>
      </c>
      <c r="Y36" s="767" t="s">
        <v>478</v>
      </c>
      <c r="Z36" s="736" t="s">
        <v>51</v>
      </c>
      <c r="AA36" s="182"/>
      <c r="AB36" s="990" t="s">
        <v>250</v>
      </c>
      <c r="AC36" s="166" t="s">
        <v>273</v>
      </c>
      <c r="AD36" s="167" t="s">
        <v>52</v>
      </c>
      <c r="AE36" s="161" t="s">
        <v>247</v>
      </c>
      <c r="AF36" s="167" t="s">
        <v>53</v>
      </c>
      <c r="AG36" s="161" t="s">
        <v>248</v>
      </c>
      <c r="AH36" s="161" t="s">
        <v>249</v>
      </c>
      <c r="AI36" s="167" t="s">
        <v>54</v>
      </c>
      <c r="AJ36" s="767" t="s">
        <v>478</v>
      </c>
      <c r="AK36" s="736" t="s">
        <v>51</v>
      </c>
      <c r="AL36" s="182"/>
      <c r="AM36" s="990" t="s">
        <v>250</v>
      </c>
      <c r="AN36" s="166" t="s">
        <v>273</v>
      </c>
      <c r="AO36" s="167" t="s">
        <v>52</v>
      </c>
      <c r="AP36" s="161" t="s">
        <v>247</v>
      </c>
      <c r="AQ36" s="167" t="s">
        <v>53</v>
      </c>
      <c r="AR36" s="161" t="s">
        <v>248</v>
      </c>
      <c r="AS36" s="161" t="s">
        <v>249</v>
      </c>
      <c r="AT36" s="167" t="s">
        <v>54</v>
      </c>
      <c r="AU36" s="767" t="s">
        <v>478</v>
      </c>
      <c r="AV36" s="736" t="s">
        <v>51</v>
      </c>
      <c r="AW36" s="182"/>
    </row>
    <row r="37" spans="1:49" ht="12.75" customHeight="1" x14ac:dyDescent="0.2">
      <c r="A37" s="731" t="s">
        <v>254</v>
      </c>
      <c r="B37" s="732">
        <v>0.95</v>
      </c>
      <c r="C37" s="528"/>
      <c r="D37" s="157" t="s">
        <v>110</v>
      </c>
      <c r="E37" s="962"/>
      <c r="F37" s="985"/>
      <c r="G37" s="535">
        <v>4.8</v>
      </c>
      <c r="H37" s="165">
        <v>6.2</v>
      </c>
      <c r="I37" s="162"/>
      <c r="J37" s="165">
        <v>6.6680000000000001</v>
      </c>
      <c r="K37" s="162"/>
      <c r="L37" s="162"/>
      <c r="M37" s="165">
        <v>7.7359999999999998</v>
      </c>
      <c r="N37" s="579">
        <v>5.6</v>
      </c>
      <c r="O37" s="535">
        <v>4.4000000000000004</v>
      </c>
      <c r="P37" s="183"/>
      <c r="Q37" s="985"/>
      <c r="R37" s="164">
        <v>4.8</v>
      </c>
      <c r="S37" s="165">
        <v>6.2</v>
      </c>
      <c r="T37" s="162"/>
      <c r="U37" s="165">
        <v>6.6680000000000001</v>
      </c>
      <c r="V37" s="162"/>
      <c r="W37" s="162"/>
      <c r="X37" s="165">
        <v>7.7359999999999998</v>
      </c>
      <c r="Y37" s="579">
        <v>5.6</v>
      </c>
      <c r="Z37" s="535">
        <v>4.4000000000000004</v>
      </c>
      <c r="AA37" s="183"/>
      <c r="AB37" s="985"/>
      <c r="AC37" s="164">
        <v>4.8</v>
      </c>
      <c r="AD37" s="165">
        <v>6.2</v>
      </c>
      <c r="AE37" s="162"/>
      <c r="AF37" s="165">
        <v>6.5200000000000005</v>
      </c>
      <c r="AG37" s="162"/>
      <c r="AH37" s="162"/>
      <c r="AI37" s="165">
        <v>7.4399999999999995</v>
      </c>
      <c r="AJ37" s="579">
        <v>5.6</v>
      </c>
      <c r="AK37" s="535">
        <v>4.4000000000000004</v>
      </c>
      <c r="AL37" s="183"/>
      <c r="AM37" s="985"/>
      <c r="AN37" s="164">
        <v>4.8</v>
      </c>
      <c r="AO37" s="165">
        <v>6.2</v>
      </c>
      <c r="AP37" s="162"/>
      <c r="AQ37" s="165">
        <v>6.5200000000000005</v>
      </c>
      <c r="AR37" s="162"/>
      <c r="AS37" s="162"/>
      <c r="AT37" s="165">
        <v>7.4399999999999995</v>
      </c>
      <c r="AU37" s="579">
        <v>5.6</v>
      </c>
      <c r="AV37" s="535">
        <v>4.4000000000000004</v>
      </c>
      <c r="AW37" s="183"/>
    </row>
    <row r="38" spans="1:49" s="168" customFormat="1" x14ac:dyDescent="0.2">
      <c r="B38" s="419"/>
      <c r="C38" s="529"/>
      <c r="D38" s="521" t="s">
        <v>233</v>
      </c>
      <c r="E38" s="963"/>
      <c r="F38" s="991"/>
      <c r="G38" s="536">
        <v>2.5</v>
      </c>
      <c r="H38" s="523">
        <v>3.3</v>
      </c>
      <c r="I38" s="525"/>
      <c r="J38" s="523">
        <v>4</v>
      </c>
      <c r="K38" s="525"/>
      <c r="L38" s="525"/>
      <c r="M38" s="523">
        <v>3.5</v>
      </c>
      <c r="N38" s="580">
        <v>2.25</v>
      </c>
      <c r="O38" s="536">
        <v>2.5</v>
      </c>
      <c r="P38" s="522"/>
      <c r="Q38" s="991"/>
      <c r="R38" s="524">
        <v>2.5</v>
      </c>
      <c r="S38" s="523">
        <v>3.3</v>
      </c>
      <c r="T38" s="525"/>
      <c r="U38" s="523">
        <v>4</v>
      </c>
      <c r="V38" s="525"/>
      <c r="W38" s="525"/>
      <c r="X38" s="523">
        <v>3.5</v>
      </c>
      <c r="Y38" s="580">
        <v>2.25</v>
      </c>
      <c r="Z38" s="536">
        <v>2.5</v>
      </c>
      <c r="AA38" s="522"/>
      <c r="AB38" s="991"/>
      <c r="AC38" s="524">
        <v>2.5</v>
      </c>
      <c r="AD38" s="523">
        <v>3.3</v>
      </c>
      <c r="AE38" s="525"/>
      <c r="AF38" s="523">
        <v>4</v>
      </c>
      <c r="AG38" s="525"/>
      <c r="AH38" s="525"/>
      <c r="AI38" s="523">
        <v>3.5</v>
      </c>
      <c r="AJ38" s="580">
        <v>2.25</v>
      </c>
      <c r="AK38" s="536">
        <v>2.5</v>
      </c>
      <c r="AL38" s="522"/>
      <c r="AM38" s="991"/>
      <c r="AN38" s="524">
        <v>2.5</v>
      </c>
      <c r="AO38" s="523">
        <v>3.3</v>
      </c>
      <c r="AP38" s="525"/>
      <c r="AQ38" s="523">
        <v>4</v>
      </c>
      <c r="AR38" s="525"/>
      <c r="AS38" s="525"/>
      <c r="AT38" s="523">
        <v>3.5</v>
      </c>
      <c r="AU38" s="580">
        <v>2.25</v>
      </c>
      <c r="AV38" s="536">
        <v>2.5</v>
      </c>
      <c r="AW38" s="522"/>
    </row>
    <row r="39" spans="1:49" ht="15" x14ac:dyDescent="0.25">
      <c r="A39" s="755" t="s">
        <v>242</v>
      </c>
      <c r="B39" s="733">
        <v>2000</v>
      </c>
      <c r="C39" s="517" t="s">
        <v>545</v>
      </c>
      <c r="D39" s="518"/>
      <c r="E39" s="964"/>
      <c r="F39" s="992"/>
      <c r="G39" s="1007"/>
      <c r="H39" s="1008"/>
      <c r="I39" s="1008"/>
      <c r="J39" s="1008"/>
      <c r="K39" s="1008"/>
      <c r="L39" s="1008"/>
      <c r="M39" s="1008"/>
      <c r="N39" s="1007"/>
      <c r="O39" s="1007"/>
      <c r="P39" s="1009"/>
      <c r="Q39" s="992"/>
      <c r="R39" s="1009"/>
      <c r="S39" s="1008"/>
      <c r="T39" s="1008"/>
      <c r="U39" s="1008"/>
      <c r="V39" s="1008"/>
      <c r="W39" s="1008"/>
      <c r="X39" s="1008"/>
      <c r="Y39" s="1007"/>
      <c r="Z39" s="1007"/>
      <c r="AA39" s="1009"/>
      <c r="AB39" s="992"/>
      <c r="AC39" s="1009"/>
      <c r="AD39" s="1008"/>
      <c r="AE39" s="1008"/>
      <c r="AF39" s="1008"/>
      <c r="AG39" s="1008"/>
      <c r="AH39" s="1008"/>
      <c r="AI39" s="1008"/>
      <c r="AJ39" s="1007"/>
      <c r="AK39" s="1007"/>
      <c r="AL39" s="1009"/>
      <c r="AM39" s="992"/>
      <c r="AN39" s="1009"/>
      <c r="AO39" s="1008"/>
      <c r="AP39" s="1008"/>
      <c r="AQ39" s="1008"/>
      <c r="AR39" s="1008"/>
      <c r="AS39" s="1008"/>
      <c r="AT39" s="1008"/>
      <c r="AU39" s="1007"/>
      <c r="AV39" s="1008"/>
    </row>
    <row r="40" spans="1:49" s="213" customFormat="1" x14ac:dyDescent="0.2">
      <c r="A40" s="170" t="s">
        <v>235</v>
      </c>
      <c r="B40" s="415">
        <v>1900</v>
      </c>
      <c r="C40" s="1287" t="s">
        <v>432</v>
      </c>
      <c r="D40" s="551" t="s">
        <v>405</v>
      </c>
      <c r="E40" s="952"/>
      <c r="F40" s="982" t="s">
        <v>61</v>
      </c>
      <c r="G40" s="507" t="s">
        <v>274</v>
      </c>
      <c r="H40" s="508" t="s">
        <v>62</v>
      </c>
      <c r="I40" s="508" t="s">
        <v>63</v>
      </c>
      <c r="J40" s="508" t="s">
        <v>64</v>
      </c>
      <c r="K40" s="508" t="s">
        <v>65</v>
      </c>
      <c r="L40" s="508" t="s">
        <v>66</v>
      </c>
      <c r="M40" s="508" t="s">
        <v>67</v>
      </c>
      <c r="N40" s="507"/>
      <c r="O40" s="507"/>
      <c r="P40" s="176"/>
      <c r="Q40" s="982" t="s">
        <v>61</v>
      </c>
      <c r="R40" s="519" t="s">
        <v>274</v>
      </c>
      <c r="S40" s="508" t="s">
        <v>62</v>
      </c>
      <c r="T40" s="508" t="s">
        <v>63</v>
      </c>
      <c r="U40" s="508" t="s">
        <v>64</v>
      </c>
      <c r="V40" s="508" t="s">
        <v>65</v>
      </c>
      <c r="W40" s="508" t="s">
        <v>66</v>
      </c>
      <c r="X40" s="508" t="s">
        <v>67</v>
      </c>
      <c r="Y40" s="507"/>
      <c r="Z40" s="507"/>
      <c r="AA40" s="176"/>
      <c r="AB40" s="982" t="s">
        <v>61</v>
      </c>
      <c r="AC40" s="519" t="s">
        <v>274</v>
      </c>
      <c r="AD40" s="508" t="s">
        <v>62</v>
      </c>
      <c r="AE40" s="508" t="s">
        <v>63</v>
      </c>
      <c r="AF40" s="508" t="s">
        <v>64</v>
      </c>
      <c r="AG40" s="508" t="s">
        <v>65</v>
      </c>
      <c r="AH40" s="508" t="s">
        <v>66</v>
      </c>
      <c r="AI40" s="508" t="s">
        <v>67</v>
      </c>
      <c r="AJ40" s="507"/>
      <c r="AK40" s="507"/>
      <c r="AL40" s="176"/>
      <c r="AM40" s="982" t="s">
        <v>61</v>
      </c>
      <c r="AN40" s="519" t="s">
        <v>274</v>
      </c>
      <c r="AO40" s="508" t="s">
        <v>62</v>
      </c>
      <c r="AP40" s="508" t="s">
        <v>63</v>
      </c>
      <c r="AQ40" s="508" t="s">
        <v>64</v>
      </c>
      <c r="AR40" s="508" t="s">
        <v>65</v>
      </c>
      <c r="AS40" s="508" t="s">
        <v>66</v>
      </c>
      <c r="AT40" s="508" t="s">
        <v>67</v>
      </c>
      <c r="AU40" s="507"/>
      <c r="AV40" s="507"/>
      <c r="AW40" s="176"/>
    </row>
    <row r="41" spans="1:49" x14ac:dyDescent="0.2">
      <c r="A41" s="170" t="s">
        <v>234</v>
      </c>
      <c r="B41" s="734">
        <v>2000</v>
      </c>
      <c r="C41" s="1287"/>
      <c r="D41" s="45" t="s">
        <v>21</v>
      </c>
      <c r="E41" s="965"/>
      <c r="F41" s="980">
        <v>4800</v>
      </c>
      <c r="G41" s="33">
        <v>1891.8210092408337</v>
      </c>
      <c r="H41" s="32">
        <v>1890.3849642768564</v>
      </c>
      <c r="I41" s="45">
        <v>1930.0668070163681</v>
      </c>
      <c r="J41" s="45">
        <v>2000</v>
      </c>
      <c r="K41" s="45">
        <v>1389.8448457192076</v>
      </c>
      <c r="L41" s="45">
        <v>1300.2031261817426</v>
      </c>
      <c r="M41" s="32">
        <v>710.54956077378813</v>
      </c>
      <c r="N41" s="184"/>
      <c r="O41" s="184"/>
      <c r="Q41" s="980">
        <v>4800</v>
      </c>
      <c r="R41" s="134">
        <v>1891.8210092408337</v>
      </c>
      <c r="S41" s="32">
        <v>1890.3849642768564</v>
      </c>
      <c r="T41" s="45">
        <v>1959.5773616193974</v>
      </c>
      <c r="U41" s="45">
        <v>2000</v>
      </c>
      <c r="V41" s="45">
        <v>1258.9349989362283</v>
      </c>
      <c r="W41" s="45">
        <v>1238.6194412709453</v>
      </c>
      <c r="X41" s="32">
        <v>987.76838242827</v>
      </c>
      <c r="Y41" s="184"/>
      <c r="Z41" s="184"/>
      <c r="AB41" s="980">
        <v>4800</v>
      </c>
      <c r="AC41" s="134">
        <v>1891.8210092408337</v>
      </c>
      <c r="AD41" s="32">
        <v>1890.3849642768564</v>
      </c>
      <c r="AE41" s="45">
        <v>1935.9141124216706</v>
      </c>
      <c r="AF41" s="45">
        <v>2000</v>
      </c>
      <c r="AG41" s="45">
        <v>1532.7260140168319</v>
      </c>
      <c r="AH41" s="45">
        <v>1455.0903346548155</v>
      </c>
      <c r="AI41" s="32">
        <v>219.50585059008802</v>
      </c>
      <c r="AJ41" s="184"/>
      <c r="AK41" s="184"/>
      <c r="AM41" s="980">
        <v>4800</v>
      </c>
      <c r="AN41" s="134">
        <v>1891.8210092408337</v>
      </c>
      <c r="AO41" s="32">
        <v>1890.3849642768564</v>
      </c>
      <c r="AP41" s="45">
        <v>1974.8683795107365</v>
      </c>
      <c r="AQ41" s="45">
        <v>2000</v>
      </c>
      <c r="AR41" s="45">
        <v>1035.0101423008905</v>
      </c>
      <c r="AS41" s="45">
        <v>1013.1752068768512</v>
      </c>
      <c r="AT41" s="32">
        <v>392.39402435706324</v>
      </c>
      <c r="AU41" s="184"/>
      <c r="AV41" s="184"/>
    </row>
    <row r="42" spans="1:49" x14ac:dyDescent="0.2">
      <c r="A42" s="170" t="s">
        <v>236</v>
      </c>
      <c r="B42" s="415">
        <v>1820</v>
      </c>
      <c r="C42" s="1287"/>
      <c r="D42" s="45" t="s">
        <v>22</v>
      </c>
      <c r="E42" s="965"/>
      <c r="F42" s="980">
        <v>4800</v>
      </c>
      <c r="G42" s="33">
        <v>1891.8210092408337</v>
      </c>
      <c r="H42" s="32">
        <v>1890.3849642768564</v>
      </c>
      <c r="I42" s="45">
        <v>1923.5520129428803</v>
      </c>
      <c r="J42" s="45">
        <v>2000</v>
      </c>
      <c r="K42" s="45">
        <v>1409.577397584256</v>
      </c>
      <c r="L42" s="45">
        <v>1351.4202729987826</v>
      </c>
      <c r="M42" s="32">
        <v>1150.9087807355129</v>
      </c>
      <c r="N42" s="184"/>
      <c r="O42" s="184"/>
      <c r="Q42" s="980">
        <v>4800</v>
      </c>
      <c r="R42" s="134">
        <v>1891.8210092408337</v>
      </c>
      <c r="S42" s="32">
        <v>1890.3849642768564</v>
      </c>
      <c r="T42" s="45">
        <v>1938.0811226757903</v>
      </c>
      <c r="U42" s="45">
        <v>2000</v>
      </c>
      <c r="V42" s="45">
        <v>1481.7878109379408</v>
      </c>
      <c r="W42" s="45">
        <v>1447.2637024752873</v>
      </c>
      <c r="X42" s="32">
        <v>1218.3197946596065</v>
      </c>
      <c r="Y42" s="184"/>
      <c r="Z42" s="184"/>
      <c r="AB42" s="980">
        <v>4800</v>
      </c>
      <c r="AC42" s="134">
        <v>1891.8210092408337</v>
      </c>
      <c r="AD42" s="32">
        <v>1890.3849642768564</v>
      </c>
      <c r="AE42" s="45">
        <v>1937.6069003166001</v>
      </c>
      <c r="AF42" s="45">
        <v>2000</v>
      </c>
      <c r="AG42" s="45">
        <v>1491.6378180311578</v>
      </c>
      <c r="AH42" s="45">
        <v>1430.9913671713903</v>
      </c>
      <c r="AI42" s="32">
        <v>819.49064029749184</v>
      </c>
      <c r="AJ42" s="184"/>
      <c r="AK42" s="184"/>
      <c r="AM42" s="980">
        <v>4800</v>
      </c>
      <c r="AN42" s="134">
        <v>1891.8210092408337</v>
      </c>
      <c r="AO42" s="32">
        <v>1890.3849642768564</v>
      </c>
      <c r="AP42" s="45">
        <v>1946.7876852289612</v>
      </c>
      <c r="AQ42" s="45">
        <v>2000</v>
      </c>
      <c r="AR42" s="45">
        <v>1360.8499342883986</v>
      </c>
      <c r="AS42" s="45">
        <v>1317.1747350729863</v>
      </c>
      <c r="AT42" s="32">
        <v>874.32962406480772</v>
      </c>
      <c r="AU42" s="184"/>
      <c r="AV42" s="184"/>
    </row>
    <row r="43" spans="1:49" x14ac:dyDescent="0.2">
      <c r="A43" s="746" t="s">
        <v>449</v>
      </c>
      <c r="B43" s="747">
        <v>1920</v>
      </c>
      <c r="C43" s="1287"/>
      <c r="D43" s="45" t="s">
        <v>23</v>
      </c>
      <c r="E43" s="965"/>
      <c r="F43" s="980">
        <v>4800</v>
      </c>
      <c r="G43" s="33">
        <v>1891.8210092408337</v>
      </c>
      <c r="H43" s="32">
        <v>1890.3849642768564</v>
      </c>
      <c r="I43" s="45">
        <v>1910.1878212322736</v>
      </c>
      <c r="J43" s="45">
        <v>2000</v>
      </c>
      <c r="K43" s="45">
        <v>1685.2676426894775</v>
      </c>
      <c r="L43" s="45">
        <v>1574.706281467192</v>
      </c>
      <c r="M43" s="32">
        <v>1085.7473099335273</v>
      </c>
      <c r="N43" s="184"/>
      <c r="O43" s="184"/>
      <c r="Q43" s="980">
        <v>4800</v>
      </c>
      <c r="R43" s="134">
        <v>1891.8210092408337</v>
      </c>
      <c r="S43" s="32">
        <v>1890.3849642768564</v>
      </c>
      <c r="T43" s="45">
        <v>1903.5472487141044</v>
      </c>
      <c r="U43" s="45">
        <v>2000</v>
      </c>
      <c r="V43" s="45">
        <v>1012.4340702930671</v>
      </c>
      <c r="W43" s="45">
        <v>856.94851946459733</v>
      </c>
      <c r="X43" s="32">
        <v>717.46669189426359</v>
      </c>
      <c r="Y43" s="184"/>
      <c r="Z43" s="184"/>
      <c r="AB43" s="980">
        <v>4800</v>
      </c>
      <c r="AC43" s="134">
        <v>1891.8210092408337</v>
      </c>
      <c r="AD43" s="32">
        <v>1890.3849642768564</v>
      </c>
      <c r="AE43" s="45">
        <v>1929.4053480523085</v>
      </c>
      <c r="AF43" s="45">
        <v>2000</v>
      </c>
      <c r="AG43" s="45">
        <v>1179.3946249833857</v>
      </c>
      <c r="AH43" s="45">
        <v>1071.2870851186283</v>
      </c>
      <c r="AI43" s="32">
        <v>506.40587193399853</v>
      </c>
      <c r="AJ43" s="184"/>
      <c r="AK43" s="184"/>
      <c r="AM43" s="980">
        <v>4800</v>
      </c>
      <c r="AN43" s="134">
        <v>1891.8210092408337</v>
      </c>
      <c r="AO43" s="32">
        <v>1890.3849642768564</v>
      </c>
      <c r="AP43" s="45">
        <v>1955.8953280493843</v>
      </c>
      <c r="AQ43" s="45">
        <v>2000</v>
      </c>
      <c r="AR43" s="45">
        <v>1017.5891041197624</v>
      </c>
      <c r="AS43" s="45">
        <v>964.22724301997096</v>
      </c>
      <c r="AT43" s="32">
        <v>248.44757037358966</v>
      </c>
      <c r="AU43" s="184"/>
      <c r="AV43" s="184"/>
    </row>
    <row r="44" spans="1:49" s="213" customFormat="1" x14ac:dyDescent="0.2">
      <c r="A44" s="746" t="s">
        <v>502</v>
      </c>
      <c r="B44" s="747">
        <v>100</v>
      </c>
      <c r="C44" s="1287"/>
      <c r="D44" s="551" t="s">
        <v>503</v>
      </c>
      <c r="E44" s="966"/>
      <c r="F44" s="982" t="s">
        <v>61</v>
      </c>
      <c r="G44" s="507" t="s">
        <v>408</v>
      </c>
      <c r="H44" s="508" t="s">
        <v>62</v>
      </c>
      <c r="I44" s="508" t="s">
        <v>63</v>
      </c>
      <c r="J44" s="508" t="s">
        <v>64</v>
      </c>
      <c r="K44" s="508" t="s">
        <v>65</v>
      </c>
      <c r="L44" s="508" t="s">
        <v>66</v>
      </c>
      <c r="M44" s="508" t="s">
        <v>67</v>
      </c>
      <c r="N44" s="767" t="s">
        <v>478</v>
      </c>
      <c r="O44" s="736" t="s">
        <v>51</v>
      </c>
      <c r="P44" s="176"/>
      <c r="Q44" s="982" t="s">
        <v>61</v>
      </c>
      <c r="R44" s="519" t="s">
        <v>408</v>
      </c>
      <c r="S44" s="508" t="s">
        <v>62</v>
      </c>
      <c r="T44" s="508" t="s">
        <v>63</v>
      </c>
      <c r="U44" s="508" t="s">
        <v>64</v>
      </c>
      <c r="V44" s="508" t="s">
        <v>65</v>
      </c>
      <c r="W44" s="508" t="s">
        <v>66</v>
      </c>
      <c r="X44" s="508" t="s">
        <v>67</v>
      </c>
      <c r="Y44" s="767" t="s">
        <v>478</v>
      </c>
      <c r="Z44" s="736" t="s">
        <v>51</v>
      </c>
      <c r="AA44" s="176"/>
      <c r="AB44" s="982" t="s">
        <v>61</v>
      </c>
      <c r="AC44" s="519" t="s">
        <v>408</v>
      </c>
      <c r="AD44" s="508" t="s">
        <v>62</v>
      </c>
      <c r="AE44" s="508" t="s">
        <v>63</v>
      </c>
      <c r="AF44" s="508" t="s">
        <v>64</v>
      </c>
      <c r="AG44" s="508" t="s">
        <v>65</v>
      </c>
      <c r="AH44" s="508" t="s">
        <v>66</v>
      </c>
      <c r="AI44" s="508" t="s">
        <v>67</v>
      </c>
      <c r="AJ44" s="767" t="s">
        <v>478</v>
      </c>
      <c r="AK44" s="736" t="s">
        <v>51</v>
      </c>
      <c r="AL44" s="176"/>
      <c r="AM44" s="982" t="s">
        <v>61</v>
      </c>
      <c r="AN44" s="519" t="s">
        <v>408</v>
      </c>
      <c r="AO44" s="508" t="s">
        <v>62</v>
      </c>
      <c r="AP44" s="508" t="s">
        <v>63</v>
      </c>
      <c r="AQ44" s="508" t="s">
        <v>64</v>
      </c>
      <c r="AR44" s="508" t="s">
        <v>65</v>
      </c>
      <c r="AS44" s="508" t="s">
        <v>66</v>
      </c>
      <c r="AT44" s="508" t="s">
        <v>67</v>
      </c>
      <c r="AU44" s="767" t="s">
        <v>478</v>
      </c>
      <c r="AV44" s="736" t="s">
        <v>51</v>
      </c>
      <c r="AW44" s="176"/>
    </row>
    <row r="45" spans="1:49" x14ac:dyDescent="0.2">
      <c r="A45" s="170" t="s">
        <v>231</v>
      </c>
      <c r="B45" s="415">
        <v>4800</v>
      </c>
      <c r="C45" s="1287"/>
      <c r="D45" s="45" t="s">
        <v>21</v>
      </c>
      <c r="E45" s="967"/>
      <c r="F45" s="985">
        <v>5.9638741883934667</v>
      </c>
      <c r="G45" s="33">
        <v>920.127239493611</v>
      </c>
      <c r="H45" s="32">
        <v>644.453815604375</v>
      </c>
      <c r="I45" s="45">
        <v>17.823685247676224</v>
      </c>
      <c r="J45" s="32">
        <v>4.1898582039626877</v>
      </c>
      <c r="K45" s="45">
        <v>16.116764384602295</v>
      </c>
      <c r="L45" s="45">
        <v>3.484826291210013</v>
      </c>
      <c r="M45" s="32">
        <v>2.8907616466900783</v>
      </c>
      <c r="N45" s="186">
        <v>234.2146542568625</v>
      </c>
      <c r="O45" s="33">
        <v>365.1090167653677</v>
      </c>
      <c r="Q45" s="985">
        <v>5.9638741883934667</v>
      </c>
      <c r="R45" s="134">
        <v>791.97207682571968</v>
      </c>
      <c r="S45" s="32">
        <v>508.95966456407376</v>
      </c>
      <c r="T45" s="45">
        <v>7.2282387224123203</v>
      </c>
      <c r="U45" s="32">
        <v>3.6095388648596978</v>
      </c>
      <c r="V45" s="45">
        <v>6.0384314694283088</v>
      </c>
      <c r="W45" s="45">
        <v>2.7636435904100534</v>
      </c>
      <c r="X45" s="32">
        <v>2.4849475784972777</v>
      </c>
      <c r="Y45" s="186">
        <v>108.04056652249849</v>
      </c>
      <c r="Z45" s="33">
        <v>207.99874063305714</v>
      </c>
      <c r="AB45" s="985">
        <v>7.2790665281978386</v>
      </c>
      <c r="AC45" s="134">
        <v>900.32871780292362</v>
      </c>
      <c r="AD45" s="32">
        <v>654.24494929927369</v>
      </c>
      <c r="AE45" s="45">
        <v>78.758764151711958</v>
      </c>
      <c r="AF45" s="32">
        <v>68.75824000859788</v>
      </c>
      <c r="AG45" s="45">
        <v>75.279063072872901</v>
      </c>
      <c r="AH45" s="45">
        <v>48.643403431412573</v>
      </c>
      <c r="AI45" s="32">
        <v>3.0329443867490995</v>
      </c>
      <c r="AJ45" s="186">
        <v>293.03955529333922</v>
      </c>
      <c r="AK45" s="33">
        <v>429.28710633105635</v>
      </c>
      <c r="AM45" s="985">
        <v>24.019244615446553</v>
      </c>
      <c r="AN45" s="134">
        <v>1108.7912796715357</v>
      </c>
      <c r="AO45" s="32">
        <v>789.5048137958629</v>
      </c>
      <c r="AP45" s="45">
        <v>68.973245992118265</v>
      </c>
      <c r="AQ45" s="32">
        <v>66.327080358154063</v>
      </c>
      <c r="AR45" s="45">
        <v>60.1493077190203</v>
      </c>
      <c r="AS45" s="45">
        <v>31.755769153461088</v>
      </c>
      <c r="AT45" s="32">
        <v>10.008018589769398</v>
      </c>
      <c r="AU45" s="186">
        <v>749.97154809496942</v>
      </c>
      <c r="AV45" s="33">
        <v>842.08031538113414</v>
      </c>
    </row>
    <row r="46" spans="1:49" x14ac:dyDescent="0.2">
      <c r="A46" s="170" t="s">
        <v>115</v>
      </c>
      <c r="B46" s="416">
        <v>0.99</v>
      </c>
      <c r="C46" s="1287"/>
      <c r="D46" s="45" t="s">
        <v>22</v>
      </c>
      <c r="E46" s="967"/>
      <c r="F46" s="985">
        <v>185.02664474787599</v>
      </c>
      <c r="G46" s="33">
        <v>1162.2042567560841</v>
      </c>
      <c r="H46" s="32">
        <v>840.47821455974702</v>
      </c>
      <c r="I46" s="45">
        <v>127.20130386426337</v>
      </c>
      <c r="J46" s="32">
        <v>106.90427948029944</v>
      </c>
      <c r="K46" s="45">
        <v>114.22552225346071</v>
      </c>
      <c r="L46" s="45">
        <v>84.133980890211504</v>
      </c>
      <c r="M46" s="32">
        <v>77.094435311614987</v>
      </c>
      <c r="N46" s="186">
        <v>637.67485453741335</v>
      </c>
      <c r="O46" s="33">
        <v>750.1109596390171</v>
      </c>
      <c r="Q46" s="985">
        <v>180.70804734327842</v>
      </c>
      <c r="R46" s="134">
        <v>1135.6955090160679</v>
      </c>
      <c r="S46" s="32">
        <v>818.11643286140713</v>
      </c>
      <c r="T46" s="45">
        <v>111.91925909656453</v>
      </c>
      <c r="U46" s="32">
        <v>100.60097401328466</v>
      </c>
      <c r="V46" s="45">
        <v>104.92098335053795</v>
      </c>
      <c r="W46" s="45">
        <v>84.912721243257153</v>
      </c>
      <c r="X46" s="32">
        <v>78.414631807019816</v>
      </c>
      <c r="Y46" s="186">
        <v>544.50806666683593</v>
      </c>
      <c r="Z46" s="33">
        <v>670.04323483529845</v>
      </c>
      <c r="AB46" s="985">
        <v>180.70804734327842</v>
      </c>
      <c r="AC46" s="134">
        <v>1159.870064111863</v>
      </c>
      <c r="AD46" s="32">
        <v>850.10152675012034</v>
      </c>
      <c r="AE46" s="45">
        <v>224.95363243188643</v>
      </c>
      <c r="AF46" s="32">
        <v>214.75620726290808</v>
      </c>
      <c r="AG46" s="45">
        <v>211.13457108658659</v>
      </c>
      <c r="AH46" s="45">
        <v>147.53554611302974</v>
      </c>
      <c r="AI46" s="32">
        <v>75.295019726366007</v>
      </c>
      <c r="AJ46" s="186">
        <v>780.03871049696625</v>
      </c>
      <c r="AK46" s="33">
        <v>865.97910446278843</v>
      </c>
      <c r="AM46" s="985">
        <v>209.93888430774518</v>
      </c>
      <c r="AN46" s="134">
        <v>1207.9434044800939</v>
      </c>
      <c r="AO46" s="32">
        <v>881.55294805508629</v>
      </c>
      <c r="AP46" s="45">
        <v>214.9781939448944</v>
      </c>
      <c r="AQ46" s="32">
        <v>207.21436535968408</v>
      </c>
      <c r="AR46" s="45">
        <v>196.51256638762413</v>
      </c>
      <c r="AS46" s="45">
        <v>134.58086353888336</v>
      </c>
      <c r="AT46" s="32">
        <v>87.47453512822716</v>
      </c>
      <c r="AU46" s="186">
        <v>878.08739188057575</v>
      </c>
      <c r="AV46" s="33">
        <v>942.04966615314947</v>
      </c>
    </row>
    <row r="47" spans="1:49" x14ac:dyDescent="0.2">
      <c r="A47" s="170" t="s">
        <v>116</v>
      </c>
      <c r="B47" s="417">
        <v>1980</v>
      </c>
      <c r="C47" s="1287"/>
      <c r="D47" s="45" t="s">
        <v>23</v>
      </c>
      <c r="E47" s="967"/>
      <c r="F47" s="985">
        <v>8.7875277076602742</v>
      </c>
      <c r="G47" s="33">
        <v>819.88078127812673</v>
      </c>
      <c r="H47" s="32">
        <v>561.23650347414343</v>
      </c>
      <c r="I47" s="45">
        <v>35.475841481521968</v>
      </c>
      <c r="J47" s="32">
        <v>6.0376957134418543</v>
      </c>
      <c r="K47" s="45">
        <v>32.821621179548252</v>
      </c>
      <c r="L47" s="45">
        <v>5.0060302256409202</v>
      </c>
      <c r="M47" s="32">
        <v>3.8199273656641428</v>
      </c>
      <c r="N47" s="212">
        <v>109.36800674090465</v>
      </c>
      <c r="O47" s="174">
        <v>209.86255882064518</v>
      </c>
      <c r="Q47" s="985">
        <v>8.7875277076602742</v>
      </c>
      <c r="R47" s="134">
        <v>1002.2428230587669</v>
      </c>
      <c r="S47" s="32">
        <v>689.83404446634734</v>
      </c>
      <c r="T47" s="45">
        <v>61.579635288395501</v>
      </c>
      <c r="U47" s="32">
        <v>4.7422782381393516</v>
      </c>
      <c r="V47" s="45">
        <v>35.224305244043641</v>
      </c>
      <c r="W47" s="45">
        <v>3.779013121978128</v>
      </c>
      <c r="X47" s="32">
        <v>3.6614698781917809</v>
      </c>
      <c r="Y47" s="212">
        <v>322.31900676025975</v>
      </c>
      <c r="Z47" s="174">
        <v>459.80610947943171</v>
      </c>
      <c r="AB47" s="985">
        <v>11.455785018183549</v>
      </c>
      <c r="AC47" s="134">
        <v>1157.6533519728198</v>
      </c>
      <c r="AD47" s="32">
        <v>863.69202232929285</v>
      </c>
      <c r="AE47" s="45">
        <v>101.7253763466579</v>
      </c>
      <c r="AF47" s="32">
        <v>84.706487292322294</v>
      </c>
      <c r="AG47" s="45">
        <v>88.765866305323073</v>
      </c>
      <c r="AH47" s="45">
        <v>42.133452558085047</v>
      </c>
      <c r="AI47" s="32">
        <v>16.238790037214255</v>
      </c>
      <c r="AJ47" s="212">
        <v>573.60258760984766</v>
      </c>
      <c r="AK47" s="174">
        <v>695.45898297013412</v>
      </c>
      <c r="AM47" s="985">
        <v>11.455785018183549</v>
      </c>
      <c r="AN47" s="134">
        <v>955.62681433895079</v>
      </c>
      <c r="AO47" s="32">
        <v>699.38702738423569</v>
      </c>
      <c r="AP47" s="45">
        <v>74.7555166226296</v>
      </c>
      <c r="AQ47" s="32">
        <v>69.563770400797154</v>
      </c>
      <c r="AR47" s="45">
        <v>65.130962355723028</v>
      </c>
      <c r="AS47" s="45">
        <v>31.250179969621612</v>
      </c>
      <c r="AT47" s="32">
        <v>4.7732437575764788</v>
      </c>
      <c r="AU47" s="212">
        <v>446.959581852204</v>
      </c>
      <c r="AV47" s="174">
        <v>581.66680464148669</v>
      </c>
    </row>
    <row r="48" spans="1:49" s="213" customFormat="1" x14ac:dyDescent="0.2">
      <c r="B48" s="555" t="s">
        <v>427</v>
      </c>
      <c r="C48" s="1287"/>
      <c r="D48" s="551">
        <v>2</v>
      </c>
      <c r="E48" s="966"/>
      <c r="F48" s="982" t="s">
        <v>61</v>
      </c>
      <c r="G48" s="507" t="s">
        <v>408</v>
      </c>
      <c r="H48" s="508" t="s">
        <v>62</v>
      </c>
      <c r="I48" s="508" t="s">
        <v>63</v>
      </c>
      <c r="J48" s="508" t="s">
        <v>64</v>
      </c>
      <c r="K48" s="508" t="s">
        <v>65</v>
      </c>
      <c r="L48" s="508" t="s">
        <v>66</v>
      </c>
      <c r="M48" s="508" t="s">
        <v>387</v>
      </c>
      <c r="N48" s="507" t="s">
        <v>422</v>
      </c>
      <c r="O48" s="507"/>
      <c r="P48" s="176"/>
      <c r="Q48" s="982" t="s">
        <v>61</v>
      </c>
      <c r="R48" s="519" t="s">
        <v>408</v>
      </c>
      <c r="S48" s="508" t="s">
        <v>62</v>
      </c>
      <c r="T48" s="508" t="s">
        <v>63</v>
      </c>
      <c r="U48" s="508" t="s">
        <v>64</v>
      </c>
      <c r="V48" s="508" t="s">
        <v>65</v>
      </c>
      <c r="W48" s="508" t="s">
        <v>66</v>
      </c>
      <c r="X48" s="508" t="s">
        <v>387</v>
      </c>
      <c r="Y48" s="507" t="s">
        <v>422</v>
      </c>
      <c r="Z48" s="507"/>
      <c r="AA48" s="176"/>
      <c r="AB48" s="982" t="s">
        <v>61</v>
      </c>
      <c r="AC48" s="519" t="s">
        <v>408</v>
      </c>
      <c r="AD48" s="508" t="s">
        <v>62</v>
      </c>
      <c r="AE48" s="508" t="s">
        <v>63</v>
      </c>
      <c r="AF48" s="508" t="s">
        <v>64</v>
      </c>
      <c r="AG48" s="508" t="s">
        <v>65</v>
      </c>
      <c r="AH48" s="508" t="s">
        <v>66</v>
      </c>
      <c r="AI48" s="508" t="s">
        <v>387</v>
      </c>
      <c r="AJ48" s="507" t="s">
        <v>422</v>
      </c>
      <c r="AK48" s="507"/>
      <c r="AL48" s="176"/>
      <c r="AM48" s="982" t="s">
        <v>61</v>
      </c>
      <c r="AN48" s="519" t="s">
        <v>408</v>
      </c>
      <c r="AO48" s="508" t="s">
        <v>62</v>
      </c>
      <c r="AP48" s="508" t="s">
        <v>63</v>
      </c>
      <c r="AQ48" s="508" t="s">
        <v>64</v>
      </c>
      <c r="AR48" s="508" t="s">
        <v>65</v>
      </c>
      <c r="AS48" s="508" t="s">
        <v>66</v>
      </c>
      <c r="AT48" s="508" t="s">
        <v>387</v>
      </c>
      <c r="AU48" s="507" t="s">
        <v>422</v>
      </c>
      <c r="AV48" s="507"/>
      <c r="AW48" s="176"/>
    </row>
    <row r="49" spans="1:49" x14ac:dyDescent="0.2">
      <c r="B49" s="112">
        <v>51.428571428571431</v>
      </c>
      <c r="C49" s="1287"/>
      <c r="D49" s="45" t="s">
        <v>21</v>
      </c>
      <c r="E49" s="967"/>
      <c r="F49" s="980">
        <v>4800</v>
      </c>
      <c r="G49" s="33">
        <v>1398.8284405900372</v>
      </c>
      <c r="H49" s="32">
        <v>1873.8549728936584</v>
      </c>
      <c r="I49" s="45">
        <v>1912.2806345323906</v>
      </c>
      <c r="J49" s="45">
        <v>1980</v>
      </c>
      <c r="K49" s="45">
        <v>1068.5679244162818</v>
      </c>
      <c r="L49" s="45">
        <v>924.34908346747591</v>
      </c>
      <c r="M49" s="32">
        <v>34.850501738690205</v>
      </c>
      <c r="N49" s="184">
        <v>165.94285714285718</v>
      </c>
      <c r="O49" s="184"/>
      <c r="Q49" s="980">
        <v>4800</v>
      </c>
      <c r="R49" s="134">
        <v>1263.5159131071907</v>
      </c>
      <c r="S49" s="32">
        <v>1873.8549728936584</v>
      </c>
      <c r="T49" s="45">
        <v>1940.8569935838377</v>
      </c>
      <c r="U49" s="45">
        <v>1980</v>
      </c>
      <c r="V49" s="45">
        <v>662.55206200375051</v>
      </c>
      <c r="W49" s="45">
        <v>623.5809708848609</v>
      </c>
      <c r="X49" s="32">
        <v>176.68336391697528</v>
      </c>
      <c r="Y49" s="184">
        <v>165.94285714285718</v>
      </c>
      <c r="Z49" s="184"/>
      <c r="AB49" s="980">
        <v>4800</v>
      </c>
      <c r="AC49" s="134">
        <v>1468.4548284298705</v>
      </c>
      <c r="AD49" s="32">
        <v>1880.4659953768978</v>
      </c>
      <c r="AE49" s="45">
        <v>1921.8079373106455</v>
      </c>
      <c r="AF49" s="45">
        <v>1980</v>
      </c>
      <c r="AG49" s="45">
        <v>1465.2862096912816</v>
      </c>
      <c r="AH49" s="45">
        <v>1375.1646995329438</v>
      </c>
      <c r="AI49" s="32">
        <v>3.6986379091087636</v>
      </c>
      <c r="AJ49" s="184">
        <v>140.57142857142858</v>
      </c>
      <c r="AK49" s="184"/>
      <c r="AM49" s="980">
        <v>4800</v>
      </c>
      <c r="AN49" s="134">
        <v>1645.4689733153775</v>
      </c>
      <c r="AO49" s="32">
        <v>1880.4659953768978</v>
      </c>
      <c r="AP49" s="45">
        <v>1957.1796741800792</v>
      </c>
      <c r="AQ49" s="45">
        <v>1980</v>
      </c>
      <c r="AR49" s="45">
        <v>808.45482360328083</v>
      </c>
      <c r="AS49" s="45">
        <v>781.08986720270173</v>
      </c>
      <c r="AT49" s="32">
        <v>26.892308366151148</v>
      </c>
      <c r="AU49" s="184">
        <v>140.57142857142858</v>
      </c>
      <c r="AV49" s="184"/>
    </row>
    <row r="50" spans="1:49" x14ac:dyDescent="0.2">
      <c r="B50" s="112">
        <v>60</v>
      </c>
      <c r="C50" s="1287"/>
      <c r="D50" s="45" t="s">
        <v>22</v>
      </c>
      <c r="E50" s="967"/>
      <c r="F50" s="980">
        <v>4800</v>
      </c>
      <c r="G50" s="33">
        <v>1654.3356145665168</v>
      </c>
      <c r="H50" s="32">
        <v>1876.2257528936573</v>
      </c>
      <c r="I50" s="45">
        <v>1907.625510065194</v>
      </c>
      <c r="J50" s="45">
        <v>1980</v>
      </c>
      <c r="K50" s="45">
        <v>850.2724115277357</v>
      </c>
      <c r="L50" s="45">
        <v>726.17599452844229</v>
      </c>
      <c r="M50" s="32">
        <v>338.55036901742454</v>
      </c>
      <c r="N50" s="184">
        <v>193.60000000000002</v>
      </c>
      <c r="O50" s="184"/>
      <c r="Q50" s="980">
        <v>4800</v>
      </c>
      <c r="R50" s="134">
        <v>1629.9402306401271</v>
      </c>
      <c r="S50" s="32">
        <v>1876.2257528936573</v>
      </c>
      <c r="T50" s="45">
        <v>1921.3804426226793</v>
      </c>
      <c r="U50" s="45">
        <v>1980</v>
      </c>
      <c r="V50" s="45">
        <v>940.52768177100722</v>
      </c>
      <c r="W50" s="45">
        <v>861.46657859944685</v>
      </c>
      <c r="X50" s="32">
        <v>398.16895608997675</v>
      </c>
      <c r="Y50" s="184">
        <v>193.60000000000002</v>
      </c>
      <c r="Z50" s="184"/>
      <c r="AB50" s="980">
        <v>4800</v>
      </c>
      <c r="AC50" s="134">
        <v>1662.8528755169818</v>
      </c>
      <c r="AD50" s="32">
        <v>1877.7325051733992</v>
      </c>
      <c r="AE50" s="45">
        <v>1921.7891354320793</v>
      </c>
      <c r="AF50" s="45">
        <v>1980</v>
      </c>
      <c r="AG50" s="45">
        <v>1192.5684913254872</v>
      </c>
      <c r="AH50" s="45">
        <v>1088.3601826568538</v>
      </c>
      <c r="AI50" s="32">
        <v>130.13500827839334</v>
      </c>
      <c r="AJ50" s="184">
        <v>164</v>
      </c>
      <c r="AK50" s="184"/>
      <c r="AM50" s="980">
        <v>4800</v>
      </c>
      <c r="AN50" s="134">
        <v>1704.8877842561801</v>
      </c>
      <c r="AO50" s="32">
        <v>1877.7325051733992</v>
      </c>
      <c r="AP50" s="45">
        <v>1930.3545285584426</v>
      </c>
      <c r="AQ50" s="45">
        <v>1980</v>
      </c>
      <c r="AR50" s="45">
        <v>960.1085277264682</v>
      </c>
      <c r="AS50" s="45">
        <v>884.42437512053584</v>
      </c>
      <c r="AT50" s="32">
        <v>173.89075233570745</v>
      </c>
      <c r="AU50" s="184">
        <v>164</v>
      </c>
      <c r="AV50" s="184"/>
    </row>
    <row r="51" spans="1:49" x14ac:dyDescent="0.2">
      <c r="B51" s="112">
        <v>51.428571428571431</v>
      </c>
      <c r="C51" s="1287"/>
      <c r="D51" s="45" t="s">
        <v>23</v>
      </c>
      <c r="E51" s="967"/>
      <c r="F51" s="980">
        <v>4800</v>
      </c>
      <c r="G51" s="33">
        <v>1279.9213855074051</v>
      </c>
      <c r="H51" s="32">
        <v>1872.5651609854331</v>
      </c>
      <c r="I51" s="45">
        <v>1891.974147489869</v>
      </c>
      <c r="J51" s="45">
        <v>1980</v>
      </c>
      <c r="K51" s="45">
        <v>1383.158432627205</v>
      </c>
      <c r="L51" s="45">
        <v>1119.3607501112472</v>
      </c>
      <c r="M51" s="32">
        <v>129.88626659698684</v>
      </c>
      <c r="N51" s="184">
        <v>165.94285714285718</v>
      </c>
      <c r="O51" s="184"/>
      <c r="Q51" s="980">
        <v>4800</v>
      </c>
      <c r="R51" s="134">
        <v>1472.5517566332508</v>
      </c>
      <c r="S51" s="32">
        <v>1872.5651609854331</v>
      </c>
      <c r="T51" s="45">
        <v>1885.4656531510448</v>
      </c>
      <c r="U51" s="45">
        <v>1980</v>
      </c>
      <c r="V51" s="45">
        <v>499.67387572051581</v>
      </c>
      <c r="W51" s="45">
        <v>256.53412931806713</v>
      </c>
      <c r="X51" s="32">
        <v>46.226742913026953</v>
      </c>
      <c r="Y51" s="184">
        <v>165.94285714285718</v>
      </c>
      <c r="Z51" s="184"/>
      <c r="AB51" s="980">
        <v>4800</v>
      </c>
      <c r="AC51" s="134">
        <v>1691.7709088483343</v>
      </c>
      <c r="AD51" s="32">
        <v>1881.1288644482117</v>
      </c>
      <c r="AE51" s="45">
        <v>1916.3246715570988</v>
      </c>
      <c r="AF51" s="45">
        <v>1980</v>
      </c>
      <c r="AG51" s="45">
        <v>925.91147309167661</v>
      </c>
      <c r="AH51" s="45">
        <v>780.66870886761671</v>
      </c>
      <c r="AI51" s="32">
        <v>51.186321049540105</v>
      </c>
      <c r="AJ51" s="184">
        <v>140.57142857142858</v>
      </c>
      <c r="AK51" s="184"/>
      <c r="AM51" s="980">
        <v>4800</v>
      </c>
      <c r="AN51" s="134">
        <v>1528.6698016519931</v>
      </c>
      <c r="AO51" s="32">
        <v>1881.1288644482117</v>
      </c>
      <c r="AP51" s="45">
        <v>1940.21824040718</v>
      </c>
      <c r="AQ51" s="45">
        <v>1980</v>
      </c>
      <c r="AR51" s="45">
        <v>874.62209633563702</v>
      </c>
      <c r="AS51" s="45">
        <v>813.08528479948211</v>
      </c>
      <c r="AT51" s="32">
        <v>6.6788339407089525</v>
      </c>
      <c r="AU51" s="184">
        <v>140.57142857142858</v>
      </c>
      <c r="AV51" s="184"/>
    </row>
    <row r="52" spans="1:49" s="213" customFormat="1" x14ac:dyDescent="0.2">
      <c r="B52" s="555" t="s">
        <v>429</v>
      </c>
      <c r="C52" s="1287"/>
      <c r="D52" s="551">
        <v>3</v>
      </c>
      <c r="E52" s="966"/>
      <c r="F52" s="982" t="s">
        <v>61</v>
      </c>
      <c r="G52" s="507" t="s">
        <v>408</v>
      </c>
      <c r="H52" s="508" t="s">
        <v>62</v>
      </c>
      <c r="I52" s="508" t="s">
        <v>63</v>
      </c>
      <c r="J52" s="508" t="s">
        <v>64</v>
      </c>
      <c r="K52" s="508" t="s">
        <v>65</v>
      </c>
      <c r="L52" s="508" t="s">
        <v>66</v>
      </c>
      <c r="M52" s="508" t="s">
        <v>387</v>
      </c>
      <c r="N52" s="507" t="s">
        <v>422</v>
      </c>
      <c r="O52" s="507" t="s">
        <v>423</v>
      </c>
      <c r="P52" s="176"/>
      <c r="Q52" s="982" t="s">
        <v>61</v>
      </c>
      <c r="R52" s="519" t="s">
        <v>408</v>
      </c>
      <c r="S52" s="508" t="s">
        <v>62</v>
      </c>
      <c r="T52" s="508" t="s">
        <v>63</v>
      </c>
      <c r="U52" s="508" t="s">
        <v>64</v>
      </c>
      <c r="V52" s="508" t="s">
        <v>65</v>
      </c>
      <c r="W52" s="508" t="s">
        <v>66</v>
      </c>
      <c r="X52" s="508" t="s">
        <v>387</v>
      </c>
      <c r="Y52" s="507" t="s">
        <v>422</v>
      </c>
      <c r="Z52" s="507" t="s">
        <v>423</v>
      </c>
      <c r="AA52" s="176"/>
      <c r="AB52" s="982" t="s">
        <v>61</v>
      </c>
      <c r="AC52" s="519" t="s">
        <v>408</v>
      </c>
      <c r="AD52" s="508" t="s">
        <v>62</v>
      </c>
      <c r="AE52" s="508" t="s">
        <v>63</v>
      </c>
      <c r="AF52" s="508" t="s">
        <v>64</v>
      </c>
      <c r="AG52" s="508" t="s">
        <v>65</v>
      </c>
      <c r="AH52" s="508" t="s">
        <v>66</v>
      </c>
      <c r="AI52" s="508" t="s">
        <v>387</v>
      </c>
      <c r="AJ52" s="507" t="s">
        <v>422</v>
      </c>
      <c r="AK52" s="507" t="s">
        <v>423</v>
      </c>
      <c r="AL52" s="176"/>
      <c r="AM52" s="982" t="s">
        <v>61</v>
      </c>
      <c r="AN52" s="519" t="s">
        <v>408</v>
      </c>
      <c r="AO52" s="508" t="s">
        <v>62</v>
      </c>
      <c r="AP52" s="508" t="s">
        <v>63</v>
      </c>
      <c r="AQ52" s="508" t="s">
        <v>64</v>
      </c>
      <c r="AR52" s="508" t="s">
        <v>65</v>
      </c>
      <c r="AS52" s="508" t="s">
        <v>66</v>
      </c>
      <c r="AT52" s="508" t="s">
        <v>387</v>
      </c>
      <c r="AU52" s="507" t="s">
        <v>422</v>
      </c>
      <c r="AV52" s="507" t="s">
        <v>423</v>
      </c>
      <c r="AW52" s="176"/>
    </row>
    <row r="53" spans="1:49" x14ac:dyDescent="0.2">
      <c r="B53" s="112">
        <v>45</v>
      </c>
      <c r="C53" s="1287"/>
      <c r="D53" s="45" t="s">
        <v>21</v>
      </c>
      <c r="E53" s="967"/>
      <c r="F53" s="980">
        <v>4800</v>
      </c>
      <c r="G53" s="33">
        <v>1382.3750079298395</v>
      </c>
      <c r="H53" s="32">
        <v>1872.0009883909206</v>
      </c>
      <c r="I53" s="45">
        <v>1911.0978127127078</v>
      </c>
      <c r="J53" s="45">
        <v>1980</v>
      </c>
      <c r="K53" s="45">
        <v>1064.267392119973</v>
      </c>
      <c r="L53" s="45">
        <v>919.6103989771367</v>
      </c>
      <c r="M53" s="32">
        <v>26.118969738435421</v>
      </c>
      <c r="N53" s="184">
        <v>145.20000000000002</v>
      </c>
      <c r="O53" s="184">
        <v>1820</v>
      </c>
      <c r="Q53" s="980">
        <v>4800</v>
      </c>
      <c r="R53" s="134">
        <v>1243.7347548345392</v>
      </c>
      <c r="S53" s="32">
        <v>1872.0009883909206</v>
      </c>
      <c r="T53" s="45">
        <v>1940.1733013820972</v>
      </c>
      <c r="U53" s="45">
        <v>1980</v>
      </c>
      <c r="V53" s="45">
        <v>642.50341006147266</v>
      </c>
      <c r="W53" s="45">
        <v>602.94694427181355</v>
      </c>
      <c r="X53" s="32">
        <v>149.2510714896404</v>
      </c>
      <c r="Y53" s="184">
        <v>145.20000000000002</v>
      </c>
      <c r="Z53" s="184">
        <v>1820</v>
      </c>
      <c r="AB53" s="980">
        <v>4800</v>
      </c>
      <c r="AC53" s="134">
        <v>1444.2630220419262</v>
      </c>
      <c r="AD53" s="32">
        <v>1879.0782465848608</v>
      </c>
      <c r="AE53" s="45">
        <v>1920.9965968545966</v>
      </c>
      <c r="AF53" s="45">
        <v>1980</v>
      </c>
      <c r="AG53" s="45">
        <v>1464.6981452864638</v>
      </c>
      <c r="AH53" s="45">
        <v>1374.7502196019154</v>
      </c>
      <c r="AI53" s="32">
        <v>2.3443233517107092</v>
      </c>
      <c r="AJ53" s="184">
        <v>123</v>
      </c>
      <c r="AK53" s="184">
        <v>1820</v>
      </c>
      <c r="AM53" s="980">
        <v>4800</v>
      </c>
      <c r="AN53" s="134">
        <v>1630.2987611801825</v>
      </c>
      <c r="AO53" s="32">
        <v>1879.0782465848608</v>
      </c>
      <c r="AP53" s="45">
        <v>1956.8615027198794</v>
      </c>
      <c r="AQ53" s="45">
        <v>1980</v>
      </c>
      <c r="AR53" s="45">
        <v>804.15730701094003</v>
      </c>
      <c r="AS53" s="45">
        <v>776.71807370813474</v>
      </c>
      <c r="AT53" s="32">
        <v>19.770353795168329</v>
      </c>
      <c r="AU53" s="184">
        <v>123</v>
      </c>
      <c r="AV53" s="184">
        <v>1820</v>
      </c>
    </row>
    <row r="54" spans="1:49" x14ac:dyDescent="0.2">
      <c r="B54" s="112">
        <v>51.428571428571431</v>
      </c>
      <c r="C54" s="1287"/>
      <c r="D54" s="45" t="s">
        <v>22</v>
      </c>
      <c r="E54" s="967"/>
      <c r="F54" s="980">
        <v>4800</v>
      </c>
      <c r="G54" s="33">
        <v>1642.8751947670462</v>
      </c>
      <c r="H54" s="32">
        <v>1874.3305977673406</v>
      </c>
      <c r="I54" s="45">
        <v>1906.3037863289194</v>
      </c>
      <c r="J54" s="45">
        <v>1980</v>
      </c>
      <c r="K54" s="45">
        <v>820.68276274291691</v>
      </c>
      <c r="L54" s="45">
        <v>693.23649805069238</v>
      </c>
      <c r="M54" s="32">
        <v>295.42747130434429</v>
      </c>
      <c r="N54" s="184">
        <v>165.94285714285718</v>
      </c>
      <c r="O54" s="184">
        <v>1820</v>
      </c>
      <c r="Q54" s="980">
        <v>4800</v>
      </c>
      <c r="R54" s="134">
        <v>1617.4399559252581</v>
      </c>
      <c r="S54" s="32">
        <v>1874.3305977673406</v>
      </c>
      <c r="T54" s="45">
        <v>1920.3099154180616</v>
      </c>
      <c r="U54" s="45">
        <v>1980</v>
      </c>
      <c r="V54" s="45">
        <v>910.33280893406891</v>
      </c>
      <c r="W54" s="45">
        <v>828.88054244744376</v>
      </c>
      <c r="X54" s="32">
        <v>352.08575231885408</v>
      </c>
      <c r="Y54" s="184">
        <v>165.94285714285718</v>
      </c>
      <c r="Z54" s="184">
        <v>1820</v>
      </c>
      <c r="AB54" s="980">
        <v>4800</v>
      </c>
      <c r="AC54" s="134">
        <v>1650.4388286078695</v>
      </c>
      <c r="AD54" s="32">
        <v>1875.9567062315698</v>
      </c>
      <c r="AE54" s="45">
        <v>1920.7783470884522</v>
      </c>
      <c r="AF54" s="45">
        <v>1980</v>
      </c>
      <c r="AG54" s="45">
        <v>1181.8113284196704</v>
      </c>
      <c r="AH54" s="45">
        <v>1076.2370216406455</v>
      </c>
      <c r="AI54" s="32">
        <v>104.98335991469391</v>
      </c>
      <c r="AJ54" s="184">
        <v>140.57142857142858</v>
      </c>
      <c r="AK54" s="184">
        <v>1820</v>
      </c>
      <c r="AM54" s="980">
        <v>4800</v>
      </c>
      <c r="AN54" s="134">
        <v>1694.5387420021777</v>
      </c>
      <c r="AO54" s="32">
        <v>1875.9567062315698</v>
      </c>
      <c r="AP54" s="45">
        <v>1929.4924718922257</v>
      </c>
      <c r="AQ54" s="45">
        <v>1980</v>
      </c>
      <c r="AR54" s="45">
        <v>943.0397042916544</v>
      </c>
      <c r="AS54" s="45">
        <v>866.09420757530143</v>
      </c>
      <c r="AT54" s="32">
        <v>143.67258723338864</v>
      </c>
      <c r="AU54" s="184">
        <v>140.57142857142858</v>
      </c>
      <c r="AV54" s="184">
        <v>1820</v>
      </c>
    </row>
    <row r="55" spans="1:49" x14ac:dyDescent="0.2">
      <c r="B55" s="112">
        <v>45</v>
      </c>
      <c r="C55" s="1287"/>
      <c r="D55" s="45" t="s">
        <v>23</v>
      </c>
      <c r="E55" s="967"/>
      <c r="F55" s="980">
        <v>4800</v>
      </c>
      <c r="G55" s="33">
        <v>1261.9156857934554</v>
      </c>
      <c r="H55" s="32">
        <v>1870.6204169204791</v>
      </c>
      <c r="I55" s="45">
        <v>1890.3807374210144</v>
      </c>
      <c r="J55" s="45">
        <v>1980</v>
      </c>
      <c r="K55" s="45">
        <v>1375.6420559062269</v>
      </c>
      <c r="L55" s="45">
        <v>1108.8411785069052</v>
      </c>
      <c r="M55" s="32">
        <v>107.27237361310847</v>
      </c>
      <c r="N55" s="184">
        <v>145.20000000000002</v>
      </c>
      <c r="O55" s="184">
        <v>1820</v>
      </c>
      <c r="Q55" s="980">
        <v>4800</v>
      </c>
      <c r="R55" s="134">
        <v>1459.1733387899874</v>
      </c>
      <c r="S55" s="32">
        <v>1870.6204169204791</v>
      </c>
      <c r="T55" s="45">
        <v>1883.7544288251638</v>
      </c>
      <c r="U55" s="45">
        <v>1980</v>
      </c>
      <c r="V55" s="45">
        <v>491.16714932349697</v>
      </c>
      <c r="W55" s="45">
        <v>246.86527250530474</v>
      </c>
      <c r="X55" s="32">
        <v>35.378035637074355</v>
      </c>
      <c r="Y55" s="184">
        <v>145.20000000000002</v>
      </c>
      <c r="Z55" s="184">
        <v>1820</v>
      </c>
      <c r="AB55" s="980">
        <v>4800</v>
      </c>
      <c r="AC55" s="134">
        <v>1678.2748311686737</v>
      </c>
      <c r="AD55" s="32">
        <v>1879.7879597988756</v>
      </c>
      <c r="AE55" s="45">
        <v>1915.4610975374358</v>
      </c>
      <c r="AF55" s="45">
        <v>1980</v>
      </c>
      <c r="AG55" s="45">
        <v>919.41099686367886</v>
      </c>
      <c r="AH55" s="45">
        <v>773.38370919492695</v>
      </c>
      <c r="AI55" s="32">
        <v>39.47028635276618</v>
      </c>
      <c r="AJ55" s="184">
        <v>123</v>
      </c>
      <c r="AK55" s="184">
        <v>1820</v>
      </c>
      <c r="AM55" s="980">
        <v>4800</v>
      </c>
      <c r="AN55" s="134">
        <v>1505.8794315097496</v>
      </c>
      <c r="AO55" s="32">
        <v>1879.7879597988756</v>
      </c>
      <c r="AP55" s="45">
        <v>1939.6787144262244</v>
      </c>
      <c r="AQ55" s="45">
        <v>1980</v>
      </c>
      <c r="AR55" s="45">
        <v>873.28894341318346</v>
      </c>
      <c r="AS55" s="45">
        <v>811.7526058098141</v>
      </c>
      <c r="AT55" s="32">
        <v>4.4251956725323573</v>
      </c>
      <c r="AU55" s="184">
        <v>123</v>
      </c>
      <c r="AV55" s="184">
        <v>1820</v>
      </c>
    </row>
    <row r="56" spans="1:49" s="213" customFormat="1" x14ac:dyDescent="0.2">
      <c r="B56" s="555" t="s">
        <v>428</v>
      </c>
      <c r="C56" s="1287"/>
      <c r="D56" s="551">
        <v>4</v>
      </c>
      <c r="E56" s="966"/>
      <c r="F56" s="982" t="s">
        <v>61</v>
      </c>
      <c r="G56" s="507" t="s">
        <v>408</v>
      </c>
      <c r="H56" s="508" t="s">
        <v>62</v>
      </c>
      <c r="I56" s="508" t="s">
        <v>63</v>
      </c>
      <c r="J56" s="508" t="s">
        <v>64</v>
      </c>
      <c r="K56" s="508" t="s">
        <v>65</v>
      </c>
      <c r="L56" s="508" t="s">
        <v>66</v>
      </c>
      <c r="M56" s="508" t="s">
        <v>387</v>
      </c>
      <c r="N56" s="507" t="s">
        <v>422</v>
      </c>
      <c r="O56" s="507" t="s">
        <v>423</v>
      </c>
      <c r="P56" s="176"/>
      <c r="Q56" s="982" t="s">
        <v>61</v>
      </c>
      <c r="R56" s="519" t="s">
        <v>408</v>
      </c>
      <c r="S56" s="508" t="s">
        <v>62</v>
      </c>
      <c r="T56" s="508" t="s">
        <v>63</v>
      </c>
      <c r="U56" s="508" t="s">
        <v>64</v>
      </c>
      <c r="V56" s="508" t="s">
        <v>65</v>
      </c>
      <c r="W56" s="508" t="s">
        <v>66</v>
      </c>
      <c r="X56" s="508" t="s">
        <v>387</v>
      </c>
      <c r="Y56" s="507" t="s">
        <v>422</v>
      </c>
      <c r="Z56" s="507" t="s">
        <v>423</v>
      </c>
      <c r="AA56" s="176"/>
      <c r="AB56" s="982" t="s">
        <v>61</v>
      </c>
      <c r="AC56" s="519" t="s">
        <v>408</v>
      </c>
      <c r="AD56" s="508" t="s">
        <v>62</v>
      </c>
      <c r="AE56" s="508" t="s">
        <v>63</v>
      </c>
      <c r="AF56" s="508" t="s">
        <v>64</v>
      </c>
      <c r="AG56" s="508" t="s">
        <v>65</v>
      </c>
      <c r="AH56" s="508" t="s">
        <v>66</v>
      </c>
      <c r="AI56" s="508" t="s">
        <v>387</v>
      </c>
      <c r="AJ56" s="507" t="s">
        <v>422</v>
      </c>
      <c r="AK56" s="507" t="s">
        <v>423</v>
      </c>
      <c r="AL56" s="176"/>
      <c r="AM56" s="982" t="s">
        <v>61</v>
      </c>
      <c r="AN56" s="519" t="s">
        <v>408</v>
      </c>
      <c r="AO56" s="508" t="s">
        <v>62</v>
      </c>
      <c r="AP56" s="508" t="s">
        <v>63</v>
      </c>
      <c r="AQ56" s="508" t="s">
        <v>64</v>
      </c>
      <c r="AR56" s="508" t="s">
        <v>65</v>
      </c>
      <c r="AS56" s="508" t="s">
        <v>66</v>
      </c>
      <c r="AT56" s="508" t="s">
        <v>387</v>
      </c>
      <c r="AU56" s="507" t="s">
        <v>422</v>
      </c>
      <c r="AV56" s="507" t="s">
        <v>423</v>
      </c>
      <c r="AW56" s="176"/>
    </row>
    <row r="57" spans="1:49" x14ac:dyDescent="0.2">
      <c r="B57" s="112">
        <v>40</v>
      </c>
      <c r="C57" s="1287"/>
      <c r="D57" s="45" t="s">
        <v>21</v>
      </c>
      <c r="E57" s="967"/>
      <c r="F57" s="980">
        <v>4800</v>
      </c>
      <c r="G57" s="33">
        <v>1363.4189806125271</v>
      </c>
      <c r="H57" s="32">
        <v>1869.4757173389121</v>
      </c>
      <c r="I57" s="45">
        <v>1909.4867174222577</v>
      </c>
      <c r="J57" s="45">
        <v>1980</v>
      </c>
      <c r="K57" s="45">
        <v>1059.9651163105048</v>
      </c>
      <c r="L57" s="45">
        <v>914.9898794222039</v>
      </c>
      <c r="M57" s="32">
        <v>17.60516924508163</v>
      </c>
      <c r="N57" s="184">
        <v>129.06666666666669</v>
      </c>
      <c r="O57" s="184">
        <v>1820</v>
      </c>
      <c r="Q57" s="980">
        <v>4800</v>
      </c>
      <c r="R57" s="134">
        <v>1221.0402039687008</v>
      </c>
      <c r="S57" s="32">
        <v>1869.4757173389121</v>
      </c>
      <c r="T57" s="45">
        <v>1939.2420594418388</v>
      </c>
      <c r="U57" s="45">
        <v>1980</v>
      </c>
      <c r="V57" s="45">
        <v>620.030970261932</v>
      </c>
      <c r="W57" s="45">
        <v>579.83274680469424</v>
      </c>
      <c r="X57" s="32">
        <v>118.52146955434776</v>
      </c>
      <c r="Y57" s="184">
        <v>129.06666666666669</v>
      </c>
      <c r="Z57" s="184">
        <v>1820</v>
      </c>
      <c r="AB57" s="980">
        <v>4800</v>
      </c>
      <c r="AC57" s="134">
        <v>1416.5326572112126</v>
      </c>
      <c r="AD57" s="32">
        <v>1877.1874752283807</v>
      </c>
      <c r="AE57" s="45">
        <v>1919.8911667483308</v>
      </c>
      <c r="AF57" s="45">
        <v>1980</v>
      </c>
      <c r="AG57" s="45">
        <v>1464.0871921446158</v>
      </c>
      <c r="AH57" s="45">
        <v>1374.417071772868</v>
      </c>
      <c r="AI57" s="32">
        <v>1.2557617088711033</v>
      </c>
      <c r="AJ57" s="184">
        <v>109.33333333333334</v>
      </c>
      <c r="AK57" s="184">
        <v>1820</v>
      </c>
      <c r="AM57" s="980">
        <v>4800</v>
      </c>
      <c r="AN57" s="134">
        <v>1612.7733545594069</v>
      </c>
      <c r="AO57" s="32">
        <v>1877.1874752283807</v>
      </c>
      <c r="AP57" s="45">
        <v>1956.4280024445789</v>
      </c>
      <c r="AQ57" s="45">
        <v>1980</v>
      </c>
      <c r="AR57" s="45">
        <v>800.04508792956494</v>
      </c>
      <c r="AS57" s="45">
        <v>772.54914829595043</v>
      </c>
      <c r="AT57" s="32">
        <v>12.978885389285871</v>
      </c>
      <c r="AU57" s="184">
        <v>109.33333333333334</v>
      </c>
      <c r="AV57" s="184">
        <v>1820</v>
      </c>
    </row>
    <row r="58" spans="1:49" x14ac:dyDescent="0.2">
      <c r="B58" s="112">
        <v>45</v>
      </c>
      <c r="C58" s="1287"/>
      <c r="D58" s="45" t="s">
        <v>22</v>
      </c>
      <c r="E58" s="967"/>
      <c r="F58" s="980">
        <v>4800</v>
      </c>
      <c r="G58" s="33">
        <v>1629.7482904813505</v>
      </c>
      <c r="H58" s="32">
        <v>1871.7304131959845</v>
      </c>
      <c r="I58" s="45">
        <v>1904.490359227922</v>
      </c>
      <c r="J58" s="45">
        <v>1980</v>
      </c>
      <c r="K58" s="45">
        <v>785.98984914291975</v>
      </c>
      <c r="L58" s="45">
        <v>654.66173863606843</v>
      </c>
      <c r="M58" s="32">
        <v>244.92714244633831</v>
      </c>
      <c r="N58" s="184">
        <v>145.20000000000002</v>
      </c>
      <c r="O58" s="184">
        <v>1820</v>
      </c>
      <c r="Q58" s="980">
        <v>4800</v>
      </c>
      <c r="R58" s="134">
        <v>1603.1332752237304</v>
      </c>
      <c r="S58" s="32">
        <v>1871.7304131959845</v>
      </c>
      <c r="T58" s="45">
        <v>1918.8411341652713</v>
      </c>
      <c r="U58" s="45">
        <v>1980</v>
      </c>
      <c r="V58" s="45">
        <v>874.39382849005915</v>
      </c>
      <c r="W58" s="45">
        <v>790.12462557762615</v>
      </c>
      <c r="X58" s="32">
        <v>297.27709728277</v>
      </c>
      <c r="Y58" s="184">
        <v>145.20000000000002</v>
      </c>
      <c r="Z58" s="184">
        <v>1820</v>
      </c>
      <c r="AB58" s="980">
        <v>4800</v>
      </c>
      <c r="AC58" s="134">
        <v>1636.2277572151536</v>
      </c>
      <c r="AD58" s="32">
        <v>1873.5200981898527</v>
      </c>
      <c r="AE58" s="45">
        <v>1919.391424870772</v>
      </c>
      <c r="AF58" s="45">
        <v>1980</v>
      </c>
      <c r="AG58" s="45">
        <v>1170.2447929692946</v>
      </c>
      <c r="AH58" s="45">
        <v>1063.2818926939758</v>
      </c>
      <c r="AI58" s="32">
        <v>78.10564647532172</v>
      </c>
      <c r="AJ58" s="184">
        <v>123</v>
      </c>
      <c r="AK58" s="184">
        <v>1820</v>
      </c>
      <c r="AM58" s="980">
        <v>4800</v>
      </c>
      <c r="AN58" s="134">
        <v>1682.6740214633835</v>
      </c>
      <c r="AO58" s="32">
        <v>1873.5200981898527</v>
      </c>
      <c r="AP58" s="45">
        <v>1928.3096272830521</v>
      </c>
      <c r="AQ58" s="45">
        <v>1980</v>
      </c>
      <c r="AR58" s="45">
        <v>924.24807563592356</v>
      </c>
      <c r="AS58" s="45">
        <v>845.95364307390093</v>
      </c>
      <c r="AT58" s="32">
        <v>110.46989544918553</v>
      </c>
      <c r="AU58" s="184">
        <v>123</v>
      </c>
      <c r="AV58" s="184">
        <v>1820</v>
      </c>
    </row>
    <row r="59" spans="1:49" x14ac:dyDescent="0.2">
      <c r="B59" s="112">
        <v>40</v>
      </c>
      <c r="C59" s="1287"/>
      <c r="D59" s="45" t="s">
        <v>23</v>
      </c>
      <c r="E59" s="967"/>
      <c r="F59" s="980">
        <v>4800</v>
      </c>
      <c r="G59" s="33">
        <v>1241.2226962373229</v>
      </c>
      <c r="H59" s="32">
        <v>1867.9716748488397</v>
      </c>
      <c r="I59" s="45">
        <v>1888.2105123704246</v>
      </c>
      <c r="J59" s="45">
        <v>1980</v>
      </c>
      <c r="K59" s="45">
        <v>1367.2555469869792</v>
      </c>
      <c r="L59" s="45">
        <v>1097.3619258440363</v>
      </c>
      <c r="M59" s="32">
        <v>82.595457003132736</v>
      </c>
      <c r="N59" s="184">
        <v>129.06666666666669</v>
      </c>
      <c r="O59" s="184">
        <v>1820</v>
      </c>
      <c r="Q59" s="980">
        <v>4800</v>
      </c>
      <c r="R59" s="134">
        <v>1443.7156977040217</v>
      </c>
      <c r="S59" s="32">
        <v>1867.9716748488397</v>
      </c>
      <c r="T59" s="45">
        <v>1881.4237407168139</v>
      </c>
      <c r="U59" s="45">
        <v>1980</v>
      </c>
      <c r="V59" s="45">
        <v>482.56287607272554</v>
      </c>
      <c r="W59" s="45">
        <v>237.20627164709089</v>
      </c>
      <c r="X59" s="32">
        <v>24.540386996893552</v>
      </c>
      <c r="Y59" s="184">
        <v>129.06666666666669</v>
      </c>
      <c r="Z59" s="184">
        <v>1820</v>
      </c>
      <c r="AB59" s="980">
        <v>4800</v>
      </c>
      <c r="AC59" s="134">
        <v>1662.6627194827022</v>
      </c>
      <c r="AD59" s="32">
        <v>1877.9609592097563</v>
      </c>
      <c r="AE59" s="45">
        <v>1914.2844663403903</v>
      </c>
      <c r="AF59" s="45">
        <v>1980</v>
      </c>
      <c r="AG59" s="45">
        <v>912.79739127015921</v>
      </c>
      <c r="AH59" s="45">
        <v>766.0422904895662</v>
      </c>
      <c r="AI59" s="32">
        <v>27.663516258047292</v>
      </c>
      <c r="AJ59" s="184">
        <v>109.33333333333334</v>
      </c>
      <c r="AK59" s="184">
        <v>1820</v>
      </c>
      <c r="AM59" s="980">
        <v>4800</v>
      </c>
      <c r="AN59" s="134">
        <v>1479.7113219197174</v>
      </c>
      <c r="AO59" s="32">
        <v>1877.9609592097563</v>
      </c>
      <c r="AP59" s="45">
        <v>1938.943603032928</v>
      </c>
      <c r="AQ59" s="45">
        <v>1980</v>
      </c>
      <c r="AR59" s="45">
        <v>872.12142182484115</v>
      </c>
      <c r="AS59" s="45">
        <v>810.62540410432644</v>
      </c>
      <c r="AT59" s="32">
        <v>2.5190315331292958</v>
      </c>
      <c r="AU59" s="184">
        <v>109.33333333333334</v>
      </c>
      <c r="AV59" s="184">
        <v>1820</v>
      </c>
    </row>
    <row r="60" spans="1:49" s="213" customFormat="1" x14ac:dyDescent="0.2">
      <c r="B60" s="555" t="s">
        <v>428</v>
      </c>
      <c r="C60" s="1287"/>
      <c r="D60" s="551" t="s">
        <v>411</v>
      </c>
      <c r="E60" s="966"/>
      <c r="F60" s="982" t="s">
        <v>61</v>
      </c>
      <c r="G60" s="507" t="s">
        <v>408</v>
      </c>
      <c r="H60" s="508" t="s">
        <v>62</v>
      </c>
      <c r="I60" s="508" t="s">
        <v>63</v>
      </c>
      <c r="J60" s="508" t="s">
        <v>64</v>
      </c>
      <c r="K60" s="508" t="s">
        <v>65</v>
      </c>
      <c r="L60" s="508" t="s">
        <v>66</v>
      </c>
      <c r="M60" s="508"/>
      <c r="N60" s="507" t="s">
        <v>422</v>
      </c>
      <c r="O60" s="507" t="s">
        <v>423</v>
      </c>
      <c r="P60" s="176"/>
      <c r="Q60" s="982" t="s">
        <v>61</v>
      </c>
      <c r="R60" s="519" t="s">
        <v>408</v>
      </c>
      <c r="S60" s="508" t="s">
        <v>62</v>
      </c>
      <c r="T60" s="508" t="s">
        <v>63</v>
      </c>
      <c r="U60" s="508" t="s">
        <v>64</v>
      </c>
      <c r="V60" s="508" t="s">
        <v>65</v>
      </c>
      <c r="W60" s="508" t="s">
        <v>66</v>
      </c>
      <c r="X60" s="508"/>
      <c r="Y60" s="507" t="s">
        <v>422</v>
      </c>
      <c r="Z60" s="507" t="s">
        <v>423</v>
      </c>
      <c r="AA60" s="176"/>
      <c r="AB60" s="982" t="s">
        <v>61</v>
      </c>
      <c r="AC60" s="519" t="s">
        <v>408</v>
      </c>
      <c r="AD60" s="508" t="s">
        <v>62</v>
      </c>
      <c r="AE60" s="508" t="s">
        <v>63</v>
      </c>
      <c r="AF60" s="508" t="s">
        <v>64</v>
      </c>
      <c r="AG60" s="508" t="s">
        <v>65</v>
      </c>
      <c r="AH60" s="508" t="s">
        <v>66</v>
      </c>
      <c r="AI60" s="508"/>
      <c r="AJ60" s="507" t="s">
        <v>422</v>
      </c>
      <c r="AK60" s="507" t="s">
        <v>423</v>
      </c>
      <c r="AL60" s="176"/>
      <c r="AM60" s="982" t="s">
        <v>61</v>
      </c>
      <c r="AN60" s="519" t="s">
        <v>408</v>
      </c>
      <c r="AO60" s="508" t="s">
        <v>62</v>
      </c>
      <c r="AP60" s="508" t="s">
        <v>63</v>
      </c>
      <c r="AQ60" s="508" t="s">
        <v>64</v>
      </c>
      <c r="AR60" s="508" t="s">
        <v>65</v>
      </c>
      <c r="AS60" s="508" t="s">
        <v>66</v>
      </c>
      <c r="AT60" s="508"/>
      <c r="AU60" s="507" t="s">
        <v>422</v>
      </c>
      <c r="AV60" s="507" t="s">
        <v>423</v>
      </c>
      <c r="AW60" s="176"/>
    </row>
    <row r="61" spans="1:49" x14ac:dyDescent="0.2">
      <c r="B61" s="112">
        <v>36</v>
      </c>
      <c r="C61" s="1287"/>
      <c r="D61" s="45" t="s">
        <v>21</v>
      </c>
      <c r="E61" s="967"/>
      <c r="F61" s="980">
        <v>4800</v>
      </c>
      <c r="G61" s="33">
        <v>1230.7830938411512</v>
      </c>
      <c r="H61" s="32">
        <v>1808.1368049375617</v>
      </c>
      <c r="I61" s="45">
        <v>1870.3531627044167</v>
      </c>
      <c r="J61" s="45">
        <v>1980</v>
      </c>
      <c r="K61" s="45">
        <v>1880.2514803171521</v>
      </c>
      <c r="L61" s="45">
        <v>1893.1664960476401</v>
      </c>
      <c r="M61" s="32"/>
      <c r="N61" s="184">
        <v>64.533333333333346</v>
      </c>
      <c r="O61" s="184">
        <v>1820</v>
      </c>
      <c r="Q61" s="980">
        <v>4800</v>
      </c>
      <c r="R61" s="134">
        <v>1136.3008946789232</v>
      </c>
      <c r="S61" s="32">
        <v>1852.8991914380708</v>
      </c>
      <c r="T61" s="45">
        <v>1933.1291488573017</v>
      </c>
      <c r="U61" s="45">
        <v>1980</v>
      </c>
      <c r="V61" s="45">
        <v>1859.4407119598429</v>
      </c>
      <c r="W61" s="45">
        <v>1859.6511714493879</v>
      </c>
      <c r="X61" s="32"/>
      <c r="Y61" s="184">
        <v>64.533333333333346</v>
      </c>
      <c r="Z61" s="184">
        <v>1820</v>
      </c>
      <c r="AB61" s="980">
        <v>4800</v>
      </c>
      <c r="AC61" s="134">
        <v>1268.6045223465528</v>
      </c>
      <c r="AD61" s="32">
        <v>1853.1115317219005</v>
      </c>
      <c r="AE61" s="45">
        <v>1905.8152856548329</v>
      </c>
      <c r="AF61" s="45">
        <v>1980</v>
      </c>
      <c r="AG61" s="45">
        <v>1917.1355069422646</v>
      </c>
      <c r="AH61" s="45">
        <v>1931.0329497661508</v>
      </c>
      <c r="AI61" s="32"/>
      <c r="AJ61" s="184">
        <v>54.666666666666671</v>
      </c>
      <c r="AK61" s="184">
        <v>1820</v>
      </c>
      <c r="AM61" s="980">
        <v>4800</v>
      </c>
      <c r="AN61" s="134">
        <v>1555.4947498968716</v>
      </c>
      <c r="AO61" s="32">
        <v>1867.3065712157397</v>
      </c>
      <c r="AP61" s="45">
        <v>1954.1625912434758</v>
      </c>
      <c r="AQ61" s="45">
        <v>1980</v>
      </c>
      <c r="AR61" s="45">
        <v>1881.4240385498044</v>
      </c>
      <c r="AS61" s="45">
        <v>1881.7844115461453</v>
      </c>
      <c r="AT61" s="32"/>
      <c r="AU61" s="184">
        <v>54.666666666666671</v>
      </c>
      <c r="AV61" s="184">
        <v>1820</v>
      </c>
    </row>
    <row r="62" spans="1:49" x14ac:dyDescent="0.2">
      <c r="B62" s="112">
        <v>40</v>
      </c>
      <c r="C62" s="1287"/>
      <c r="D62" s="45" t="s">
        <v>22</v>
      </c>
      <c r="E62" s="967"/>
      <c r="F62" s="980">
        <v>4800</v>
      </c>
      <c r="G62" s="33">
        <v>1563.1405558571969</v>
      </c>
      <c r="H62" s="32">
        <v>1840.2813853169953</v>
      </c>
      <c r="I62" s="45">
        <v>1882.5571010723133</v>
      </c>
      <c r="J62" s="45">
        <v>1980</v>
      </c>
      <c r="K62" s="45">
        <v>1855.8951406254312</v>
      </c>
      <c r="L62" s="45">
        <v>1857.783736345682</v>
      </c>
      <c r="M62" s="32"/>
      <c r="N62" s="184">
        <v>72.600000000000009</v>
      </c>
      <c r="O62" s="184">
        <v>1820</v>
      </c>
      <c r="Q62" s="980">
        <v>4800</v>
      </c>
      <c r="R62" s="134">
        <v>1544.5059629630755</v>
      </c>
      <c r="S62" s="32">
        <v>1850.8731945955205</v>
      </c>
      <c r="T62" s="45">
        <v>1907.0593968212431</v>
      </c>
      <c r="U62" s="45">
        <v>1980</v>
      </c>
      <c r="V62" s="45">
        <v>1865.6162074521947</v>
      </c>
      <c r="W62" s="45">
        <v>1866.8619072099407</v>
      </c>
      <c r="X62" s="32"/>
      <c r="Y62" s="184">
        <v>72.600000000000009</v>
      </c>
      <c r="Z62" s="184">
        <v>1820</v>
      </c>
      <c r="AB62" s="980">
        <v>4800</v>
      </c>
      <c r="AC62" s="134">
        <v>1576.8909805787143</v>
      </c>
      <c r="AD62" s="32">
        <v>1853.3251322451474</v>
      </c>
      <c r="AE62" s="45">
        <v>1907.8964094745872</v>
      </c>
      <c r="AF62" s="45">
        <v>1980</v>
      </c>
      <c r="AG62" s="45">
        <v>1896.3376895126567</v>
      </c>
      <c r="AH62" s="45">
        <v>1902.8795769348917</v>
      </c>
      <c r="AI62" s="32"/>
      <c r="AJ62" s="184">
        <v>61.5</v>
      </c>
      <c r="AK62" s="184">
        <v>1820</v>
      </c>
      <c r="AM62" s="980">
        <v>4800</v>
      </c>
      <c r="AN62" s="134">
        <v>1636.2793314335804</v>
      </c>
      <c r="AO62" s="32">
        <v>1855.6365476677893</v>
      </c>
      <c r="AP62" s="45">
        <v>1919.6281073316527</v>
      </c>
      <c r="AQ62" s="45">
        <v>1980</v>
      </c>
      <c r="AR62" s="45">
        <v>1880.8641734847808</v>
      </c>
      <c r="AS62" s="45">
        <v>1882.944907564475</v>
      </c>
      <c r="AT62" s="32"/>
      <c r="AU62" s="184">
        <v>61.5</v>
      </c>
      <c r="AV62" s="184">
        <v>1820</v>
      </c>
    </row>
    <row r="63" spans="1:49" s="168" customFormat="1" x14ac:dyDescent="0.2">
      <c r="B63" s="112">
        <v>36</v>
      </c>
      <c r="C63" s="1288"/>
      <c r="D63" s="510" t="s">
        <v>23</v>
      </c>
      <c r="E63" s="968"/>
      <c r="F63" s="993">
        <v>4800</v>
      </c>
      <c r="G63" s="174">
        <v>1128.4463153943859</v>
      </c>
      <c r="H63" s="422">
        <v>1833.4386036761971</v>
      </c>
      <c r="I63" s="510">
        <v>1859.9161242776315</v>
      </c>
      <c r="J63" s="510">
        <v>1980</v>
      </c>
      <c r="K63" s="510">
        <v>1880.3077350277872</v>
      </c>
      <c r="L63" s="510">
        <v>1905.5709108602114</v>
      </c>
      <c r="M63" s="422"/>
      <c r="N63" s="531">
        <v>64.533333333333346</v>
      </c>
      <c r="O63" s="531">
        <v>1820</v>
      </c>
      <c r="P63" s="420"/>
      <c r="Q63" s="993">
        <v>4800</v>
      </c>
      <c r="R63" s="172">
        <v>1376.5310765649474</v>
      </c>
      <c r="S63" s="422">
        <v>1846.3364480896792</v>
      </c>
      <c r="T63" s="510">
        <v>1862.3864149352862</v>
      </c>
      <c r="U63" s="510">
        <v>1980</v>
      </c>
      <c r="V63" s="510">
        <v>1838.7452030857971</v>
      </c>
      <c r="W63" s="510">
        <v>1837.4007897262452</v>
      </c>
      <c r="X63" s="422"/>
      <c r="Y63" s="531">
        <v>64.533333333333346</v>
      </c>
      <c r="Z63" s="531">
        <v>1820</v>
      </c>
      <c r="AA63" s="420"/>
      <c r="AB63" s="993">
        <v>4800</v>
      </c>
      <c r="AC63" s="172">
        <v>1612.0528863413313</v>
      </c>
      <c r="AD63" s="422">
        <v>1868.5673871907768</v>
      </c>
      <c r="AE63" s="510">
        <v>1908.2347858120704</v>
      </c>
      <c r="AF63" s="510">
        <v>1980</v>
      </c>
      <c r="AG63" s="510">
        <v>1878.9358701682931</v>
      </c>
      <c r="AH63" s="510">
        <v>1880.5124192785704</v>
      </c>
      <c r="AI63" s="422"/>
      <c r="AJ63" s="531">
        <v>54.666666666666671</v>
      </c>
      <c r="AK63" s="531">
        <v>1820</v>
      </c>
      <c r="AL63" s="420"/>
      <c r="AM63" s="993">
        <v>4800</v>
      </c>
      <c r="AN63" s="172">
        <v>1319.2729821876133</v>
      </c>
      <c r="AO63" s="422">
        <v>1846.1161847437352</v>
      </c>
      <c r="AP63" s="510">
        <v>1926.1305494048418</v>
      </c>
      <c r="AQ63" s="510">
        <v>1980</v>
      </c>
      <c r="AR63" s="510">
        <v>1883.122199456807</v>
      </c>
      <c r="AS63" s="510">
        <v>1885.3847099785919</v>
      </c>
      <c r="AT63" s="422"/>
      <c r="AU63" s="531">
        <v>54.666666666666671</v>
      </c>
      <c r="AV63" s="531">
        <v>1820</v>
      </c>
      <c r="AW63" s="420"/>
    </row>
    <row r="64" spans="1:49" s="1010" customFormat="1" ht="15" x14ac:dyDescent="0.25">
      <c r="A64" s="756" t="s">
        <v>244</v>
      </c>
      <c r="B64" s="757"/>
      <c r="C64" s="526" t="s">
        <v>546</v>
      </c>
      <c r="D64" s="527"/>
      <c r="E64" s="969"/>
      <c r="F64" s="994"/>
      <c r="N64" s="1011"/>
      <c r="P64" s="1012"/>
      <c r="Q64" s="994"/>
      <c r="Y64" s="1011"/>
      <c r="AA64" s="1012"/>
      <c r="AB64" s="994"/>
      <c r="AJ64" s="1011"/>
      <c r="AL64" s="1012"/>
      <c r="AM64" s="994"/>
      <c r="AU64" s="1011"/>
      <c r="AW64" s="1012"/>
    </row>
    <row r="65" spans="1:49" s="213" customFormat="1" ht="12.75" customHeight="1" x14ac:dyDescent="0.2">
      <c r="A65" s="170" t="s">
        <v>478</v>
      </c>
      <c r="B65" s="532">
        <v>5.6</v>
      </c>
      <c r="C65" s="1285" t="s">
        <v>431</v>
      </c>
      <c r="D65" s="185" t="s">
        <v>405</v>
      </c>
      <c r="E65" s="966"/>
      <c r="F65" s="982" t="s">
        <v>61</v>
      </c>
      <c r="G65" s="507" t="s">
        <v>273</v>
      </c>
      <c r="H65" s="508" t="s">
        <v>62</v>
      </c>
      <c r="I65" s="576" t="s">
        <v>504</v>
      </c>
      <c r="J65" s="508" t="s">
        <v>64</v>
      </c>
      <c r="K65" s="576" t="s">
        <v>505</v>
      </c>
      <c r="L65" s="576" t="s">
        <v>506</v>
      </c>
      <c r="M65" s="519" t="s">
        <v>387</v>
      </c>
      <c r="N65" s="507"/>
      <c r="O65" s="507"/>
      <c r="P65" s="175"/>
      <c r="Q65" s="982" t="s">
        <v>61</v>
      </c>
      <c r="R65" s="519" t="s">
        <v>273</v>
      </c>
      <c r="S65" s="508" t="s">
        <v>62</v>
      </c>
      <c r="T65" s="576" t="s">
        <v>504</v>
      </c>
      <c r="U65" s="508" t="s">
        <v>64</v>
      </c>
      <c r="V65" s="576" t="s">
        <v>505</v>
      </c>
      <c r="W65" s="576" t="s">
        <v>506</v>
      </c>
      <c r="X65" s="519" t="s">
        <v>387</v>
      </c>
      <c r="Y65" s="507"/>
      <c r="Z65" s="507"/>
      <c r="AA65" s="175"/>
      <c r="AB65" s="982" t="s">
        <v>61</v>
      </c>
      <c r="AC65" s="519" t="s">
        <v>273</v>
      </c>
      <c r="AD65" s="508" t="s">
        <v>62</v>
      </c>
      <c r="AE65" s="576" t="s">
        <v>504</v>
      </c>
      <c r="AF65" s="508" t="s">
        <v>64</v>
      </c>
      <c r="AG65" s="576" t="s">
        <v>505</v>
      </c>
      <c r="AH65" s="576" t="s">
        <v>506</v>
      </c>
      <c r="AI65" s="519" t="s">
        <v>387</v>
      </c>
      <c r="AJ65" s="507"/>
      <c r="AK65" s="507"/>
      <c r="AL65" s="175"/>
      <c r="AM65" s="982" t="s">
        <v>61</v>
      </c>
      <c r="AN65" s="519" t="s">
        <v>273</v>
      </c>
      <c r="AO65" s="508" t="s">
        <v>62</v>
      </c>
      <c r="AP65" s="576" t="s">
        <v>504</v>
      </c>
      <c r="AQ65" s="508" t="s">
        <v>64</v>
      </c>
      <c r="AR65" s="576" t="s">
        <v>505</v>
      </c>
      <c r="AS65" s="576" t="s">
        <v>506</v>
      </c>
      <c r="AT65" s="519" t="s">
        <v>387</v>
      </c>
      <c r="AU65" s="507"/>
      <c r="AV65" s="507"/>
      <c r="AW65" s="175"/>
    </row>
    <row r="66" spans="1:49" x14ac:dyDescent="0.2">
      <c r="A66" s="170" t="s">
        <v>51</v>
      </c>
      <c r="B66" s="416">
        <v>4.4000000000000004</v>
      </c>
      <c r="C66" s="1285"/>
      <c r="D66" s="45" t="s">
        <v>21</v>
      </c>
      <c r="E66" s="965"/>
      <c r="F66" s="980">
        <v>14400</v>
      </c>
      <c r="G66" s="33">
        <v>920.127239493611</v>
      </c>
      <c r="H66" s="32">
        <v>0.18903849642768564</v>
      </c>
      <c r="I66" s="134">
        <v>0</v>
      </c>
      <c r="J66" s="32">
        <v>3934.2082961049928</v>
      </c>
      <c r="K66" s="134">
        <v>0</v>
      </c>
      <c r="L66" s="134">
        <v>0</v>
      </c>
      <c r="M66" s="134">
        <v>710.62061572986545</v>
      </c>
      <c r="N66" s="184"/>
      <c r="O66" s="184"/>
      <c r="Q66" s="980">
        <v>14400</v>
      </c>
      <c r="R66" s="134">
        <v>0</v>
      </c>
      <c r="S66" s="32">
        <v>241.38018925315026</v>
      </c>
      <c r="T66" s="134">
        <v>3959.9664001158253</v>
      </c>
      <c r="U66" s="32">
        <v>3718.5862108626752</v>
      </c>
      <c r="V66" s="134">
        <v>0</v>
      </c>
      <c r="W66" s="134">
        <v>0</v>
      </c>
      <c r="X66" s="134">
        <v>987.86715926651277</v>
      </c>
      <c r="Y66" s="184"/>
      <c r="Z66" s="184"/>
      <c r="AB66" s="980">
        <v>14400</v>
      </c>
      <c r="AC66" s="134">
        <v>0</v>
      </c>
      <c r="AD66" s="32">
        <v>793.93380172183311</v>
      </c>
      <c r="AE66" s="134">
        <v>5870.3114470230912</v>
      </c>
      <c r="AF66" s="32">
        <v>5076.3776453012579</v>
      </c>
      <c r="AG66" s="134">
        <v>0</v>
      </c>
      <c r="AH66" s="134">
        <v>0</v>
      </c>
      <c r="AI66" s="134">
        <v>219.52780117514703</v>
      </c>
      <c r="AJ66" s="184"/>
      <c r="AK66" s="184"/>
      <c r="AM66" s="980">
        <v>14400</v>
      </c>
      <c r="AN66" s="134">
        <v>1108.7912796715357</v>
      </c>
      <c r="AO66" s="32">
        <v>0.18903849642768564</v>
      </c>
      <c r="AP66" s="134">
        <v>0</v>
      </c>
      <c r="AQ66" s="32">
        <v>5844.0672282334663</v>
      </c>
      <c r="AR66" s="134">
        <v>0</v>
      </c>
      <c r="AS66" s="134">
        <v>0</v>
      </c>
      <c r="AT66" s="134">
        <v>392.43326375949897</v>
      </c>
      <c r="AU66" s="184"/>
      <c r="AV66" s="184"/>
    </row>
    <row r="67" spans="1:49" x14ac:dyDescent="0.2">
      <c r="A67" s="170" t="s">
        <v>408</v>
      </c>
      <c r="B67" s="416">
        <v>4.8</v>
      </c>
      <c r="C67" s="1285"/>
      <c r="D67" s="45" t="s">
        <v>22</v>
      </c>
      <c r="E67" s="965"/>
      <c r="F67" s="980">
        <v>14400</v>
      </c>
      <c r="G67" s="33">
        <v>1162.2042567560841</v>
      </c>
      <c r="H67" s="32">
        <v>0.18903849642768564</v>
      </c>
      <c r="I67" s="134">
        <v>0</v>
      </c>
      <c r="J67" s="32">
        <v>3934.2082961049928</v>
      </c>
      <c r="K67" s="134">
        <v>0</v>
      </c>
      <c r="L67" s="134">
        <v>0</v>
      </c>
      <c r="M67" s="134">
        <v>1151.0238716135864</v>
      </c>
      <c r="N67" s="184"/>
      <c r="O67" s="184"/>
      <c r="Q67" s="980">
        <v>14400</v>
      </c>
      <c r="R67" s="134">
        <v>0</v>
      </c>
      <c r="S67" s="32">
        <v>496.48502467937368</v>
      </c>
      <c r="T67" s="134">
        <v>3938.470161172218</v>
      </c>
      <c r="U67" s="32">
        <v>3441.985136492844</v>
      </c>
      <c r="V67" s="134">
        <v>0</v>
      </c>
      <c r="W67" s="134">
        <v>0</v>
      </c>
      <c r="X67" s="134">
        <v>1218.4416266390724</v>
      </c>
      <c r="Y67" s="184"/>
      <c r="Z67" s="184"/>
      <c r="AB67" s="980">
        <v>14400</v>
      </c>
      <c r="AC67" s="134">
        <v>0</v>
      </c>
      <c r="AD67" s="32">
        <v>751.70223362753597</v>
      </c>
      <c r="AE67" s="134">
        <v>5872.0042349180203</v>
      </c>
      <c r="AF67" s="32">
        <v>5120.3020012904835</v>
      </c>
      <c r="AG67" s="134">
        <v>0</v>
      </c>
      <c r="AH67" s="134">
        <v>0</v>
      </c>
      <c r="AI67" s="134">
        <v>819.57258936152152</v>
      </c>
      <c r="AJ67" s="184"/>
      <c r="AK67" s="184"/>
      <c r="AM67" s="980">
        <v>14400</v>
      </c>
      <c r="AN67" s="134">
        <v>1207.9434044800939</v>
      </c>
      <c r="AO67" s="32">
        <v>0.18903849642768564</v>
      </c>
      <c r="AP67" s="134">
        <v>0</v>
      </c>
      <c r="AQ67" s="32">
        <v>5844.0672282334663</v>
      </c>
      <c r="AR67" s="134">
        <v>0</v>
      </c>
      <c r="AS67" s="134">
        <v>0</v>
      </c>
      <c r="AT67" s="134">
        <v>874.41705702721424</v>
      </c>
      <c r="AU67" s="184"/>
      <c r="AV67" s="184"/>
    </row>
    <row r="68" spans="1:49" x14ac:dyDescent="0.2">
      <c r="A68" s="533" t="s">
        <v>274</v>
      </c>
      <c r="B68" s="416">
        <v>2.5</v>
      </c>
      <c r="C68" s="1285"/>
      <c r="D68" s="45" t="s">
        <v>23</v>
      </c>
      <c r="E68" s="965"/>
      <c r="F68" s="980">
        <v>14400</v>
      </c>
      <c r="G68" s="33">
        <v>819.88078127812673</v>
      </c>
      <c r="H68" s="32">
        <v>0.18903849642768564</v>
      </c>
      <c r="I68" s="134">
        <v>0</v>
      </c>
      <c r="J68" s="32">
        <v>3934.2082961049928</v>
      </c>
      <c r="K68" s="134">
        <v>0</v>
      </c>
      <c r="L68" s="134">
        <v>0</v>
      </c>
      <c r="M68" s="134">
        <v>1085.8558846645205</v>
      </c>
      <c r="N68" s="184"/>
      <c r="O68" s="184"/>
      <c r="Q68" s="980">
        <v>14400</v>
      </c>
      <c r="R68" s="134">
        <v>0</v>
      </c>
      <c r="S68" s="32">
        <v>1752.0803788596763</v>
      </c>
      <c r="T68" s="134">
        <v>3903.9362872105321</v>
      </c>
      <c r="U68" s="32">
        <v>2151.8559083508562</v>
      </c>
      <c r="V68" s="134">
        <v>0</v>
      </c>
      <c r="W68" s="134">
        <v>0</v>
      </c>
      <c r="X68" s="134">
        <v>717.53843856345304</v>
      </c>
      <c r="Y68" s="184"/>
      <c r="Z68" s="184"/>
      <c r="AB68" s="980">
        <v>14400</v>
      </c>
      <c r="AC68" s="134">
        <v>0</v>
      </c>
      <c r="AD68" s="32">
        <v>981.44759923540607</v>
      </c>
      <c r="AE68" s="134">
        <v>5863.8026826537289</v>
      </c>
      <c r="AF68" s="32">
        <v>4882.3550834183234</v>
      </c>
      <c r="AG68" s="134">
        <v>0</v>
      </c>
      <c r="AH68" s="134">
        <v>0</v>
      </c>
      <c r="AI68" s="134">
        <v>506.45651252119194</v>
      </c>
      <c r="AJ68" s="184"/>
      <c r="AK68" s="184"/>
      <c r="AM68" s="980">
        <v>14400</v>
      </c>
      <c r="AN68" s="134">
        <v>955.62681433895079</v>
      </c>
      <c r="AO68" s="32">
        <v>0.18903849642768564</v>
      </c>
      <c r="AP68" s="134">
        <v>0</v>
      </c>
      <c r="AQ68" s="32">
        <v>5844.0672282334663</v>
      </c>
      <c r="AR68" s="134">
        <v>0</v>
      </c>
      <c r="AS68" s="134">
        <v>0</v>
      </c>
      <c r="AT68" s="134">
        <v>248.47241513062701</v>
      </c>
      <c r="AU68" s="184"/>
      <c r="AV68" s="184"/>
    </row>
    <row r="69" spans="1:49" s="213" customFormat="1" x14ac:dyDescent="0.2">
      <c r="A69" s="170" t="s">
        <v>243</v>
      </c>
      <c r="B69" s="532">
        <v>4.5999999999999996</v>
      </c>
      <c r="C69" s="1285"/>
      <c r="D69" s="185" t="s">
        <v>426</v>
      </c>
      <c r="E69" s="966"/>
      <c r="F69" s="982" t="s">
        <v>61</v>
      </c>
      <c r="G69" s="507" t="s">
        <v>273</v>
      </c>
      <c r="H69" s="508" t="s">
        <v>62</v>
      </c>
      <c r="I69" s="576" t="s">
        <v>446</v>
      </c>
      <c r="J69" s="508" t="s">
        <v>64</v>
      </c>
      <c r="K69" s="576" t="s">
        <v>447</v>
      </c>
      <c r="L69" s="576" t="s">
        <v>448</v>
      </c>
      <c r="M69" s="519" t="s">
        <v>387</v>
      </c>
      <c r="N69" s="735" t="s">
        <v>478</v>
      </c>
      <c r="O69" s="736" t="s">
        <v>51</v>
      </c>
      <c r="P69" s="175"/>
      <c r="Q69" s="982" t="s">
        <v>61</v>
      </c>
      <c r="R69" s="519" t="s">
        <v>273</v>
      </c>
      <c r="S69" s="508" t="s">
        <v>62</v>
      </c>
      <c r="T69" s="576" t="s">
        <v>446</v>
      </c>
      <c r="U69" s="508" t="s">
        <v>64</v>
      </c>
      <c r="V69" s="576" t="s">
        <v>447</v>
      </c>
      <c r="W69" s="576" t="s">
        <v>448</v>
      </c>
      <c r="X69" s="519" t="s">
        <v>387</v>
      </c>
      <c r="Y69" s="735" t="s">
        <v>478</v>
      </c>
      <c r="Z69" s="736" t="s">
        <v>51</v>
      </c>
      <c r="AA69" s="175"/>
      <c r="AB69" s="982" t="s">
        <v>61</v>
      </c>
      <c r="AC69" s="519" t="s">
        <v>273</v>
      </c>
      <c r="AD69" s="508" t="s">
        <v>62</v>
      </c>
      <c r="AE69" s="576" t="s">
        <v>446</v>
      </c>
      <c r="AF69" s="508" t="s">
        <v>64</v>
      </c>
      <c r="AG69" s="576" t="s">
        <v>447</v>
      </c>
      <c r="AH69" s="576" t="s">
        <v>448</v>
      </c>
      <c r="AI69" s="519" t="s">
        <v>387</v>
      </c>
      <c r="AJ69" s="735" t="s">
        <v>478</v>
      </c>
      <c r="AK69" s="736" t="s">
        <v>51</v>
      </c>
      <c r="AL69" s="175"/>
      <c r="AM69" s="982" t="s">
        <v>61</v>
      </c>
      <c r="AN69" s="519" t="s">
        <v>273</v>
      </c>
      <c r="AO69" s="508" t="s">
        <v>62</v>
      </c>
      <c r="AP69" s="576" t="s">
        <v>446</v>
      </c>
      <c r="AQ69" s="508" t="s">
        <v>64</v>
      </c>
      <c r="AR69" s="576" t="s">
        <v>447</v>
      </c>
      <c r="AS69" s="576" t="s">
        <v>448</v>
      </c>
      <c r="AT69" s="519" t="s">
        <v>387</v>
      </c>
      <c r="AU69" s="735" t="s">
        <v>478</v>
      </c>
      <c r="AV69" s="736" t="s">
        <v>51</v>
      </c>
      <c r="AW69" s="175"/>
    </row>
    <row r="70" spans="1:49" x14ac:dyDescent="0.2">
      <c r="A70" s="170" t="s">
        <v>58</v>
      </c>
      <c r="B70" s="416">
        <v>4.5999999999999996</v>
      </c>
      <c r="C70" s="1285"/>
      <c r="D70" s="45" t="s">
        <v>21</v>
      </c>
      <c r="E70" s="967"/>
      <c r="F70" s="980">
        <v>17.891622565180398</v>
      </c>
      <c r="G70" s="33">
        <v>920.127239493611</v>
      </c>
      <c r="H70" s="32">
        <v>6.4445381560437498E-2</v>
      </c>
      <c r="I70" s="134">
        <v>0</v>
      </c>
      <c r="J70" s="32">
        <v>8.241887452766786</v>
      </c>
      <c r="K70" s="134">
        <v>0</v>
      </c>
      <c r="L70" s="134">
        <v>0</v>
      </c>
      <c r="M70" s="134">
        <v>2.8910507228547471</v>
      </c>
      <c r="N70" s="173">
        <v>234.21466425686251</v>
      </c>
      <c r="O70" s="184">
        <v>690.82836439867981</v>
      </c>
      <c r="Q70" s="980">
        <v>17.891622565180398</v>
      </c>
      <c r="R70" s="134">
        <v>0</v>
      </c>
      <c r="S70" s="32">
        <v>0.66374230098399145</v>
      </c>
      <c r="T70" s="134">
        <v>10.889034507614911</v>
      </c>
      <c r="U70" s="32">
        <v>10.22529220663092</v>
      </c>
      <c r="V70" s="134">
        <v>0</v>
      </c>
      <c r="W70" s="134">
        <v>0</v>
      </c>
      <c r="X70" s="134">
        <v>2.4851960732551275</v>
      </c>
      <c r="Y70" s="173">
        <v>108.0405765224985</v>
      </c>
      <c r="Z70" s="184">
        <v>393.55760817039527</v>
      </c>
      <c r="AB70" s="980">
        <v>21.837199584593517</v>
      </c>
      <c r="AC70" s="134">
        <v>0</v>
      </c>
      <c r="AD70" s="32">
        <v>28.953217092990368</v>
      </c>
      <c r="AE70" s="134">
        <v>214.07880778034391</v>
      </c>
      <c r="AF70" s="32">
        <v>185.12559068735354</v>
      </c>
      <c r="AG70" s="134">
        <v>0</v>
      </c>
      <c r="AH70" s="134">
        <v>0</v>
      </c>
      <c r="AI70" s="134">
        <v>3.0332476811877744</v>
      </c>
      <c r="AJ70" s="173">
        <v>293.03956529333919</v>
      </c>
      <c r="AK70" s="184">
        <v>812.26070917039976</v>
      </c>
      <c r="AM70" s="980">
        <v>72.057733846339659</v>
      </c>
      <c r="AN70" s="134">
        <v>1108.7912796715357</v>
      </c>
      <c r="AO70" s="32">
        <v>7.8950481379586296E-2</v>
      </c>
      <c r="AP70" s="134">
        <v>0</v>
      </c>
      <c r="AQ70" s="32">
        <v>193.80995833274793</v>
      </c>
      <c r="AR70" s="134">
        <v>0</v>
      </c>
      <c r="AS70" s="134">
        <v>0</v>
      </c>
      <c r="AT70" s="134">
        <v>10.009019391628375</v>
      </c>
      <c r="AU70" s="173">
        <v>749.9715580949694</v>
      </c>
      <c r="AV70" s="184">
        <v>1593.313053046847</v>
      </c>
    </row>
    <row r="71" spans="1:49" x14ac:dyDescent="0.2">
      <c r="A71" s="170" t="s">
        <v>52</v>
      </c>
      <c r="B71" s="416">
        <v>6.2</v>
      </c>
      <c r="C71" s="1285"/>
      <c r="D71" s="45" t="s">
        <v>22</v>
      </c>
      <c r="E71" s="967"/>
      <c r="F71" s="980">
        <v>555.07993424362803</v>
      </c>
      <c r="G71" s="33">
        <v>1162.2042567560841</v>
      </c>
      <c r="H71" s="32">
        <v>8.4047821455974711E-2</v>
      </c>
      <c r="I71" s="134">
        <v>0</v>
      </c>
      <c r="J71" s="32">
        <v>210.29185161026041</v>
      </c>
      <c r="K71" s="134">
        <v>0</v>
      </c>
      <c r="L71" s="134">
        <v>0</v>
      </c>
      <c r="M71" s="134">
        <v>77.102144755146142</v>
      </c>
      <c r="N71" s="173">
        <v>637.67486453741333</v>
      </c>
      <c r="O71" s="184">
        <v>1419.2964285183341</v>
      </c>
      <c r="Q71" s="980">
        <v>542.1241420298353</v>
      </c>
      <c r="R71" s="134">
        <v>0</v>
      </c>
      <c r="S71" s="32">
        <v>26.80196162573808</v>
      </c>
      <c r="T71" s="134">
        <v>212.61210485053664</v>
      </c>
      <c r="U71" s="32">
        <v>185.81014322479857</v>
      </c>
      <c r="V71" s="134">
        <v>0</v>
      </c>
      <c r="W71" s="134">
        <v>0</v>
      </c>
      <c r="X71" s="134">
        <v>78.422473270200513</v>
      </c>
      <c r="Y71" s="173">
        <v>544.5080766668359</v>
      </c>
      <c r="Z71" s="184">
        <v>1267.7990619053767</v>
      </c>
      <c r="AB71" s="980">
        <v>542.1241420298353</v>
      </c>
      <c r="AC71" s="134">
        <v>0</v>
      </c>
      <c r="AD71" s="32">
        <v>82.887716919502097</v>
      </c>
      <c r="AE71" s="134">
        <v>647.48646871144956</v>
      </c>
      <c r="AF71" s="32">
        <v>564.59875179194739</v>
      </c>
      <c r="AG71" s="134">
        <v>0</v>
      </c>
      <c r="AH71" s="134">
        <v>0</v>
      </c>
      <c r="AI71" s="134">
        <v>75.302549228338648</v>
      </c>
      <c r="AJ71" s="173">
        <v>780.03872049696622</v>
      </c>
      <c r="AK71" s="184">
        <v>1638.5323173632094</v>
      </c>
      <c r="AM71" s="980">
        <v>629.81665292323555</v>
      </c>
      <c r="AN71" s="134">
        <v>1207.9434044800939</v>
      </c>
      <c r="AO71" s="32">
        <v>8.8155294805508627E-2</v>
      </c>
      <c r="AP71" s="134">
        <v>0</v>
      </c>
      <c r="AQ71" s="32">
        <v>605.48734090886296</v>
      </c>
      <c r="AR71" s="134">
        <v>0</v>
      </c>
      <c r="AS71" s="134">
        <v>0</v>
      </c>
      <c r="AT71" s="134">
        <v>87.483282581739985</v>
      </c>
      <c r="AU71" s="173">
        <v>878.08740188057573</v>
      </c>
      <c r="AV71" s="184">
        <v>1782.4665905189638</v>
      </c>
    </row>
    <row r="72" spans="1:49" x14ac:dyDescent="0.2">
      <c r="A72" s="533" t="s">
        <v>53</v>
      </c>
      <c r="B72" s="416">
        <v>6.5</v>
      </c>
      <c r="C72" s="1285"/>
      <c r="D72" s="45" t="s">
        <v>23</v>
      </c>
      <c r="E72" s="967"/>
      <c r="F72" s="980">
        <v>26.362583122980823</v>
      </c>
      <c r="G72" s="33">
        <v>819.88078127812673</v>
      </c>
      <c r="H72" s="32">
        <v>5.6123650347414344E-2</v>
      </c>
      <c r="I72" s="134">
        <v>0</v>
      </c>
      <c r="J72" s="32">
        <v>11.876776282590248</v>
      </c>
      <c r="K72" s="134">
        <v>0</v>
      </c>
      <c r="L72" s="134">
        <v>0</v>
      </c>
      <c r="M72" s="134">
        <v>3.8203093584007091</v>
      </c>
      <c r="N72" s="504">
        <v>109.36801674090465</v>
      </c>
      <c r="O72" s="504">
        <v>397.08416706734306</v>
      </c>
      <c r="Q72" s="980">
        <v>26.362583122980823</v>
      </c>
      <c r="R72" s="134">
        <v>0</v>
      </c>
      <c r="S72" s="32">
        <v>29.79634148077988</v>
      </c>
      <c r="T72" s="134">
        <v>66.391371158805299</v>
      </c>
      <c r="U72" s="32">
        <v>36.595029678025426</v>
      </c>
      <c r="V72" s="134">
        <v>0</v>
      </c>
      <c r="W72" s="134">
        <v>0</v>
      </c>
      <c r="X72" s="134">
        <v>3.6618360251796003</v>
      </c>
      <c r="Y72" s="504">
        <v>322.31901676025973</v>
      </c>
      <c r="Z72" s="504">
        <v>870.00618176832586</v>
      </c>
      <c r="AB72" s="980">
        <v>34.36735505455065</v>
      </c>
      <c r="AC72" s="134">
        <v>0</v>
      </c>
      <c r="AD72" s="32">
        <v>44.929556593073755</v>
      </c>
      <c r="AE72" s="134">
        <v>268.43822806857406</v>
      </c>
      <c r="AF72" s="32">
        <v>223.50867147550031</v>
      </c>
      <c r="AG72" s="134">
        <v>0</v>
      </c>
      <c r="AH72" s="134">
        <v>0</v>
      </c>
      <c r="AI72" s="134">
        <v>16.240413916217975</v>
      </c>
      <c r="AJ72" s="504">
        <v>573.60259760984763</v>
      </c>
      <c r="AK72" s="504">
        <v>1315.8885876458028</v>
      </c>
      <c r="AM72" s="980">
        <v>34.36735505455065</v>
      </c>
      <c r="AN72" s="134">
        <v>955.62681433895079</v>
      </c>
      <c r="AO72" s="32">
        <v>6.9938702738423578E-2</v>
      </c>
      <c r="AP72" s="134">
        <v>0</v>
      </c>
      <c r="AQ72" s="32">
        <v>203.26767543582795</v>
      </c>
      <c r="AR72" s="134">
        <v>0</v>
      </c>
      <c r="AS72" s="134">
        <v>0</v>
      </c>
      <c r="AT72" s="134">
        <v>4.7737210819522362</v>
      </c>
      <c r="AU72" s="504">
        <v>446.95959185220397</v>
      </c>
      <c r="AV72" s="504">
        <v>1100.5806667550437</v>
      </c>
    </row>
    <row r="73" spans="1:49" s="213" customFormat="1" x14ac:dyDescent="0.2">
      <c r="A73" s="170" t="s">
        <v>54</v>
      </c>
      <c r="B73" s="532">
        <v>7.1</v>
      </c>
      <c r="C73" s="1285"/>
      <c r="D73" s="185">
        <v>2</v>
      </c>
      <c r="E73" s="966"/>
      <c r="F73" s="982" t="s">
        <v>61</v>
      </c>
      <c r="G73" s="507" t="s">
        <v>273</v>
      </c>
      <c r="H73" s="508" t="s">
        <v>62</v>
      </c>
      <c r="I73" s="576" t="s">
        <v>446</v>
      </c>
      <c r="J73" s="508" t="s">
        <v>64</v>
      </c>
      <c r="K73" s="576" t="s">
        <v>447</v>
      </c>
      <c r="L73" s="576" t="s">
        <v>448</v>
      </c>
      <c r="M73" s="519" t="s">
        <v>387</v>
      </c>
      <c r="N73" s="507" t="s">
        <v>422</v>
      </c>
      <c r="O73" s="507"/>
      <c r="P73" s="175"/>
      <c r="Q73" s="982" t="s">
        <v>61</v>
      </c>
      <c r="R73" s="519" t="s">
        <v>273</v>
      </c>
      <c r="S73" s="508" t="s">
        <v>62</v>
      </c>
      <c r="T73" s="576" t="s">
        <v>446</v>
      </c>
      <c r="U73" s="508" t="s">
        <v>64</v>
      </c>
      <c r="V73" s="576" t="s">
        <v>447</v>
      </c>
      <c r="W73" s="576" t="s">
        <v>448</v>
      </c>
      <c r="X73" s="519" t="s">
        <v>387</v>
      </c>
      <c r="Y73" s="507" t="s">
        <v>422</v>
      </c>
      <c r="Z73" s="507"/>
      <c r="AA73" s="175"/>
      <c r="AB73" s="982" t="s">
        <v>61</v>
      </c>
      <c r="AC73" s="519" t="s">
        <v>273</v>
      </c>
      <c r="AD73" s="508" t="s">
        <v>62</v>
      </c>
      <c r="AE73" s="576" t="s">
        <v>446</v>
      </c>
      <c r="AF73" s="508" t="s">
        <v>64</v>
      </c>
      <c r="AG73" s="576" t="s">
        <v>447</v>
      </c>
      <c r="AH73" s="576" t="s">
        <v>448</v>
      </c>
      <c r="AI73" s="519" t="s">
        <v>387</v>
      </c>
      <c r="AJ73" s="507" t="s">
        <v>422</v>
      </c>
      <c r="AK73" s="507"/>
      <c r="AL73" s="175"/>
      <c r="AM73" s="982" t="s">
        <v>61</v>
      </c>
      <c r="AN73" s="519" t="s">
        <v>273</v>
      </c>
      <c r="AO73" s="508" t="s">
        <v>62</v>
      </c>
      <c r="AP73" s="576" t="s">
        <v>446</v>
      </c>
      <c r="AQ73" s="508" t="s">
        <v>64</v>
      </c>
      <c r="AR73" s="576" t="s">
        <v>447</v>
      </c>
      <c r="AS73" s="576" t="s">
        <v>448</v>
      </c>
      <c r="AT73" s="519" t="s">
        <v>387</v>
      </c>
      <c r="AU73" s="507" t="s">
        <v>422</v>
      </c>
      <c r="AV73" s="507"/>
      <c r="AW73" s="175"/>
    </row>
    <row r="74" spans="1:49" x14ac:dyDescent="0.2">
      <c r="A74" s="170" t="s">
        <v>509</v>
      </c>
      <c r="B74" s="416">
        <v>5.2</v>
      </c>
      <c r="C74" s="1285"/>
      <c r="D74" s="45" t="s">
        <v>21</v>
      </c>
      <c r="E74" s="967"/>
      <c r="F74" s="980">
        <v>14400</v>
      </c>
      <c r="G74" s="33">
        <v>1398.8284405900372</v>
      </c>
      <c r="H74" s="32">
        <v>0.18738549728936585</v>
      </c>
      <c r="I74" s="134">
        <v>0</v>
      </c>
      <c r="J74" s="32">
        <v>3894.8662131439428</v>
      </c>
      <c r="K74" s="134">
        <v>0</v>
      </c>
      <c r="L74" s="134">
        <v>0</v>
      </c>
      <c r="M74" s="134">
        <v>34.853986788864077</v>
      </c>
      <c r="N74" s="184">
        <v>165.95946142857147</v>
      </c>
      <c r="O74" s="184"/>
      <c r="Q74" s="980">
        <v>14400</v>
      </c>
      <c r="R74" s="134">
        <v>0</v>
      </c>
      <c r="S74" s="32">
        <v>239.01976227434434</v>
      </c>
      <c r="T74" s="134">
        <v>3921.2423790811272</v>
      </c>
      <c r="U74" s="32">
        <v>3682.2226168067828</v>
      </c>
      <c r="V74" s="134">
        <v>0</v>
      </c>
      <c r="W74" s="134">
        <v>0</v>
      </c>
      <c r="X74" s="134">
        <v>176.70103225336698</v>
      </c>
      <c r="Y74" s="184">
        <v>165.95946142857147</v>
      </c>
      <c r="Z74" s="184"/>
      <c r="AB74" s="980">
        <v>14400</v>
      </c>
      <c r="AC74" s="134">
        <v>0</v>
      </c>
      <c r="AD74" s="32">
        <v>786.70502576846172</v>
      </c>
      <c r="AE74" s="134">
        <v>5816.8621970541262</v>
      </c>
      <c r="AF74" s="32">
        <v>5030.1571712856648</v>
      </c>
      <c r="AG74" s="134">
        <v>0</v>
      </c>
      <c r="AH74" s="134">
        <v>0</v>
      </c>
      <c r="AI74" s="134">
        <v>3.6990077728996744</v>
      </c>
      <c r="AJ74" s="184">
        <v>140.58549571428574</v>
      </c>
      <c r="AK74" s="184"/>
      <c r="AM74" s="980">
        <v>14400</v>
      </c>
      <c r="AN74" s="134">
        <v>1645.4689733153775</v>
      </c>
      <c r="AO74" s="32">
        <v>0.18804659953768979</v>
      </c>
      <c r="AP74" s="134">
        <v>0</v>
      </c>
      <c r="AQ74" s="32">
        <v>5785.6265559511321</v>
      </c>
      <c r="AR74" s="134">
        <v>0</v>
      </c>
      <c r="AS74" s="134">
        <v>0</v>
      </c>
      <c r="AT74" s="134">
        <v>26.894997596987764</v>
      </c>
      <c r="AU74" s="184">
        <v>140.58549571428574</v>
      </c>
      <c r="AV74" s="184"/>
    </row>
    <row r="75" spans="1:49" x14ac:dyDescent="0.2">
      <c r="A75" s="170" t="s">
        <v>508</v>
      </c>
      <c r="B75" s="416">
        <v>6.5</v>
      </c>
      <c r="C75" s="1285"/>
      <c r="D75" s="45" t="s">
        <v>22</v>
      </c>
      <c r="E75" s="967"/>
      <c r="F75" s="980">
        <v>14400</v>
      </c>
      <c r="G75" s="33">
        <v>1654.3356145665168</v>
      </c>
      <c r="H75" s="32">
        <v>0.18762257528936574</v>
      </c>
      <c r="I75" s="134">
        <v>0</v>
      </c>
      <c r="J75" s="32">
        <v>3894.8662131439428</v>
      </c>
      <c r="K75" s="134">
        <v>0</v>
      </c>
      <c r="L75" s="134">
        <v>0</v>
      </c>
      <c r="M75" s="134">
        <v>338.58422405432628</v>
      </c>
      <c r="N75" s="184">
        <v>193.61937000000003</v>
      </c>
      <c r="O75" s="184"/>
      <c r="Q75" s="980">
        <v>14400</v>
      </c>
      <c r="R75" s="134">
        <v>0</v>
      </c>
      <c r="S75" s="32">
        <v>491.85809258394664</v>
      </c>
      <c r="T75" s="134">
        <v>3901.7660651979686</v>
      </c>
      <c r="U75" s="32">
        <v>3409.9079726140217</v>
      </c>
      <c r="V75" s="134">
        <v>0</v>
      </c>
      <c r="W75" s="134">
        <v>0</v>
      </c>
      <c r="X75" s="134">
        <v>398.20877298558577</v>
      </c>
      <c r="Y75" s="184">
        <v>193.61937000000003</v>
      </c>
      <c r="Z75" s="184"/>
      <c r="AB75" s="980">
        <v>14400</v>
      </c>
      <c r="AC75" s="134">
        <v>0</v>
      </c>
      <c r="AD75" s="32">
        <v>744.64080617254945</v>
      </c>
      <c r="AE75" s="134">
        <v>5816.8431218265396</v>
      </c>
      <c r="AF75" s="32">
        <v>5072.2023156539899</v>
      </c>
      <c r="AG75" s="134">
        <v>0</v>
      </c>
      <c r="AH75" s="134">
        <v>0</v>
      </c>
      <c r="AI75" s="134">
        <v>130.14802177922118</v>
      </c>
      <c r="AJ75" s="184">
        <v>164.01641000000001</v>
      </c>
      <c r="AK75" s="184"/>
      <c r="AM75" s="980">
        <v>14400</v>
      </c>
      <c r="AN75" s="134">
        <v>1704.8877842561801</v>
      </c>
      <c r="AO75" s="32">
        <v>0.18777325051733992</v>
      </c>
      <c r="AP75" s="134">
        <v>0</v>
      </c>
      <c r="AQ75" s="32">
        <v>5785.6265559511321</v>
      </c>
      <c r="AR75" s="134">
        <v>0</v>
      </c>
      <c r="AS75" s="134">
        <v>0</v>
      </c>
      <c r="AT75" s="134">
        <v>173.90814141094103</v>
      </c>
      <c r="AU75" s="184">
        <v>164.01641000000001</v>
      </c>
      <c r="AV75" s="184"/>
    </row>
    <row r="76" spans="1:49" x14ac:dyDescent="0.2">
      <c r="A76" s="1020" t="s">
        <v>245</v>
      </c>
      <c r="B76" s="1021"/>
      <c r="C76" s="1285"/>
      <c r="D76" s="45" t="s">
        <v>23</v>
      </c>
      <c r="E76" s="967"/>
      <c r="F76" s="980">
        <v>14400</v>
      </c>
      <c r="G76" s="33">
        <v>1279.9213855074051</v>
      </c>
      <c r="H76" s="32">
        <v>0.18725651609854332</v>
      </c>
      <c r="I76" s="134">
        <v>0</v>
      </c>
      <c r="J76" s="32">
        <v>3894.8662131439428</v>
      </c>
      <c r="K76" s="134">
        <v>0</v>
      </c>
      <c r="L76" s="134">
        <v>0</v>
      </c>
      <c r="M76" s="134">
        <v>129.89925522364655</v>
      </c>
      <c r="N76" s="184">
        <v>165.95946142857147</v>
      </c>
      <c r="O76" s="184"/>
      <c r="Q76" s="980">
        <v>14400</v>
      </c>
      <c r="R76" s="134">
        <v>0</v>
      </c>
      <c r="S76" s="32">
        <v>1734.9877221649856</v>
      </c>
      <c r="T76" s="134">
        <v>3865.8509096671432</v>
      </c>
      <c r="U76" s="32">
        <v>2130.8631875021579</v>
      </c>
      <c r="V76" s="134">
        <v>0</v>
      </c>
      <c r="W76" s="134">
        <v>0</v>
      </c>
      <c r="X76" s="134">
        <v>46.231365587318258</v>
      </c>
      <c r="Y76" s="184">
        <v>165.95946142857147</v>
      </c>
      <c r="Z76" s="184"/>
      <c r="AB76" s="980">
        <v>14400</v>
      </c>
      <c r="AC76" s="134">
        <v>0</v>
      </c>
      <c r="AD76" s="32">
        <v>972.67324193932257</v>
      </c>
      <c r="AE76" s="134">
        <v>5811.3789975874861</v>
      </c>
      <c r="AF76" s="32">
        <v>4838.7057556481641</v>
      </c>
      <c r="AG76" s="134">
        <v>0</v>
      </c>
      <c r="AH76" s="134">
        <v>0</v>
      </c>
      <c r="AI76" s="134">
        <v>51.191439681645058</v>
      </c>
      <c r="AJ76" s="184">
        <v>140.58549571428574</v>
      </c>
      <c r="AK76" s="184"/>
      <c r="AM76" s="980">
        <v>14400</v>
      </c>
      <c r="AN76" s="134">
        <v>1528.6698016519931</v>
      </c>
      <c r="AO76" s="32">
        <v>0.18811288644482119</v>
      </c>
      <c r="AP76" s="134">
        <v>0</v>
      </c>
      <c r="AQ76" s="32">
        <v>5785.6265559511321</v>
      </c>
      <c r="AR76" s="134">
        <v>0</v>
      </c>
      <c r="AS76" s="134">
        <v>0</v>
      </c>
      <c r="AT76" s="134">
        <v>6.6795018241030233</v>
      </c>
      <c r="AU76" s="184">
        <v>140.58549571428574</v>
      </c>
      <c r="AV76" s="184"/>
    </row>
    <row r="77" spans="1:49" s="213" customFormat="1" x14ac:dyDescent="0.2">
      <c r="A77" s="170" t="s">
        <v>478</v>
      </c>
      <c r="B77" s="532">
        <v>2.25</v>
      </c>
      <c r="C77" s="1285"/>
      <c r="D77" s="185">
        <v>3</v>
      </c>
      <c r="E77" s="966"/>
      <c r="F77" s="982" t="s">
        <v>61</v>
      </c>
      <c r="G77" s="507" t="s">
        <v>273</v>
      </c>
      <c r="H77" s="508" t="s">
        <v>62</v>
      </c>
      <c r="I77" s="576" t="s">
        <v>446</v>
      </c>
      <c r="J77" s="508" t="s">
        <v>64</v>
      </c>
      <c r="K77" s="576" t="s">
        <v>447</v>
      </c>
      <c r="L77" s="576" t="s">
        <v>448</v>
      </c>
      <c r="M77" s="519" t="s">
        <v>387</v>
      </c>
      <c r="N77" s="507" t="s">
        <v>422</v>
      </c>
      <c r="O77" s="507" t="s">
        <v>423</v>
      </c>
      <c r="P77" s="175"/>
      <c r="Q77" s="982" t="s">
        <v>61</v>
      </c>
      <c r="R77" s="519" t="s">
        <v>273</v>
      </c>
      <c r="S77" s="508" t="s">
        <v>62</v>
      </c>
      <c r="T77" s="576" t="s">
        <v>446</v>
      </c>
      <c r="U77" s="508" t="s">
        <v>64</v>
      </c>
      <c r="V77" s="576" t="s">
        <v>447</v>
      </c>
      <c r="W77" s="576" t="s">
        <v>448</v>
      </c>
      <c r="X77" s="519" t="s">
        <v>387</v>
      </c>
      <c r="Y77" s="507" t="s">
        <v>422</v>
      </c>
      <c r="Z77" s="507" t="s">
        <v>423</v>
      </c>
      <c r="AA77" s="175"/>
      <c r="AB77" s="982" t="s">
        <v>61</v>
      </c>
      <c r="AC77" s="519" t="s">
        <v>273</v>
      </c>
      <c r="AD77" s="508" t="s">
        <v>62</v>
      </c>
      <c r="AE77" s="576" t="s">
        <v>446</v>
      </c>
      <c r="AF77" s="508" t="s">
        <v>64</v>
      </c>
      <c r="AG77" s="576" t="s">
        <v>447</v>
      </c>
      <c r="AH77" s="576" t="s">
        <v>448</v>
      </c>
      <c r="AI77" s="519" t="s">
        <v>387</v>
      </c>
      <c r="AJ77" s="507" t="s">
        <v>422</v>
      </c>
      <c r="AK77" s="507" t="s">
        <v>423</v>
      </c>
      <c r="AL77" s="175"/>
      <c r="AM77" s="982" t="s">
        <v>61</v>
      </c>
      <c r="AN77" s="519" t="s">
        <v>273</v>
      </c>
      <c r="AO77" s="508" t="s">
        <v>62</v>
      </c>
      <c r="AP77" s="576" t="s">
        <v>446</v>
      </c>
      <c r="AQ77" s="508" t="s">
        <v>64</v>
      </c>
      <c r="AR77" s="576" t="s">
        <v>447</v>
      </c>
      <c r="AS77" s="576" t="s">
        <v>448</v>
      </c>
      <c r="AT77" s="519" t="s">
        <v>387</v>
      </c>
      <c r="AU77" s="507" t="s">
        <v>422</v>
      </c>
      <c r="AV77" s="507" t="s">
        <v>423</v>
      </c>
      <c r="AW77" s="175"/>
    </row>
    <row r="78" spans="1:49" x14ac:dyDescent="0.2">
      <c r="A78" s="170" t="s">
        <v>51</v>
      </c>
      <c r="B78" s="416">
        <v>2.5</v>
      </c>
      <c r="C78" s="1285"/>
      <c r="D78" s="45" t="s">
        <v>21</v>
      </c>
      <c r="E78" s="967"/>
      <c r="F78" s="980">
        <v>14400</v>
      </c>
      <c r="G78" s="33">
        <v>1382.3750079298395</v>
      </c>
      <c r="H78" s="32">
        <v>0.18720009883909208</v>
      </c>
      <c r="I78" s="134">
        <v>0</v>
      </c>
      <c r="J78" s="32">
        <v>3894.8662131439428</v>
      </c>
      <c r="K78" s="134">
        <v>0</v>
      </c>
      <c r="L78" s="134">
        <v>0</v>
      </c>
      <c r="M78" s="134">
        <v>26.121581635409264</v>
      </c>
      <c r="N78" s="184">
        <v>145.21453000000002</v>
      </c>
      <c r="O78" s="184">
        <v>1820.18201</v>
      </c>
      <c r="Q78" s="980">
        <v>14400</v>
      </c>
      <c r="R78" s="134">
        <v>0</v>
      </c>
      <c r="S78" s="32">
        <v>238.97807643969804</v>
      </c>
      <c r="T78" s="134">
        <v>3920.5585014809362</v>
      </c>
      <c r="U78" s="32">
        <v>3681.580425041238</v>
      </c>
      <c r="V78" s="134">
        <v>0</v>
      </c>
      <c r="W78" s="134">
        <v>0</v>
      </c>
      <c r="X78" s="134">
        <v>149.26599659678936</v>
      </c>
      <c r="Y78" s="184">
        <v>145.21453000000002</v>
      </c>
      <c r="Z78" s="184">
        <v>1820.18201</v>
      </c>
      <c r="AB78" s="980">
        <v>14400</v>
      </c>
      <c r="AC78" s="134">
        <v>0</v>
      </c>
      <c r="AD78" s="32">
        <v>786.59527677189772</v>
      </c>
      <c r="AE78" s="134">
        <v>5816.0507178231983</v>
      </c>
      <c r="AF78" s="32">
        <v>5029.455441051301</v>
      </c>
      <c r="AG78" s="134">
        <v>0</v>
      </c>
      <c r="AH78" s="134">
        <v>0</v>
      </c>
      <c r="AI78" s="134">
        <v>2.3445577840458802</v>
      </c>
      <c r="AJ78" s="184">
        <v>123.01231</v>
      </c>
      <c r="AK78" s="184">
        <v>1820.18201</v>
      </c>
      <c r="AM78" s="980">
        <v>14400</v>
      </c>
      <c r="AN78" s="134">
        <v>1630.2987611801825</v>
      </c>
      <c r="AO78" s="32">
        <v>0.1879078246584861</v>
      </c>
      <c r="AP78" s="134">
        <v>0</v>
      </c>
      <c r="AQ78" s="32">
        <v>5785.6265559511321</v>
      </c>
      <c r="AR78" s="134">
        <v>0</v>
      </c>
      <c r="AS78" s="134">
        <v>0</v>
      </c>
      <c r="AT78" s="134">
        <v>19.772330830547848</v>
      </c>
      <c r="AU78" s="184">
        <v>123.01231</v>
      </c>
      <c r="AV78" s="184">
        <v>1820.18201</v>
      </c>
    </row>
    <row r="79" spans="1:49" x14ac:dyDescent="0.2">
      <c r="A79" s="170" t="s">
        <v>408</v>
      </c>
      <c r="B79" s="416">
        <v>2.5</v>
      </c>
      <c r="C79" s="1285"/>
      <c r="D79" s="45" t="s">
        <v>22</v>
      </c>
      <c r="E79" s="967"/>
      <c r="F79" s="980">
        <v>14400</v>
      </c>
      <c r="G79" s="33">
        <v>1642.8751947670462</v>
      </c>
      <c r="H79" s="32">
        <v>0.18743305977673408</v>
      </c>
      <c r="I79" s="134">
        <v>0</v>
      </c>
      <c r="J79" s="32">
        <v>3894.8662131439428</v>
      </c>
      <c r="K79" s="134">
        <v>0</v>
      </c>
      <c r="L79" s="134">
        <v>0</v>
      </c>
      <c r="M79" s="134">
        <v>295.45701405147474</v>
      </c>
      <c r="N79" s="184">
        <v>165.95946142857147</v>
      </c>
      <c r="O79" s="184">
        <v>1820.18201</v>
      </c>
      <c r="Q79" s="980">
        <v>14400</v>
      </c>
      <c r="R79" s="134">
        <v>0</v>
      </c>
      <c r="S79" s="32">
        <v>491.72311763289605</v>
      </c>
      <c r="T79" s="134">
        <v>3900.6953484778383</v>
      </c>
      <c r="U79" s="32">
        <v>3408.9722308449423</v>
      </c>
      <c r="V79" s="134">
        <v>0</v>
      </c>
      <c r="W79" s="134">
        <v>0</v>
      </c>
      <c r="X79" s="134">
        <v>352.12096089408595</v>
      </c>
      <c r="Y79" s="184">
        <v>165.95946142857147</v>
      </c>
      <c r="Z79" s="184">
        <v>1820.18201</v>
      </c>
      <c r="AB79" s="980">
        <v>14400</v>
      </c>
      <c r="AC79" s="134">
        <v>0</v>
      </c>
      <c r="AD79" s="32">
        <v>744.5113877810719</v>
      </c>
      <c r="AE79" s="134">
        <v>5815.8321559030182</v>
      </c>
      <c r="AF79" s="32">
        <v>5071.3207681219455</v>
      </c>
      <c r="AG79" s="134">
        <v>0</v>
      </c>
      <c r="AH79" s="134">
        <v>0</v>
      </c>
      <c r="AI79" s="134">
        <v>104.99385825068538</v>
      </c>
      <c r="AJ79" s="184">
        <v>140.58549571428574</v>
      </c>
      <c r="AK79" s="184">
        <v>1820.18201</v>
      </c>
      <c r="AM79" s="980">
        <v>14400</v>
      </c>
      <c r="AN79" s="134">
        <v>1694.5387420021777</v>
      </c>
      <c r="AO79" s="32">
        <v>0.18759567062315699</v>
      </c>
      <c r="AP79" s="134">
        <v>0</v>
      </c>
      <c r="AQ79" s="32">
        <v>5785.6265559511321</v>
      </c>
      <c r="AR79" s="134">
        <v>0</v>
      </c>
      <c r="AS79" s="134">
        <v>0</v>
      </c>
      <c r="AT79" s="134">
        <v>143.68695449211197</v>
      </c>
      <c r="AU79" s="184">
        <v>140.58549571428574</v>
      </c>
      <c r="AV79" s="184">
        <v>1820.18201</v>
      </c>
    </row>
    <row r="80" spans="1:49" x14ac:dyDescent="0.2">
      <c r="A80" s="533" t="s">
        <v>52</v>
      </c>
      <c r="B80" s="416">
        <v>3.3</v>
      </c>
      <c r="C80" s="1285"/>
      <c r="D80" s="45" t="s">
        <v>23</v>
      </c>
      <c r="E80" s="967"/>
      <c r="F80" s="980">
        <v>14400</v>
      </c>
      <c r="G80" s="33">
        <v>1261.9156857934554</v>
      </c>
      <c r="H80" s="32">
        <v>0.18706204169204793</v>
      </c>
      <c r="I80" s="134">
        <v>0</v>
      </c>
      <c r="J80" s="32">
        <v>3894.8662131439428</v>
      </c>
      <c r="K80" s="134">
        <v>0</v>
      </c>
      <c r="L80" s="134">
        <v>0</v>
      </c>
      <c r="M80" s="134">
        <v>107.28310085046978</v>
      </c>
      <c r="N80" s="184">
        <v>145.21453000000002</v>
      </c>
      <c r="O80" s="184">
        <v>1820.18201</v>
      </c>
      <c r="Q80" s="980">
        <v>14400</v>
      </c>
      <c r="R80" s="134">
        <v>0</v>
      </c>
      <c r="S80" s="32">
        <v>1734.2196401371568</v>
      </c>
      <c r="T80" s="134">
        <v>3864.1394908668558</v>
      </c>
      <c r="U80" s="32">
        <v>2129.9198507296992</v>
      </c>
      <c r="V80" s="134">
        <v>0</v>
      </c>
      <c r="W80" s="134">
        <v>0</v>
      </c>
      <c r="X80" s="134">
        <v>35.381573440638064</v>
      </c>
      <c r="Y80" s="184">
        <v>145.21453000000002</v>
      </c>
      <c r="Z80" s="184">
        <v>1820.18201</v>
      </c>
      <c r="AB80" s="980">
        <v>14400</v>
      </c>
      <c r="AC80" s="134">
        <v>0</v>
      </c>
      <c r="AD80" s="32">
        <v>972.5286797333614</v>
      </c>
      <c r="AE80" s="134">
        <v>5810.5152894773582</v>
      </c>
      <c r="AF80" s="32">
        <v>4837.9866097439972</v>
      </c>
      <c r="AG80" s="134">
        <v>0</v>
      </c>
      <c r="AH80" s="134">
        <v>0</v>
      </c>
      <c r="AI80" s="134">
        <v>39.474233381401454</v>
      </c>
      <c r="AJ80" s="184">
        <v>123.01231</v>
      </c>
      <c r="AK80" s="184">
        <v>1820.18201</v>
      </c>
      <c r="AM80" s="980">
        <v>14400</v>
      </c>
      <c r="AN80" s="134">
        <v>1505.8794315097496</v>
      </c>
      <c r="AO80" s="32">
        <v>0.18797879597988756</v>
      </c>
      <c r="AP80" s="134">
        <v>0</v>
      </c>
      <c r="AQ80" s="32">
        <v>5785.6265559511321</v>
      </c>
      <c r="AR80" s="134">
        <v>0</v>
      </c>
      <c r="AS80" s="134">
        <v>0</v>
      </c>
      <c r="AT80" s="134">
        <v>4.4256381920996102</v>
      </c>
      <c r="AU80" s="184">
        <v>123.01231</v>
      </c>
      <c r="AV80" s="184">
        <v>1820.18201</v>
      </c>
    </row>
    <row r="81" spans="1:49" s="213" customFormat="1" x14ac:dyDescent="0.2">
      <c r="A81" s="170" t="s">
        <v>53</v>
      </c>
      <c r="B81" s="532">
        <v>4</v>
      </c>
      <c r="C81" s="1285"/>
      <c r="D81" s="185">
        <v>4</v>
      </c>
      <c r="E81" s="966"/>
      <c r="F81" s="982" t="s">
        <v>61</v>
      </c>
      <c r="G81" s="507" t="s">
        <v>273</v>
      </c>
      <c r="H81" s="508" t="s">
        <v>62</v>
      </c>
      <c r="I81" s="576" t="s">
        <v>446</v>
      </c>
      <c r="J81" s="508" t="s">
        <v>64</v>
      </c>
      <c r="K81" s="576" t="s">
        <v>447</v>
      </c>
      <c r="L81" s="576" t="s">
        <v>448</v>
      </c>
      <c r="M81" s="519" t="s">
        <v>387</v>
      </c>
      <c r="N81" s="507" t="s">
        <v>422</v>
      </c>
      <c r="O81" s="507" t="s">
        <v>423</v>
      </c>
      <c r="P81" s="175"/>
      <c r="Q81" s="982" t="s">
        <v>61</v>
      </c>
      <c r="R81" s="519" t="s">
        <v>273</v>
      </c>
      <c r="S81" s="508" t="s">
        <v>62</v>
      </c>
      <c r="T81" s="576" t="s">
        <v>446</v>
      </c>
      <c r="U81" s="508" t="s">
        <v>64</v>
      </c>
      <c r="V81" s="576" t="s">
        <v>447</v>
      </c>
      <c r="W81" s="576" t="s">
        <v>448</v>
      </c>
      <c r="X81" s="519" t="s">
        <v>387</v>
      </c>
      <c r="Y81" s="507" t="s">
        <v>422</v>
      </c>
      <c r="Z81" s="507" t="s">
        <v>423</v>
      </c>
      <c r="AA81" s="175"/>
      <c r="AB81" s="982" t="s">
        <v>61</v>
      </c>
      <c r="AC81" s="519" t="s">
        <v>273</v>
      </c>
      <c r="AD81" s="508" t="s">
        <v>62</v>
      </c>
      <c r="AE81" s="576" t="s">
        <v>446</v>
      </c>
      <c r="AF81" s="508" t="s">
        <v>64</v>
      </c>
      <c r="AG81" s="576" t="s">
        <v>447</v>
      </c>
      <c r="AH81" s="576" t="s">
        <v>448</v>
      </c>
      <c r="AI81" s="519" t="s">
        <v>387</v>
      </c>
      <c r="AJ81" s="507" t="s">
        <v>422</v>
      </c>
      <c r="AK81" s="507" t="s">
        <v>423</v>
      </c>
      <c r="AL81" s="175"/>
      <c r="AM81" s="982" t="s">
        <v>61</v>
      </c>
      <c r="AN81" s="519" t="s">
        <v>273</v>
      </c>
      <c r="AO81" s="508" t="s">
        <v>62</v>
      </c>
      <c r="AP81" s="576" t="s">
        <v>446</v>
      </c>
      <c r="AQ81" s="508" t="s">
        <v>64</v>
      </c>
      <c r="AR81" s="576" t="s">
        <v>447</v>
      </c>
      <c r="AS81" s="576" t="s">
        <v>448</v>
      </c>
      <c r="AT81" s="519" t="s">
        <v>387</v>
      </c>
      <c r="AU81" s="507" t="s">
        <v>422</v>
      </c>
      <c r="AV81" s="507" t="s">
        <v>423</v>
      </c>
      <c r="AW81" s="175"/>
    </row>
    <row r="82" spans="1:49" x14ac:dyDescent="0.2">
      <c r="A82" s="170" t="s">
        <v>54</v>
      </c>
      <c r="B82" s="416">
        <v>3.5</v>
      </c>
      <c r="C82" s="1285"/>
      <c r="D82" s="45" t="s">
        <v>21</v>
      </c>
      <c r="E82" s="967"/>
      <c r="F82" s="980">
        <v>14400</v>
      </c>
      <c r="G82" s="33">
        <v>1363.4189806125271</v>
      </c>
      <c r="H82" s="32">
        <v>0.1869475717338912</v>
      </c>
      <c r="I82" s="134">
        <v>0</v>
      </c>
      <c r="J82" s="32">
        <v>3894.8662131439428</v>
      </c>
      <c r="K82" s="134">
        <v>0</v>
      </c>
      <c r="L82" s="134">
        <v>0</v>
      </c>
      <c r="M82" s="134">
        <v>17.606929762006139</v>
      </c>
      <c r="N82" s="184">
        <v>129.07958333333335</v>
      </c>
      <c r="O82" s="184">
        <v>1820.18201</v>
      </c>
      <c r="Q82" s="980">
        <v>14400</v>
      </c>
      <c r="R82" s="134">
        <v>0</v>
      </c>
      <c r="S82" s="32">
        <v>238.92129709156671</v>
      </c>
      <c r="T82" s="134">
        <v>3919.6270070135724</v>
      </c>
      <c r="U82" s="32">
        <v>3680.7057099220056</v>
      </c>
      <c r="V82" s="134">
        <v>0</v>
      </c>
      <c r="W82" s="134">
        <v>0</v>
      </c>
      <c r="X82" s="134">
        <v>118.53332170130319</v>
      </c>
      <c r="Y82" s="184">
        <v>129.07958333333335</v>
      </c>
      <c r="Z82" s="184">
        <v>1820.18201</v>
      </c>
      <c r="AB82" s="980">
        <v>14400</v>
      </c>
      <c r="AC82" s="134">
        <v>0</v>
      </c>
      <c r="AD82" s="32">
        <v>786.44574664058257</v>
      </c>
      <c r="AE82" s="134">
        <v>5814.9450986397969</v>
      </c>
      <c r="AF82" s="32">
        <v>5028.4993519992149</v>
      </c>
      <c r="AG82" s="134">
        <v>0</v>
      </c>
      <c r="AH82" s="134">
        <v>0</v>
      </c>
      <c r="AI82" s="134">
        <v>1.2558872850419904</v>
      </c>
      <c r="AJ82" s="184">
        <v>109.34427666666667</v>
      </c>
      <c r="AK82" s="184">
        <v>1820.18201</v>
      </c>
      <c r="AM82" s="980">
        <v>14400</v>
      </c>
      <c r="AN82" s="134">
        <v>1612.7733545594069</v>
      </c>
      <c r="AO82" s="32">
        <v>0.18771874752283807</v>
      </c>
      <c r="AP82" s="134">
        <v>0</v>
      </c>
      <c r="AQ82" s="32">
        <v>5785.6265559511321</v>
      </c>
      <c r="AR82" s="134">
        <v>0</v>
      </c>
      <c r="AS82" s="134">
        <v>0</v>
      </c>
      <c r="AT82" s="134">
        <v>12.9801832778248</v>
      </c>
      <c r="AU82" s="184">
        <v>109.34427666666667</v>
      </c>
      <c r="AV82" s="184">
        <v>1820.18201</v>
      </c>
    </row>
    <row r="83" spans="1:49" x14ac:dyDescent="0.2">
      <c r="A83" s="170" t="s">
        <v>55</v>
      </c>
      <c r="B83" s="416">
        <v>2.5819999999999999</v>
      </c>
      <c r="C83" s="1285"/>
      <c r="D83" s="45" t="s">
        <v>22</v>
      </c>
      <c r="E83" s="967"/>
      <c r="F83" s="980">
        <v>14400</v>
      </c>
      <c r="G83" s="33">
        <v>1629.7482904813505</v>
      </c>
      <c r="H83" s="32">
        <v>0.18717304131959847</v>
      </c>
      <c r="I83" s="134">
        <v>0</v>
      </c>
      <c r="J83" s="32">
        <v>3894.8662131439428</v>
      </c>
      <c r="K83" s="134">
        <v>0</v>
      </c>
      <c r="L83" s="134">
        <v>0</v>
      </c>
      <c r="M83" s="134">
        <v>244.95163516058295</v>
      </c>
      <c r="N83" s="184">
        <v>145.21453000000002</v>
      </c>
      <c r="O83" s="184">
        <v>1820.18201</v>
      </c>
      <c r="Q83" s="980">
        <v>14400</v>
      </c>
      <c r="R83" s="134">
        <v>0</v>
      </c>
      <c r="S83" s="32">
        <v>491.53792973963721</v>
      </c>
      <c r="T83" s="134">
        <v>3899.2263072065907</v>
      </c>
      <c r="U83" s="32">
        <v>3407.6883774669536</v>
      </c>
      <c r="V83" s="134">
        <v>0</v>
      </c>
      <c r="W83" s="134">
        <v>0</v>
      </c>
      <c r="X83" s="134">
        <v>297.30682499249826</v>
      </c>
      <c r="Y83" s="184">
        <v>145.21453000000002</v>
      </c>
      <c r="Z83" s="184">
        <v>1820.18201</v>
      </c>
      <c r="AB83" s="980">
        <v>14400</v>
      </c>
      <c r="AC83" s="134">
        <v>0</v>
      </c>
      <c r="AD83" s="32">
        <v>744.33381030538351</v>
      </c>
      <c r="AE83" s="134">
        <v>5814.4449900245336</v>
      </c>
      <c r="AF83" s="32">
        <v>5070.1111797191497</v>
      </c>
      <c r="AG83" s="134">
        <v>0</v>
      </c>
      <c r="AH83" s="134">
        <v>0</v>
      </c>
      <c r="AI83" s="134">
        <v>78.113457039969248</v>
      </c>
      <c r="AJ83" s="184">
        <v>123.01231</v>
      </c>
      <c r="AK83" s="184">
        <v>1820.18201</v>
      </c>
      <c r="AM83" s="980">
        <v>14400</v>
      </c>
      <c r="AN83" s="134">
        <v>1682.6740214633835</v>
      </c>
      <c r="AO83" s="32">
        <v>0.18735200981898528</v>
      </c>
      <c r="AP83" s="134">
        <v>0</v>
      </c>
      <c r="AQ83" s="32">
        <v>5785.6265559511321</v>
      </c>
      <c r="AR83" s="134">
        <v>0</v>
      </c>
      <c r="AS83" s="134">
        <v>0</v>
      </c>
      <c r="AT83" s="134">
        <v>110.48094243873045</v>
      </c>
      <c r="AU83" s="184">
        <v>123.01231</v>
      </c>
      <c r="AV83" s="184">
        <v>1820.18201</v>
      </c>
    </row>
    <row r="84" spans="1:49" x14ac:dyDescent="0.2">
      <c r="A84" s="533" t="s">
        <v>56</v>
      </c>
      <c r="B84" s="416">
        <v>3.1629999999999998</v>
      </c>
      <c r="C84" s="1285"/>
      <c r="D84" s="45" t="s">
        <v>23</v>
      </c>
      <c r="E84" s="967"/>
      <c r="F84" s="980">
        <v>14400</v>
      </c>
      <c r="G84" s="33">
        <v>1241.2226962373229</v>
      </c>
      <c r="H84" s="32">
        <v>0.18679716748488398</v>
      </c>
      <c r="I84" s="134">
        <v>0</v>
      </c>
      <c r="J84" s="32">
        <v>3894.8662131439428</v>
      </c>
      <c r="K84" s="134">
        <v>0</v>
      </c>
      <c r="L84" s="134">
        <v>0</v>
      </c>
      <c r="M84" s="134">
        <v>82.603716548833049</v>
      </c>
      <c r="N84" s="184">
        <v>129.07958333333335</v>
      </c>
      <c r="O84" s="184">
        <v>1820.18201</v>
      </c>
      <c r="Q84" s="980">
        <v>14400</v>
      </c>
      <c r="R84" s="134">
        <v>0</v>
      </c>
      <c r="S84" s="32">
        <v>1733.1735121564923</v>
      </c>
      <c r="T84" s="134">
        <v>3861.8085378842989</v>
      </c>
      <c r="U84" s="32">
        <v>2128.6350257278068</v>
      </c>
      <c r="V84" s="134">
        <v>0</v>
      </c>
      <c r="W84" s="134">
        <v>0</v>
      </c>
      <c r="X84" s="134">
        <v>24.542841035593241</v>
      </c>
      <c r="Y84" s="184">
        <v>129.07958333333335</v>
      </c>
      <c r="Z84" s="184">
        <v>1820.18201</v>
      </c>
      <c r="AB84" s="980">
        <v>14400</v>
      </c>
      <c r="AC84" s="134">
        <v>0</v>
      </c>
      <c r="AD84" s="32">
        <v>972.331711786695</v>
      </c>
      <c r="AE84" s="134">
        <v>5809.3384755802545</v>
      </c>
      <c r="AF84" s="32">
        <v>4837.0067637935599</v>
      </c>
      <c r="AG84" s="134">
        <v>0</v>
      </c>
      <c r="AH84" s="134">
        <v>0</v>
      </c>
      <c r="AI84" s="134">
        <v>27.666282609673097</v>
      </c>
      <c r="AJ84" s="184">
        <v>109.34427666666667</v>
      </c>
      <c r="AK84" s="184">
        <v>1820.18201</v>
      </c>
      <c r="AM84" s="980">
        <v>14400</v>
      </c>
      <c r="AN84" s="134">
        <v>1479.7113219197174</v>
      </c>
      <c r="AO84" s="32">
        <v>0.18779609592097565</v>
      </c>
      <c r="AP84" s="134">
        <v>0</v>
      </c>
      <c r="AQ84" s="32">
        <v>5785.6265559511321</v>
      </c>
      <c r="AR84" s="134">
        <v>0</v>
      </c>
      <c r="AS84" s="134">
        <v>0</v>
      </c>
      <c r="AT84" s="134">
        <v>2.5192834362826089</v>
      </c>
      <c r="AU84" s="184">
        <v>109.34427666666667</v>
      </c>
      <c r="AV84" s="184">
        <v>1820.18201</v>
      </c>
    </row>
    <row r="85" spans="1:49" s="213" customFormat="1" x14ac:dyDescent="0.2">
      <c r="A85" s="170" t="s">
        <v>57</v>
      </c>
      <c r="B85" s="532">
        <v>3.3170000000000002</v>
      </c>
      <c r="C85" s="1285"/>
      <c r="D85" s="185" t="s">
        <v>411</v>
      </c>
      <c r="E85" s="966"/>
      <c r="F85" s="982" t="s">
        <v>61</v>
      </c>
      <c r="G85" s="507" t="s">
        <v>273</v>
      </c>
      <c r="H85" s="508" t="s">
        <v>62</v>
      </c>
      <c r="I85" s="576" t="s">
        <v>446</v>
      </c>
      <c r="J85" s="508" t="s">
        <v>64</v>
      </c>
      <c r="K85" s="576" t="s">
        <v>447</v>
      </c>
      <c r="L85" s="576" t="s">
        <v>448</v>
      </c>
      <c r="M85" s="519"/>
      <c r="N85" s="507" t="s">
        <v>422</v>
      </c>
      <c r="O85" s="507" t="s">
        <v>423</v>
      </c>
      <c r="P85" s="175"/>
      <c r="Q85" s="982" t="s">
        <v>61</v>
      </c>
      <c r="R85" s="519" t="s">
        <v>273</v>
      </c>
      <c r="S85" s="508" t="s">
        <v>62</v>
      </c>
      <c r="T85" s="576" t="s">
        <v>446</v>
      </c>
      <c r="U85" s="508" t="s">
        <v>64</v>
      </c>
      <c r="V85" s="576" t="s">
        <v>447</v>
      </c>
      <c r="W85" s="576" t="s">
        <v>448</v>
      </c>
      <c r="X85" s="519"/>
      <c r="Y85" s="507" t="s">
        <v>422</v>
      </c>
      <c r="Z85" s="507" t="s">
        <v>423</v>
      </c>
      <c r="AA85" s="175"/>
      <c r="AB85" s="982" t="s">
        <v>61</v>
      </c>
      <c r="AC85" s="519" t="s">
        <v>273</v>
      </c>
      <c r="AD85" s="508" t="s">
        <v>62</v>
      </c>
      <c r="AE85" s="576" t="s">
        <v>446</v>
      </c>
      <c r="AF85" s="508" t="s">
        <v>64</v>
      </c>
      <c r="AG85" s="576" t="s">
        <v>447</v>
      </c>
      <c r="AH85" s="576" t="s">
        <v>448</v>
      </c>
      <c r="AI85" s="519"/>
      <c r="AJ85" s="507" t="s">
        <v>422</v>
      </c>
      <c r="AK85" s="507" t="s">
        <v>423</v>
      </c>
      <c r="AL85" s="175"/>
      <c r="AM85" s="982" t="s">
        <v>61</v>
      </c>
      <c r="AN85" s="519" t="s">
        <v>273</v>
      </c>
      <c r="AO85" s="508" t="s">
        <v>62</v>
      </c>
      <c r="AP85" s="576" t="s">
        <v>446</v>
      </c>
      <c r="AQ85" s="508" t="s">
        <v>64</v>
      </c>
      <c r="AR85" s="576" t="s">
        <v>447</v>
      </c>
      <c r="AS85" s="576" t="s">
        <v>448</v>
      </c>
      <c r="AT85" s="519"/>
      <c r="AU85" s="507" t="s">
        <v>422</v>
      </c>
      <c r="AV85" s="507" t="s">
        <v>423</v>
      </c>
      <c r="AW85" s="175"/>
    </row>
    <row r="86" spans="1:49" x14ac:dyDescent="0.2">
      <c r="A86" s="169" t="s">
        <v>246</v>
      </c>
      <c r="B86" s="554"/>
      <c r="C86" s="1285"/>
      <c r="D86" s="45" t="s">
        <v>21</v>
      </c>
      <c r="E86" s="967"/>
      <c r="F86" s="980">
        <v>14400</v>
      </c>
      <c r="G86" s="33">
        <v>1230.7830938411512</v>
      </c>
      <c r="H86" s="32">
        <v>0.18081368049375618</v>
      </c>
      <c r="I86" s="134">
        <v>0</v>
      </c>
      <c r="J86" s="32">
        <v>3894.8662131439428</v>
      </c>
      <c r="K86" s="134">
        <v>0</v>
      </c>
      <c r="L86" s="134">
        <v>0</v>
      </c>
      <c r="M86" s="134"/>
      <c r="N86" s="184">
        <v>64.539796666666675</v>
      </c>
      <c r="O86" s="184">
        <v>1820.18201</v>
      </c>
      <c r="Q86" s="980">
        <v>14400</v>
      </c>
      <c r="R86" s="134">
        <v>0</v>
      </c>
      <c r="S86" s="32">
        <v>238.54858290938682</v>
      </c>
      <c r="T86" s="134">
        <v>3913.5124387764454</v>
      </c>
      <c r="U86" s="32">
        <v>3674.9638558670586</v>
      </c>
      <c r="V86" s="134">
        <v>0</v>
      </c>
      <c r="W86" s="134">
        <v>0</v>
      </c>
      <c r="X86" s="134"/>
      <c r="Y86" s="184">
        <v>64.539796666666675</v>
      </c>
      <c r="Z86" s="184">
        <v>1820.18201</v>
      </c>
      <c r="AB86" s="980">
        <v>14400</v>
      </c>
      <c r="AC86" s="134">
        <v>0</v>
      </c>
      <c r="AD86" s="32">
        <v>784.54172002111773</v>
      </c>
      <c r="AE86" s="134">
        <v>5800.8668099519482</v>
      </c>
      <c r="AF86" s="32">
        <v>5016.3250899308305</v>
      </c>
      <c r="AG86" s="134">
        <v>0</v>
      </c>
      <c r="AH86" s="134">
        <v>0</v>
      </c>
      <c r="AI86" s="134"/>
      <c r="AJ86" s="184">
        <v>54.672143333333338</v>
      </c>
      <c r="AK86" s="184">
        <v>1820.18201</v>
      </c>
      <c r="AM86" s="980">
        <v>14400</v>
      </c>
      <c r="AN86" s="134">
        <v>1555.4947498968716</v>
      </c>
      <c r="AO86" s="32">
        <v>0.18673065712157397</v>
      </c>
      <c r="AP86" s="134">
        <v>0</v>
      </c>
      <c r="AQ86" s="32">
        <v>5785.6265559511321</v>
      </c>
      <c r="AR86" s="134">
        <v>0</v>
      </c>
      <c r="AS86" s="134">
        <v>0</v>
      </c>
      <c r="AT86" s="134"/>
      <c r="AU86" s="184">
        <v>54.672143333333338</v>
      </c>
      <c r="AV86" s="184">
        <v>1820.18201</v>
      </c>
    </row>
    <row r="87" spans="1:49" x14ac:dyDescent="0.2">
      <c r="A87" s="170" t="s">
        <v>111</v>
      </c>
      <c r="B87" s="416">
        <v>0.02</v>
      </c>
      <c r="C87" s="1285"/>
      <c r="D87" s="45" t="s">
        <v>22</v>
      </c>
      <c r="E87" s="967"/>
      <c r="F87" s="980">
        <v>14400</v>
      </c>
      <c r="G87" s="33">
        <v>1563.1405558571969</v>
      </c>
      <c r="H87" s="32">
        <v>0.18402813853169953</v>
      </c>
      <c r="I87" s="134">
        <v>0</v>
      </c>
      <c r="J87" s="32">
        <v>3894.8662131439428</v>
      </c>
      <c r="K87" s="134">
        <v>0</v>
      </c>
      <c r="L87" s="134">
        <v>0</v>
      </c>
      <c r="M87" s="134"/>
      <c r="N87" s="184">
        <v>72.607270000000014</v>
      </c>
      <c r="O87" s="184">
        <v>1820.18201</v>
      </c>
      <c r="Q87" s="980">
        <v>14400</v>
      </c>
      <c r="R87" s="134">
        <v>0</v>
      </c>
      <c r="S87" s="32">
        <v>490.05245658730445</v>
      </c>
      <c r="T87" s="134">
        <v>3887.4424841407026</v>
      </c>
      <c r="U87" s="32">
        <v>3397.3900275533979</v>
      </c>
      <c r="V87" s="134">
        <v>0</v>
      </c>
      <c r="W87" s="134">
        <v>0</v>
      </c>
      <c r="X87" s="134"/>
      <c r="Y87" s="184">
        <v>72.607270000000014</v>
      </c>
      <c r="Z87" s="184">
        <v>1820.18201</v>
      </c>
      <c r="AB87" s="980">
        <v>14400</v>
      </c>
      <c r="AC87" s="134">
        <v>0</v>
      </c>
      <c r="AD87" s="32">
        <v>742.86202206013604</v>
      </c>
      <c r="AE87" s="134">
        <v>5802.9479551317545</v>
      </c>
      <c r="AF87" s="32">
        <v>5060.0859330716185</v>
      </c>
      <c r="AG87" s="134">
        <v>0</v>
      </c>
      <c r="AH87" s="134">
        <v>0</v>
      </c>
      <c r="AI87" s="134"/>
      <c r="AJ87" s="184">
        <v>61.506160000000001</v>
      </c>
      <c r="AK87" s="184">
        <v>1820.18201</v>
      </c>
      <c r="AM87" s="980">
        <v>14400</v>
      </c>
      <c r="AN87" s="134">
        <v>1636.2793314335804</v>
      </c>
      <c r="AO87" s="32">
        <v>0.18556365476677894</v>
      </c>
      <c r="AP87" s="134">
        <v>0</v>
      </c>
      <c r="AQ87" s="32">
        <v>5785.6265559511321</v>
      </c>
      <c r="AR87" s="134">
        <v>0</v>
      </c>
      <c r="AS87" s="134">
        <v>0</v>
      </c>
      <c r="AT87" s="134"/>
      <c r="AU87" s="184">
        <v>61.506160000000001</v>
      </c>
      <c r="AV87" s="184">
        <v>1820.18201</v>
      </c>
    </row>
    <row r="88" spans="1:49" s="168" customFormat="1" x14ac:dyDescent="0.2">
      <c r="A88" s="533" t="s">
        <v>112</v>
      </c>
      <c r="B88" s="416">
        <v>0.04</v>
      </c>
      <c r="C88" s="1286"/>
      <c r="D88" s="510" t="s">
        <v>23</v>
      </c>
      <c r="E88" s="968"/>
      <c r="F88" s="993">
        <v>14400</v>
      </c>
      <c r="G88" s="33">
        <v>1128.4463153943859</v>
      </c>
      <c r="H88" s="172">
        <v>0.18334386036761971</v>
      </c>
      <c r="I88" s="134">
        <v>0</v>
      </c>
      <c r="J88" s="32">
        <v>3894.8662131439428</v>
      </c>
      <c r="K88" s="172">
        <v>0</v>
      </c>
      <c r="L88" s="134">
        <v>0</v>
      </c>
      <c r="M88" s="134"/>
      <c r="N88" s="184">
        <v>64.539796666666675</v>
      </c>
      <c r="O88" s="184">
        <v>1820.18201</v>
      </c>
      <c r="P88" s="420"/>
      <c r="Q88" s="993">
        <v>14400</v>
      </c>
      <c r="R88" s="134">
        <v>0</v>
      </c>
      <c r="S88" s="172">
        <v>1724.6286197250536</v>
      </c>
      <c r="T88" s="134">
        <v>3842.7690485800949</v>
      </c>
      <c r="U88" s="32">
        <v>2118.1404288550416</v>
      </c>
      <c r="V88" s="172">
        <v>0</v>
      </c>
      <c r="W88" s="134">
        <v>0</v>
      </c>
      <c r="X88" s="134"/>
      <c r="Y88" s="184">
        <v>64.539796666666675</v>
      </c>
      <c r="Z88" s="184">
        <v>1820.18201</v>
      </c>
      <c r="AA88" s="420"/>
      <c r="AB88" s="993">
        <v>14400</v>
      </c>
      <c r="AC88" s="134">
        <v>0</v>
      </c>
      <c r="AD88" s="172">
        <v>971.31899586122597</v>
      </c>
      <c r="AE88" s="134">
        <v>5803.2878556947326</v>
      </c>
      <c r="AF88" s="32">
        <v>4831.9688598335069</v>
      </c>
      <c r="AG88" s="172">
        <v>0</v>
      </c>
      <c r="AH88" s="134">
        <v>0</v>
      </c>
      <c r="AI88" s="134"/>
      <c r="AJ88" s="184">
        <v>54.672143333333338</v>
      </c>
      <c r="AK88" s="184">
        <v>1820.18201</v>
      </c>
      <c r="AL88" s="420"/>
      <c r="AM88" s="993">
        <v>14400</v>
      </c>
      <c r="AN88" s="134">
        <v>1319.2729821876133</v>
      </c>
      <c r="AO88" s="172">
        <v>0.18461161847437352</v>
      </c>
      <c r="AP88" s="134">
        <v>0</v>
      </c>
      <c r="AQ88" s="32">
        <v>5785.6265559511321</v>
      </c>
      <c r="AR88" s="172">
        <v>0</v>
      </c>
      <c r="AS88" s="134">
        <v>0</v>
      </c>
      <c r="AT88" s="134"/>
      <c r="AU88" s="184">
        <v>54.672143333333338</v>
      </c>
      <c r="AV88" s="184">
        <v>1820.18201</v>
      </c>
      <c r="AW88" s="420"/>
    </row>
    <row r="89" spans="1:49" s="544" customFormat="1" ht="12.75" customHeight="1" x14ac:dyDescent="0.25">
      <c r="A89" s="533" t="s">
        <v>113</v>
      </c>
      <c r="B89" s="532">
        <v>-0.2</v>
      </c>
      <c r="C89" s="546" t="s">
        <v>434</v>
      </c>
      <c r="D89" s="758"/>
      <c r="E89" s="1013"/>
      <c r="F89" s="1014"/>
      <c r="G89" s="1015"/>
      <c r="H89" s="1016"/>
      <c r="I89" s="1016"/>
      <c r="J89" s="1016"/>
      <c r="K89" s="1016"/>
      <c r="L89" s="1016"/>
      <c r="M89" s="1016"/>
      <c r="N89" s="1016"/>
      <c r="O89" s="1017"/>
      <c r="P89" s="1018"/>
      <c r="Q89" s="1014"/>
      <c r="R89" s="1017"/>
      <c r="S89" s="1016"/>
      <c r="T89" s="1016"/>
      <c r="U89" s="1016"/>
      <c r="V89" s="1016"/>
      <c r="W89" s="1016"/>
      <c r="X89" s="1016"/>
      <c r="Y89" s="1016"/>
      <c r="Z89" s="1017"/>
      <c r="AA89" s="1018"/>
      <c r="AB89" s="1014"/>
      <c r="AC89" s="1017"/>
      <c r="AD89" s="1016"/>
      <c r="AE89" s="1016"/>
      <c r="AF89" s="1016"/>
      <c r="AG89" s="1016"/>
      <c r="AH89" s="1016"/>
      <c r="AI89" s="1016"/>
      <c r="AJ89" s="1016"/>
      <c r="AK89" s="1017"/>
      <c r="AL89" s="1018"/>
      <c r="AM89" s="1014"/>
      <c r="AN89" s="1017"/>
      <c r="AO89" s="1016"/>
      <c r="AP89" s="1016"/>
      <c r="AQ89" s="1016"/>
      <c r="AR89" s="1016"/>
      <c r="AS89" s="1016"/>
      <c r="AT89" s="1016"/>
      <c r="AU89" s="1016"/>
      <c r="AV89" s="1019"/>
      <c r="AW89" s="545"/>
    </row>
    <row r="90" spans="1:49" s="277" customFormat="1" ht="12.75" customHeight="1" x14ac:dyDescent="0.25">
      <c r="B90" s="759" t="s">
        <v>109</v>
      </c>
      <c r="C90" s="543"/>
      <c r="D90" s="541" t="s">
        <v>435</v>
      </c>
      <c r="E90" s="958"/>
      <c r="F90" s="995"/>
      <c r="G90" s="975" t="s">
        <v>453</v>
      </c>
      <c r="H90" s="565" t="s">
        <v>442</v>
      </c>
      <c r="I90" s="214"/>
      <c r="J90" s="565" t="s">
        <v>441</v>
      </c>
      <c r="K90" s="214"/>
      <c r="L90" s="214"/>
      <c r="M90" s="565" t="s">
        <v>443</v>
      </c>
      <c r="N90" s="596" t="s">
        <v>456</v>
      </c>
      <c r="O90" s="597" t="s">
        <v>457</v>
      </c>
      <c r="P90" s="593"/>
      <c r="Q90" s="995"/>
      <c r="R90" s="550" t="s">
        <v>453</v>
      </c>
      <c r="S90" s="565" t="s">
        <v>442</v>
      </c>
      <c r="T90" s="214"/>
      <c r="U90" s="565" t="s">
        <v>441</v>
      </c>
      <c r="V90" s="214"/>
      <c r="W90" s="214"/>
      <c r="X90" s="565" t="s">
        <v>443</v>
      </c>
      <c r="Y90" s="214"/>
      <c r="Z90" s="548"/>
      <c r="AA90" s="178"/>
      <c r="AB90" s="995"/>
      <c r="AC90" s="550" t="s">
        <v>453</v>
      </c>
      <c r="AD90" s="565" t="s">
        <v>442</v>
      </c>
      <c r="AE90" s="214"/>
      <c r="AF90" s="565" t="s">
        <v>441</v>
      </c>
      <c r="AG90" s="214"/>
      <c r="AH90" s="214"/>
      <c r="AI90" s="565" t="s">
        <v>443</v>
      </c>
      <c r="AJ90" s="596" t="s">
        <v>456</v>
      </c>
      <c r="AK90" s="597" t="s">
        <v>457</v>
      </c>
      <c r="AL90" s="178"/>
      <c r="AM90" s="995"/>
      <c r="AN90" s="550" t="s">
        <v>453</v>
      </c>
      <c r="AO90" s="565" t="s">
        <v>442</v>
      </c>
      <c r="AP90" s="214"/>
      <c r="AQ90" s="565" t="s">
        <v>441</v>
      </c>
      <c r="AR90" s="214"/>
      <c r="AS90" s="214"/>
      <c r="AT90" s="565" t="s">
        <v>443</v>
      </c>
      <c r="AU90" s="214"/>
      <c r="AV90" s="573"/>
      <c r="AW90" s="178"/>
    </row>
    <row r="91" spans="1:49" s="599" customFormat="1" ht="12.75" customHeight="1" x14ac:dyDescent="0.2">
      <c r="B91" s="504">
        <v>165.45953480952639</v>
      </c>
      <c r="C91" s="547"/>
      <c r="D91" s="762"/>
      <c r="E91" s="970"/>
      <c r="F91" s="996"/>
      <c r="G91" s="530">
        <v>2.8896366553599782</v>
      </c>
      <c r="H91" s="510">
        <v>1394.2680092951202</v>
      </c>
      <c r="I91" s="510"/>
      <c r="J91" s="510">
        <v>1138.1599747075561</v>
      </c>
      <c r="K91" s="510"/>
      <c r="L91" s="510"/>
      <c r="M91" s="510">
        <v>1085.3180584865843</v>
      </c>
      <c r="N91" s="580">
        <v>5.7792733107199563</v>
      </c>
      <c r="O91" s="536">
        <v>5.7792733107199563</v>
      </c>
      <c r="P91" s="763"/>
      <c r="Q91" s="996"/>
      <c r="R91" s="509">
        <v>2.8896366553599782</v>
      </c>
      <c r="S91" s="510">
        <v>1394.2680092951202</v>
      </c>
      <c r="T91" s="510"/>
      <c r="U91" s="510">
        <v>1138.1599747075561</v>
      </c>
      <c r="V91" s="510"/>
      <c r="W91" s="510"/>
      <c r="X91" s="510">
        <v>1085.3180584865843</v>
      </c>
      <c r="Y91" s="510"/>
      <c r="Z91" s="504"/>
      <c r="AA91" s="373"/>
      <c r="AB91" s="996"/>
      <c r="AC91" s="509">
        <v>2.5495097567963922</v>
      </c>
      <c r="AD91" s="510">
        <v>1394.2680092951202</v>
      </c>
      <c r="AE91" s="510"/>
      <c r="AF91" s="510">
        <v>1138.1599747075561</v>
      </c>
      <c r="AG91" s="510"/>
      <c r="AH91" s="510"/>
      <c r="AI91" s="510">
        <v>1085.3180584865843</v>
      </c>
      <c r="AJ91" s="580">
        <v>5.0990195135927845</v>
      </c>
      <c r="AK91" s="536">
        <v>5.0990195135927845</v>
      </c>
      <c r="AL91" s="373"/>
      <c r="AM91" s="996"/>
      <c r="AN91" s="509">
        <v>2.5495097567963922</v>
      </c>
      <c r="AO91" s="510">
        <v>1394.2680092951202</v>
      </c>
      <c r="AP91" s="510"/>
      <c r="AQ91" s="510">
        <v>1138.1599747075561</v>
      </c>
      <c r="AR91" s="510"/>
      <c r="AS91" s="510"/>
      <c r="AT91" s="510">
        <v>1085.3180584865843</v>
      </c>
      <c r="AU91" s="510"/>
      <c r="AV91" s="424"/>
      <c r="AW91" s="373"/>
    </row>
    <row r="92" spans="1:49" s="277" customFormat="1" ht="12.75" customHeight="1" x14ac:dyDescent="0.2">
      <c r="B92" s="761" t="s">
        <v>167</v>
      </c>
      <c r="C92" s="584" t="s">
        <v>558</v>
      </c>
      <c r="D92" s="585"/>
      <c r="E92" s="958"/>
      <c r="F92" s="997"/>
      <c r="G92" s="975" t="s">
        <v>454</v>
      </c>
      <c r="H92" s="586" t="s">
        <v>62</v>
      </c>
      <c r="I92" s="45"/>
      <c r="J92" s="586" t="s">
        <v>64</v>
      </c>
      <c r="K92" s="45"/>
      <c r="L92" s="45"/>
      <c r="M92" s="586" t="s">
        <v>67</v>
      </c>
      <c r="N92" s="594" t="s">
        <v>451</v>
      </c>
      <c r="O92" s="595" t="s">
        <v>452</v>
      </c>
      <c r="P92" s="178"/>
      <c r="Q92" s="997"/>
      <c r="R92" s="550" t="s">
        <v>454</v>
      </c>
      <c r="S92" s="586" t="s">
        <v>62</v>
      </c>
      <c r="T92" s="45"/>
      <c r="U92" s="586" t="s">
        <v>64</v>
      </c>
      <c r="V92" s="45"/>
      <c r="W92" s="45"/>
      <c r="X92" s="586" t="s">
        <v>67</v>
      </c>
      <c r="Y92" s="45"/>
      <c r="Z92" s="173"/>
      <c r="AA92" s="178"/>
      <c r="AB92" s="997"/>
      <c r="AC92" s="550" t="s">
        <v>454</v>
      </c>
      <c r="AD92" s="586" t="s">
        <v>62</v>
      </c>
      <c r="AE92" s="45"/>
      <c r="AF92" s="586" t="s">
        <v>64</v>
      </c>
      <c r="AG92" s="45"/>
      <c r="AH92" s="45"/>
      <c r="AI92" s="586" t="s">
        <v>67</v>
      </c>
      <c r="AJ92" s="594" t="s">
        <v>451</v>
      </c>
      <c r="AK92" s="595" t="s">
        <v>452</v>
      </c>
      <c r="AL92" s="178"/>
      <c r="AM92" s="997"/>
      <c r="AN92" s="550" t="s">
        <v>454</v>
      </c>
      <c r="AO92" s="586" t="s">
        <v>62</v>
      </c>
      <c r="AP92" s="45"/>
      <c r="AQ92" s="586" t="s">
        <v>64</v>
      </c>
      <c r="AR92" s="45"/>
      <c r="AS92" s="45"/>
      <c r="AT92" s="586" t="s">
        <v>67</v>
      </c>
      <c r="AU92" s="45"/>
      <c r="AV92" s="423"/>
      <c r="AW92" s="178"/>
    </row>
    <row r="93" spans="1:49" s="277" customFormat="1" ht="12.75" customHeight="1" x14ac:dyDescent="0.2">
      <c r="B93" s="590">
        <v>1</v>
      </c>
      <c r="C93" s="592"/>
      <c r="D93" s="45" t="s">
        <v>21</v>
      </c>
      <c r="E93" s="958"/>
      <c r="F93" s="997"/>
      <c r="G93" s="976">
        <v>5.7792733107199563</v>
      </c>
      <c r="H93" s="587">
        <v>0.14152299891103706</v>
      </c>
      <c r="I93" s="587"/>
      <c r="J93" s="587">
        <v>1.4697123977598969</v>
      </c>
      <c r="K93" s="587"/>
      <c r="L93" s="587"/>
      <c r="M93" s="587">
        <v>0.38119644719615586</v>
      </c>
      <c r="N93" s="588">
        <v>3.1046490446834296</v>
      </c>
      <c r="O93" s="589">
        <v>1.5704808058228079</v>
      </c>
      <c r="P93" s="178"/>
      <c r="Q93" s="997"/>
      <c r="R93" s="549">
        <v>5.7792733107199563</v>
      </c>
      <c r="S93" s="587">
        <v>0.30225232038117655</v>
      </c>
      <c r="T93" s="587"/>
      <c r="U93" s="587">
        <v>3.1046490446834296</v>
      </c>
      <c r="V93" s="587"/>
      <c r="W93" s="587"/>
      <c r="X93" s="587">
        <v>1.5704808058228079</v>
      </c>
      <c r="Y93" s="45"/>
      <c r="Z93" s="173"/>
      <c r="AA93" s="178"/>
      <c r="AB93" s="997"/>
      <c r="AC93" s="549">
        <v>5.0990195135927845</v>
      </c>
      <c r="AD93" s="587">
        <v>1.125275213397062</v>
      </c>
      <c r="AE93" s="587"/>
      <c r="AF93" s="587">
        <v>2.9169417057982208</v>
      </c>
      <c r="AG93" s="587"/>
      <c r="AH93" s="587"/>
      <c r="AI93" s="587">
        <v>0.35259923200683452</v>
      </c>
      <c r="AJ93" s="588">
        <v>3.5907025451265526</v>
      </c>
      <c r="AK93" s="589">
        <v>1.8530204353035438</v>
      </c>
      <c r="AL93" s="178"/>
      <c r="AM93" s="997"/>
      <c r="AN93" s="549">
        <v>5.0990195135927845</v>
      </c>
      <c r="AO93" s="587">
        <v>8.6694082188525604E-2</v>
      </c>
      <c r="AP93" s="587"/>
      <c r="AQ93" s="587">
        <v>3.5907025451265526</v>
      </c>
      <c r="AR93" s="587"/>
      <c r="AS93" s="587"/>
      <c r="AT93" s="587">
        <v>1.8530204353035438</v>
      </c>
      <c r="AU93" s="45"/>
      <c r="AV93" s="423"/>
      <c r="AW93" s="178"/>
    </row>
    <row r="94" spans="1:49" s="277" customFormat="1" ht="12.75" customHeight="1" x14ac:dyDescent="0.2">
      <c r="B94" s="590">
        <v>1</v>
      </c>
      <c r="C94" s="592"/>
      <c r="D94" s="45" t="s">
        <v>22</v>
      </c>
      <c r="E94" s="958"/>
      <c r="F94" s="997"/>
      <c r="G94" s="975" t="s">
        <v>455</v>
      </c>
      <c r="H94" s="587">
        <v>0.11831721932385529</v>
      </c>
      <c r="I94" s="587"/>
      <c r="J94" s="587">
        <v>0.93947578061262227</v>
      </c>
      <c r="K94" s="587"/>
      <c r="L94" s="587"/>
      <c r="M94" s="587">
        <v>0.66412695370737385</v>
      </c>
      <c r="N94" s="588">
        <v>1.4613666566586319</v>
      </c>
      <c r="O94" s="589">
        <v>0.66412695370737385</v>
      </c>
      <c r="P94" s="178"/>
      <c r="Q94" s="997"/>
      <c r="R94" s="550" t="s">
        <v>455</v>
      </c>
      <c r="S94" s="587">
        <v>0.31614747520028058</v>
      </c>
      <c r="T94" s="587"/>
      <c r="U94" s="587">
        <v>1.4613666566586319</v>
      </c>
      <c r="V94" s="587"/>
      <c r="W94" s="587"/>
      <c r="X94" s="587">
        <v>0.58800681828792956</v>
      </c>
      <c r="Y94" s="45"/>
      <c r="Z94" s="173"/>
      <c r="AA94" s="178"/>
      <c r="AB94" s="997"/>
      <c r="AC94" s="550" t="s">
        <v>455</v>
      </c>
      <c r="AD94" s="587">
        <v>0.50628813975268838</v>
      </c>
      <c r="AE94" s="587"/>
      <c r="AF94" s="587">
        <v>1.3981277533260639</v>
      </c>
      <c r="AG94" s="587"/>
      <c r="AH94" s="587"/>
      <c r="AI94" s="587">
        <v>0.3565909207416475</v>
      </c>
      <c r="AJ94" s="588">
        <v>1.3981277533260639</v>
      </c>
      <c r="AK94" s="589">
        <v>0.65639864141127902</v>
      </c>
      <c r="AL94" s="178"/>
      <c r="AM94" s="997"/>
      <c r="AN94" s="550" t="s">
        <v>455</v>
      </c>
      <c r="AO94" s="587">
        <v>0.10041157142082983</v>
      </c>
      <c r="AP94" s="587"/>
      <c r="AQ94" s="587">
        <v>1.3113260090636587</v>
      </c>
      <c r="AR94" s="587"/>
      <c r="AS94" s="587"/>
      <c r="AT94" s="587">
        <v>0.65639864141127902</v>
      </c>
      <c r="AU94" s="45"/>
      <c r="AV94" s="423"/>
      <c r="AW94" s="178"/>
    </row>
    <row r="95" spans="1:49" s="599" customFormat="1" ht="12.75" customHeight="1" x14ac:dyDescent="0.2">
      <c r="B95" s="591">
        <v>1</v>
      </c>
      <c r="C95" s="760"/>
      <c r="D95" s="510" t="s">
        <v>23</v>
      </c>
      <c r="E95" s="970"/>
      <c r="F95" s="984"/>
      <c r="G95" s="530">
        <v>5.7792733107199563</v>
      </c>
      <c r="H95" s="523">
        <v>0.50790335441439372</v>
      </c>
      <c r="I95" s="523"/>
      <c r="J95" s="523">
        <v>2.0496068323417429</v>
      </c>
      <c r="K95" s="523"/>
      <c r="L95" s="523"/>
      <c r="M95" s="523">
        <v>0.38960859299256906</v>
      </c>
      <c r="N95" s="580">
        <v>2.0496068323417429</v>
      </c>
      <c r="O95" s="536">
        <v>1.8591787537794839</v>
      </c>
      <c r="P95" s="373"/>
      <c r="Q95" s="984"/>
      <c r="R95" s="509">
        <v>5.7792733107199563</v>
      </c>
      <c r="S95" s="523">
        <v>1.6623134238726924</v>
      </c>
      <c r="T95" s="523"/>
      <c r="U95" s="523">
        <v>1.3612525678077483</v>
      </c>
      <c r="V95" s="523"/>
      <c r="W95" s="523"/>
      <c r="X95" s="523">
        <v>1.8591787537794839</v>
      </c>
      <c r="Y95" s="510"/>
      <c r="Z95" s="504"/>
      <c r="AA95" s="373"/>
      <c r="AB95" s="984"/>
      <c r="AC95" s="509">
        <v>5.0990195135927845</v>
      </c>
      <c r="AD95" s="523">
        <v>1.8351018084286645</v>
      </c>
      <c r="AE95" s="523"/>
      <c r="AF95" s="523">
        <v>3.7010229185819248</v>
      </c>
      <c r="AG95" s="523"/>
      <c r="AH95" s="523"/>
      <c r="AI95" s="523">
        <v>1.6678142301506744</v>
      </c>
      <c r="AJ95" s="580">
        <v>3.7010229185819248</v>
      </c>
      <c r="AK95" s="536">
        <v>1.6678142301506744</v>
      </c>
      <c r="AL95" s="373"/>
      <c r="AM95" s="984"/>
      <c r="AN95" s="509">
        <v>5.0990195135927845</v>
      </c>
      <c r="AO95" s="523">
        <v>0.11669513487048233</v>
      </c>
      <c r="AP95" s="523"/>
      <c r="AQ95" s="523">
        <v>2.1355865278931816</v>
      </c>
      <c r="AR95" s="523"/>
      <c r="AS95" s="523"/>
      <c r="AT95" s="523">
        <v>1.0032324394858425</v>
      </c>
      <c r="AU95" s="510"/>
      <c r="AV95" s="424"/>
      <c r="AW95" s="373"/>
    </row>
    <row r="96" spans="1:49" s="277" customFormat="1" ht="12.75" customHeight="1" x14ac:dyDescent="0.25">
      <c r="C96" s="581" t="s">
        <v>450</v>
      </c>
      <c r="D96" s="582"/>
      <c r="E96" s="958"/>
      <c r="F96" s="998" t="s">
        <v>444</v>
      </c>
      <c r="G96" s="977"/>
      <c r="H96" s="139" t="s">
        <v>436</v>
      </c>
      <c r="I96" s="508" t="s">
        <v>63</v>
      </c>
      <c r="J96" s="139" t="s">
        <v>437</v>
      </c>
      <c r="K96" s="508" t="s">
        <v>65</v>
      </c>
      <c r="L96" s="508" t="s">
        <v>66</v>
      </c>
      <c r="M96" s="139" t="s">
        <v>438</v>
      </c>
      <c r="N96" s="214"/>
      <c r="O96" s="548"/>
      <c r="P96" s="178"/>
      <c r="Q96" s="998" t="s">
        <v>444</v>
      </c>
      <c r="R96" s="548"/>
      <c r="S96" s="139" t="s">
        <v>436</v>
      </c>
      <c r="T96" s="508" t="s">
        <v>63</v>
      </c>
      <c r="U96" s="139" t="s">
        <v>437</v>
      </c>
      <c r="V96" s="508" t="s">
        <v>65</v>
      </c>
      <c r="W96" s="508" t="s">
        <v>66</v>
      </c>
      <c r="X96" s="139" t="s">
        <v>438</v>
      </c>
      <c r="Y96" s="214"/>
      <c r="Z96" s="548"/>
      <c r="AA96" s="178"/>
      <c r="AB96" s="998" t="s">
        <v>444</v>
      </c>
      <c r="AC96" s="548"/>
      <c r="AD96" s="139" t="s">
        <v>436</v>
      </c>
      <c r="AE96" s="508" t="s">
        <v>63</v>
      </c>
      <c r="AF96" s="139" t="s">
        <v>437</v>
      </c>
      <c r="AG96" s="508" t="s">
        <v>65</v>
      </c>
      <c r="AH96" s="508" t="s">
        <v>66</v>
      </c>
      <c r="AI96" s="139" t="s">
        <v>438</v>
      </c>
      <c r="AJ96" s="214"/>
      <c r="AK96" s="548"/>
      <c r="AL96" s="178"/>
      <c r="AM96" s="998" t="s">
        <v>444</v>
      </c>
      <c r="AN96" s="548"/>
      <c r="AO96" s="139" t="s">
        <v>436</v>
      </c>
      <c r="AP96" s="508" t="s">
        <v>63</v>
      </c>
      <c r="AQ96" s="139" t="s">
        <v>437</v>
      </c>
      <c r="AR96" s="508" t="s">
        <v>65</v>
      </c>
      <c r="AS96" s="508" t="s">
        <v>66</v>
      </c>
      <c r="AT96" s="139" t="s">
        <v>438</v>
      </c>
      <c r="AU96" s="214"/>
      <c r="AV96" s="573"/>
      <c r="AW96" s="178"/>
    </row>
    <row r="97" spans="1:49" s="277" customFormat="1" ht="12.75" customHeight="1" x14ac:dyDescent="0.2">
      <c r="C97" s="543"/>
      <c r="D97" s="45" t="s">
        <v>21</v>
      </c>
      <c r="E97" s="958"/>
      <c r="F97" s="980">
        <v>3600</v>
      </c>
      <c r="G97" s="977"/>
      <c r="H97" s="45">
        <v>330.91906961905278</v>
      </c>
      <c r="I97" s="45">
        <v>168.98284211778955</v>
      </c>
      <c r="J97" s="45">
        <v>165.45953480952639</v>
      </c>
      <c r="K97" s="45">
        <v>168.58010740138758</v>
      </c>
      <c r="L97" s="45">
        <v>165.45953480952636</v>
      </c>
      <c r="M97" s="45">
        <v>165.45953480952639</v>
      </c>
      <c r="N97" s="214"/>
      <c r="O97" s="548"/>
      <c r="P97" s="178"/>
      <c r="Q97" s="980">
        <v>3600</v>
      </c>
      <c r="R97" s="548"/>
      <c r="S97" s="45">
        <v>330.91906961905278</v>
      </c>
      <c r="T97" s="45">
        <v>166.64435373920907</v>
      </c>
      <c r="U97" s="45">
        <v>165.45953480952639</v>
      </c>
      <c r="V97" s="45">
        <v>166.34715373329806</v>
      </c>
      <c r="W97" s="45">
        <v>165.45953480952639</v>
      </c>
      <c r="X97" s="45">
        <v>165.45953480952639</v>
      </c>
      <c r="Y97" s="214"/>
      <c r="Z97" s="548"/>
      <c r="AA97" s="178"/>
      <c r="AB97" s="980">
        <v>3600</v>
      </c>
      <c r="AC97" s="548"/>
      <c r="AD97" s="45">
        <v>330.91906961905278</v>
      </c>
      <c r="AE97" s="45">
        <v>168.28569985531496</v>
      </c>
      <c r="AF97" s="45">
        <v>165.45953480952639</v>
      </c>
      <c r="AG97" s="45">
        <v>168.15583385202402</v>
      </c>
      <c r="AH97" s="45">
        <v>165.45953480952636</v>
      </c>
      <c r="AI97" s="45">
        <v>165.45953480952639</v>
      </c>
      <c r="AJ97" s="214"/>
      <c r="AK97" s="548"/>
      <c r="AL97" s="178"/>
      <c r="AM97" s="980">
        <v>3600</v>
      </c>
      <c r="AN97" s="548"/>
      <c r="AO97" s="45">
        <v>330.91906961905278</v>
      </c>
      <c r="AP97" s="45">
        <v>166.06496458782357</v>
      </c>
      <c r="AQ97" s="45">
        <v>165.45953480952639</v>
      </c>
      <c r="AR97" s="45">
        <v>165.97436415723527</v>
      </c>
      <c r="AS97" s="45">
        <v>165.45953480952639</v>
      </c>
      <c r="AT97" s="45">
        <v>165.45953480952639</v>
      </c>
      <c r="AU97" s="214"/>
      <c r="AV97" s="573"/>
      <c r="AW97" s="178"/>
    </row>
    <row r="98" spans="1:49" x14ac:dyDescent="0.2">
      <c r="A98" s="277"/>
      <c r="B98" s="14"/>
      <c r="C98" s="543"/>
      <c r="D98" s="45" t="s">
        <v>22</v>
      </c>
      <c r="E98" s="959"/>
      <c r="F98" s="980">
        <v>3600</v>
      </c>
      <c r="G98" s="187"/>
      <c r="H98" s="45">
        <v>330.91906961905278</v>
      </c>
      <c r="I98" s="45">
        <v>168.98284211778955</v>
      </c>
      <c r="J98" s="45">
        <v>165.45953480952639</v>
      </c>
      <c r="K98" s="45">
        <v>168.58010740138758</v>
      </c>
      <c r="L98" s="45">
        <v>165.45953480952636</v>
      </c>
      <c r="M98" s="45">
        <v>165.45953480952639</v>
      </c>
      <c r="N98" s="14"/>
      <c r="O98" s="160"/>
      <c r="Q98" s="980">
        <v>3600</v>
      </c>
      <c r="S98" s="45">
        <v>330.91906961905278</v>
      </c>
      <c r="T98" s="45">
        <v>166.64435373920907</v>
      </c>
      <c r="U98" s="45">
        <v>165.45953480952639</v>
      </c>
      <c r="V98" s="45">
        <v>166.34715373329806</v>
      </c>
      <c r="W98" s="45">
        <v>165.45953480952639</v>
      </c>
      <c r="X98" s="45">
        <v>165.45953480952639</v>
      </c>
      <c r="Y98" s="14"/>
      <c r="Z98" s="160"/>
      <c r="AB98" s="980">
        <v>3600</v>
      </c>
      <c r="AD98" s="45">
        <v>330.91906961905278</v>
      </c>
      <c r="AE98" s="45">
        <v>168.28569985531496</v>
      </c>
      <c r="AF98" s="45">
        <v>165.45953480952639</v>
      </c>
      <c r="AG98" s="45">
        <v>168.15583385202402</v>
      </c>
      <c r="AH98" s="45">
        <v>165.45953480952636</v>
      </c>
      <c r="AI98" s="45">
        <v>165.45953480952639</v>
      </c>
      <c r="AJ98" s="14"/>
      <c r="AK98" s="160"/>
      <c r="AM98" s="980">
        <v>3600</v>
      </c>
      <c r="AO98" s="45">
        <v>330.91906961905278</v>
      </c>
      <c r="AP98" s="45">
        <v>166.06496458782357</v>
      </c>
      <c r="AQ98" s="45">
        <v>165.45953480952639</v>
      </c>
      <c r="AR98" s="45">
        <v>165.97436415723527</v>
      </c>
      <c r="AS98" s="45">
        <v>165.45953480952639</v>
      </c>
      <c r="AT98" s="45">
        <v>165.45953480952639</v>
      </c>
      <c r="AU98" s="14"/>
      <c r="AV98" s="574"/>
    </row>
    <row r="99" spans="1:49" s="168" customFormat="1" x14ac:dyDescent="0.2">
      <c r="A99" s="599"/>
      <c r="C99" s="547"/>
      <c r="D99" s="510" t="s">
        <v>23</v>
      </c>
      <c r="E99" s="960"/>
      <c r="F99" s="993">
        <v>3600</v>
      </c>
      <c r="G99" s="419"/>
      <c r="H99" s="510">
        <v>330.91906961905278</v>
      </c>
      <c r="I99" s="510">
        <v>168.98284211778955</v>
      </c>
      <c r="J99" s="510">
        <v>165.45953480952639</v>
      </c>
      <c r="K99" s="510">
        <v>168.58010740138758</v>
      </c>
      <c r="L99" s="510">
        <v>165.45953480952636</v>
      </c>
      <c r="M99" s="510">
        <v>165.45953480952639</v>
      </c>
      <c r="O99" s="421"/>
      <c r="P99" s="420"/>
      <c r="Q99" s="993">
        <v>3600</v>
      </c>
      <c r="R99" s="421"/>
      <c r="S99" s="510">
        <v>330.91906961905278</v>
      </c>
      <c r="T99" s="510">
        <v>166.64435373920907</v>
      </c>
      <c r="U99" s="510">
        <v>165.45953480952639</v>
      </c>
      <c r="V99" s="510">
        <v>166.34715373329806</v>
      </c>
      <c r="W99" s="510">
        <v>165.45953480952639</v>
      </c>
      <c r="X99" s="510">
        <v>165.45953480952639</v>
      </c>
      <c r="Z99" s="421"/>
      <c r="AA99" s="420"/>
      <c r="AB99" s="993">
        <v>3600</v>
      </c>
      <c r="AC99" s="421"/>
      <c r="AD99" s="510">
        <v>330.91906961905278</v>
      </c>
      <c r="AE99" s="510">
        <v>168.28569985531496</v>
      </c>
      <c r="AF99" s="510">
        <v>165.45953480952639</v>
      </c>
      <c r="AG99" s="510">
        <v>168.15583385202402</v>
      </c>
      <c r="AH99" s="510">
        <v>165.45953480952636</v>
      </c>
      <c r="AI99" s="510">
        <v>165.45953480952639</v>
      </c>
      <c r="AJ99" s="419"/>
      <c r="AK99" s="419"/>
      <c r="AL99" s="420"/>
      <c r="AM99" s="993">
        <v>3600</v>
      </c>
      <c r="AN99" s="421"/>
      <c r="AO99" s="510">
        <v>330.91906961905278</v>
      </c>
      <c r="AP99" s="510">
        <v>166.06496458782357</v>
      </c>
      <c r="AQ99" s="510">
        <v>165.45953480952639</v>
      </c>
      <c r="AR99" s="510">
        <v>165.97436415723527</v>
      </c>
      <c r="AS99" s="510">
        <v>165.45953480952639</v>
      </c>
      <c r="AT99" s="510">
        <v>165.45953480952639</v>
      </c>
      <c r="AV99" s="575"/>
      <c r="AW99" s="420"/>
    </row>
    <row r="100" spans="1:49" ht="15" x14ac:dyDescent="0.25">
      <c r="C100" s="581" t="s">
        <v>430</v>
      </c>
      <c r="D100" s="583"/>
      <c r="E100" s="971"/>
      <c r="F100" s="999"/>
      <c r="G100" s="14"/>
      <c r="O100" s="14"/>
      <c r="Q100" s="999"/>
      <c r="R100" s="14"/>
      <c r="Z100" s="14"/>
      <c r="AB100" s="999"/>
      <c r="AC100" s="14"/>
      <c r="AK100" s="14"/>
      <c r="AM100" s="999"/>
      <c r="AN100" s="14"/>
    </row>
    <row r="101" spans="1:49" s="213" customFormat="1" ht="12.75" customHeight="1" x14ac:dyDescent="0.2">
      <c r="A101" s="14"/>
      <c r="B101" s="187"/>
      <c r="C101" s="543"/>
      <c r="D101" s="582" t="s">
        <v>206</v>
      </c>
      <c r="E101" s="966"/>
      <c r="F101" s="982" t="s">
        <v>61</v>
      </c>
      <c r="G101" s="507"/>
      <c r="H101" s="508" t="s">
        <v>62</v>
      </c>
      <c r="I101" s="576" t="s">
        <v>446</v>
      </c>
      <c r="J101" s="508" t="s">
        <v>64</v>
      </c>
      <c r="K101" s="576" t="s">
        <v>447</v>
      </c>
      <c r="L101" s="576" t="s">
        <v>448</v>
      </c>
      <c r="M101" s="508" t="s">
        <v>67</v>
      </c>
      <c r="N101" s="507"/>
      <c r="O101" s="507"/>
      <c r="P101" s="175"/>
      <c r="Q101" s="982" t="s">
        <v>61</v>
      </c>
      <c r="R101" s="519"/>
      <c r="S101" s="508" t="s">
        <v>62</v>
      </c>
      <c r="T101" s="576" t="s">
        <v>446</v>
      </c>
      <c r="U101" s="508" t="s">
        <v>64</v>
      </c>
      <c r="V101" s="576" t="s">
        <v>447</v>
      </c>
      <c r="W101" s="576" t="s">
        <v>448</v>
      </c>
      <c r="X101" s="508" t="s">
        <v>67</v>
      </c>
      <c r="Y101" s="507"/>
      <c r="Z101" s="507"/>
      <c r="AA101" s="175"/>
      <c r="AB101" s="982" t="s">
        <v>61</v>
      </c>
      <c r="AC101" s="519"/>
      <c r="AD101" s="508" t="s">
        <v>62</v>
      </c>
      <c r="AE101" s="576" t="s">
        <v>446</v>
      </c>
      <c r="AF101" s="508" t="s">
        <v>64</v>
      </c>
      <c r="AG101" s="576" t="s">
        <v>447</v>
      </c>
      <c r="AH101" s="576" t="s">
        <v>448</v>
      </c>
      <c r="AI101" s="508" t="s">
        <v>67</v>
      </c>
      <c r="AJ101" s="507"/>
      <c r="AK101" s="507"/>
      <c r="AL101" s="175"/>
      <c r="AM101" s="982" t="s">
        <v>61</v>
      </c>
      <c r="AN101" s="519"/>
      <c r="AO101" s="508" t="s">
        <v>62</v>
      </c>
      <c r="AP101" s="576" t="s">
        <v>446</v>
      </c>
      <c r="AQ101" s="508" t="s">
        <v>64</v>
      </c>
      <c r="AR101" s="576" t="s">
        <v>447</v>
      </c>
      <c r="AS101" s="576" t="s">
        <v>448</v>
      </c>
      <c r="AT101" s="508" t="s">
        <v>67</v>
      </c>
      <c r="AU101" s="507"/>
      <c r="AV101" s="508"/>
      <c r="AW101" s="175"/>
    </row>
    <row r="102" spans="1:49" x14ac:dyDescent="0.2">
      <c r="C102" s="543"/>
      <c r="D102" s="45" t="s">
        <v>21</v>
      </c>
      <c r="E102" s="965"/>
      <c r="F102" s="980">
        <v>10800</v>
      </c>
      <c r="G102" s="33"/>
      <c r="H102" s="32">
        <v>3.3091906961905282E-2</v>
      </c>
      <c r="I102" s="134">
        <v>325.50922916561768</v>
      </c>
      <c r="J102" s="32">
        <v>325.4761372586558</v>
      </c>
      <c r="K102" s="134">
        <v>490.98530992862504</v>
      </c>
      <c r="L102" s="134">
        <v>490.95221802166316</v>
      </c>
      <c r="M102" s="32">
        <v>165.47608076300733</v>
      </c>
      <c r="N102" s="184"/>
      <c r="O102" s="184"/>
      <c r="Q102" s="980">
        <v>10800</v>
      </c>
      <c r="R102" s="134"/>
      <c r="S102" s="32">
        <v>20.24645488492116</v>
      </c>
      <c r="T102" s="134">
        <v>332.15352640917831</v>
      </c>
      <c r="U102" s="32">
        <v>311.90707152425716</v>
      </c>
      <c r="V102" s="134">
        <v>497.62960717218562</v>
      </c>
      <c r="W102" s="134">
        <v>330.95216152601466</v>
      </c>
      <c r="X102" s="32">
        <v>165.47608076300733</v>
      </c>
      <c r="Y102" s="184"/>
      <c r="Z102" s="184"/>
      <c r="AB102" s="980">
        <v>10800</v>
      </c>
      <c r="AC102" s="134"/>
      <c r="AD102" s="32">
        <v>66.783592115433748</v>
      </c>
      <c r="AE102" s="134">
        <v>493.79492902093267</v>
      </c>
      <c r="AF102" s="32">
        <v>427.01133690549892</v>
      </c>
      <c r="AG102" s="134">
        <v>659.27100978394003</v>
      </c>
      <c r="AH102" s="134">
        <v>490.95221802166316</v>
      </c>
      <c r="AI102" s="32">
        <v>165.47608076300733</v>
      </c>
      <c r="AJ102" s="184"/>
      <c r="AK102" s="184"/>
      <c r="AM102" s="980">
        <v>10800</v>
      </c>
      <c r="AN102" s="134"/>
      <c r="AO102" s="32">
        <v>3.3091906961905282E-2</v>
      </c>
      <c r="AP102" s="134">
        <v>483.5114143965157</v>
      </c>
      <c r="AQ102" s="32">
        <v>483.47832248955382</v>
      </c>
      <c r="AR102" s="134">
        <v>648.98749515952306</v>
      </c>
      <c r="AS102" s="134">
        <v>648.95440325256118</v>
      </c>
      <c r="AT102" s="32">
        <v>165.47608076300733</v>
      </c>
      <c r="AU102" s="184"/>
      <c r="AV102" s="45"/>
    </row>
    <row r="103" spans="1:49" x14ac:dyDescent="0.2">
      <c r="C103" s="543"/>
      <c r="D103" s="45" t="s">
        <v>22</v>
      </c>
      <c r="E103" s="965"/>
      <c r="F103" s="980">
        <v>10800</v>
      </c>
      <c r="G103" s="33"/>
      <c r="H103" s="32">
        <v>3.3091906961905282E-2</v>
      </c>
      <c r="I103" s="134">
        <v>325.50922916561768</v>
      </c>
      <c r="J103" s="32">
        <v>325.4761372586558</v>
      </c>
      <c r="K103" s="134">
        <v>490.98530992862504</v>
      </c>
      <c r="L103" s="134">
        <v>490.95221802166316</v>
      </c>
      <c r="M103" s="32">
        <v>165.47608076300733</v>
      </c>
      <c r="N103" s="184"/>
      <c r="O103" s="184"/>
      <c r="Q103" s="980">
        <v>10800</v>
      </c>
      <c r="R103" s="134"/>
      <c r="S103" s="32">
        <v>41.871398032255115</v>
      </c>
      <c r="T103" s="134">
        <v>332.15352640917831</v>
      </c>
      <c r="U103" s="32">
        <v>290.2821283769232</v>
      </c>
      <c r="V103" s="134">
        <v>497.62960717218562</v>
      </c>
      <c r="W103" s="134">
        <v>330.95216152601466</v>
      </c>
      <c r="X103" s="32">
        <v>165.47608076300733</v>
      </c>
      <c r="Y103" s="184"/>
      <c r="Z103" s="184"/>
      <c r="AB103" s="980">
        <v>10800</v>
      </c>
      <c r="AC103" s="134"/>
      <c r="AD103" s="32">
        <v>63.212956981828178</v>
      </c>
      <c r="AE103" s="134">
        <v>493.79492902093267</v>
      </c>
      <c r="AF103" s="32">
        <v>430.58197203910447</v>
      </c>
      <c r="AG103" s="134">
        <v>659.27100978394003</v>
      </c>
      <c r="AH103" s="134">
        <v>490.95221802166316</v>
      </c>
      <c r="AI103" s="32">
        <v>165.47608076300733</v>
      </c>
      <c r="AJ103" s="184"/>
      <c r="AK103" s="184"/>
      <c r="AM103" s="980">
        <v>10800</v>
      </c>
      <c r="AN103" s="134"/>
      <c r="AO103" s="32">
        <v>3.3091906961905282E-2</v>
      </c>
      <c r="AP103" s="134">
        <v>483.5114143965157</v>
      </c>
      <c r="AQ103" s="32">
        <v>483.47832248955382</v>
      </c>
      <c r="AR103" s="134">
        <v>648.98749515952306</v>
      </c>
      <c r="AS103" s="134">
        <v>648.95440325256118</v>
      </c>
      <c r="AT103" s="32">
        <v>165.47608076300733</v>
      </c>
      <c r="AU103" s="184"/>
      <c r="AV103" s="45"/>
    </row>
    <row r="104" spans="1:49" s="168" customFormat="1" ht="13.5" thickBot="1" x14ac:dyDescent="0.25">
      <c r="B104" s="419"/>
      <c r="C104" s="547"/>
      <c r="D104" s="510" t="s">
        <v>23</v>
      </c>
      <c r="E104" s="972"/>
      <c r="F104" s="1000">
        <v>10800</v>
      </c>
      <c r="G104" s="174"/>
      <c r="H104" s="422">
        <v>3.3091906961905282E-2</v>
      </c>
      <c r="I104" s="172">
        <v>325.50922916561768</v>
      </c>
      <c r="J104" s="422">
        <v>325.4761372586558</v>
      </c>
      <c r="K104" s="172">
        <v>490.98530992862504</v>
      </c>
      <c r="L104" s="172">
        <v>490.95221802166316</v>
      </c>
      <c r="M104" s="212">
        <v>165.47608076300733</v>
      </c>
      <c r="N104" s="531"/>
      <c r="O104" s="531"/>
      <c r="P104" s="420"/>
      <c r="Q104" s="1000">
        <v>10800</v>
      </c>
      <c r="R104" s="172"/>
      <c r="S104" s="422">
        <v>149.06997286228679</v>
      </c>
      <c r="T104" s="172">
        <v>332.15352640917831</v>
      </c>
      <c r="U104" s="422">
        <v>183.08355354689158</v>
      </c>
      <c r="V104" s="172">
        <v>497.62960717218562</v>
      </c>
      <c r="W104" s="172">
        <v>330.95216152601466</v>
      </c>
      <c r="X104" s="212">
        <v>165.47608076300733</v>
      </c>
      <c r="Y104" s="531"/>
      <c r="Z104" s="531"/>
      <c r="AA104" s="420"/>
      <c r="AB104" s="1000">
        <v>10800</v>
      </c>
      <c r="AC104" s="172"/>
      <c r="AD104" s="422">
        <v>82.648389420717294</v>
      </c>
      <c r="AE104" s="172">
        <v>493.79492902093267</v>
      </c>
      <c r="AF104" s="422">
        <v>411.14653960021542</v>
      </c>
      <c r="AG104" s="172">
        <v>659.27100978394003</v>
      </c>
      <c r="AH104" s="172">
        <v>490.95221802166316</v>
      </c>
      <c r="AI104" s="212">
        <v>165.47608076300733</v>
      </c>
      <c r="AJ104" s="531"/>
      <c r="AK104" s="531"/>
      <c r="AL104" s="420"/>
      <c r="AM104" s="1000">
        <v>10800</v>
      </c>
      <c r="AN104" s="172"/>
      <c r="AO104" s="422">
        <v>3.3091906961905282E-2</v>
      </c>
      <c r="AP104" s="172">
        <v>483.5114143965157</v>
      </c>
      <c r="AQ104" s="422">
        <v>483.47832248955382</v>
      </c>
      <c r="AR104" s="172">
        <v>648.98749515952306</v>
      </c>
      <c r="AS104" s="172">
        <v>648.95440325256118</v>
      </c>
      <c r="AT104" s="212">
        <v>165.47608076300733</v>
      </c>
      <c r="AU104" s="531"/>
      <c r="AV104" s="510"/>
      <c r="AW104" s="420"/>
    </row>
  </sheetData>
  <mergeCells count="7">
    <mergeCell ref="AB1:AK1"/>
    <mergeCell ref="AM1:AV1"/>
    <mergeCell ref="C65:C88"/>
    <mergeCell ref="C40:C63"/>
    <mergeCell ref="C12:C35"/>
    <mergeCell ref="F1:O1"/>
    <mergeCell ref="Q1:Z1"/>
  </mergeCells>
  <printOptions horizontalCentered="1" verticalCentered="1"/>
  <pageMargins left="0.70866141732283472" right="0.70866141732283472" top="0.74803149606299213" bottom="0.74803149606299213" header="0.31496062992125984" footer="0.35433070866141736"/>
  <pageSetup paperSize="9" orientation="landscape" r:id="rId1"/>
  <headerFooter>
    <oddFooter>&amp;L&amp;8copyright:
Dr John Sampson&amp;C&amp;9&amp;F
&amp;A&amp;R&amp;9print:
&amp;D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B23C0-F092-42CF-90E6-9340EDB7F32E}">
  <dimension ref="A1:BI84"/>
  <sheetViews>
    <sheetView zoomScale="110" zoomScaleNormal="110" workbookViewId="0">
      <pane xSplit="2" ySplit="21" topLeftCell="C22" activePane="bottomRight" state="frozen"/>
      <selection activeCell="N28" sqref="N28"/>
      <selection pane="topRight" activeCell="N28" sqref="N28"/>
      <selection pane="bottomLeft" activeCell="N28" sqref="N28"/>
      <selection pane="bottomRight"/>
    </sheetView>
  </sheetViews>
  <sheetFormatPr defaultColWidth="9.140625" defaultRowHeight="12.75" x14ac:dyDescent="0.2"/>
  <cols>
    <col min="1" max="1" width="9.140625" style="1"/>
    <col min="2" max="2" width="6.140625" style="1" customWidth="1"/>
    <col min="3" max="8" width="6.42578125" style="1" customWidth="1"/>
    <col min="9" max="9" width="6.42578125" style="2" customWidth="1"/>
    <col min="10" max="20" width="6.42578125" style="1" customWidth="1"/>
    <col min="21" max="21" width="6.42578125" style="2" customWidth="1"/>
    <col min="22" max="26" width="6.42578125" style="1" customWidth="1"/>
    <col min="27" max="28" width="6.42578125" style="41" customWidth="1"/>
    <col min="29" max="33" width="6.42578125" style="1" customWidth="1"/>
    <col min="34" max="34" width="6.42578125" style="319" customWidth="1"/>
    <col min="35" max="36" width="6.42578125" style="38" customWidth="1"/>
    <col min="37" max="60" width="6.42578125" style="1" customWidth="1"/>
    <col min="61" max="61" width="6.42578125" style="28" customWidth="1"/>
    <col min="62" max="16384" width="9.140625" style="1"/>
  </cols>
  <sheetData>
    <row r="1" spans="1:61" s="44" customFormat="1" ht="15.75" thickBot="1" x14ac:dyDescent="0.3">
      <c r="A1" s="1106" t="str">
        <f>cap!A1</f>
        <v>&amp;AutoJ 2408</v>
      </c>
      <c r="B1" s="908"/>
      <c r="C1" s="213"/>
      <c r="D1" s="907" t="s">
        <v>330</v>
      </c>
      <c r="E1" s="909"/>
      <c r="F1" s="908"/>
      <c r="G1" s="908"/>
      <c r="H1" s="908"/>
      <c r="I1" s="908"/>
      <c r="U1" s="93"/>
      <c r="BI1" s="28"/>
    </row>
    <row r="2" spans="1:61" s="14" customFormat="1" ht="15.75" thickBot="1" x14ac:dyDescent="0.3">
      <c r="A2" s="404" t="s">
        <v>535</v>
      </c>
      <c r="E2" s="1071" t="s">
        <v>542</v>
      </c>
      <c r="F2" s="1030" t="s">
        <v>543</v>
      </c>
      <c r="G2" s="1027" t="s">
        <v>544</v>
      </c>
      <c r="H2" s="917" t="s">
        <v>479</v>
      </c>
      <c r="I2" s="929"/>
      <c r="J2" s="918"/>
      <c r="K2" s="775"/>
      <c r="L2" s="776"/>
      <c r="P2" s="1071" t="s">
        <v>542</v>
      </c>
      <c r="Q2" s="1030" t="s">
        <v>543</v>
      </c>
      <c r="R2" s="1027" t="s">
        <v>544</v>
      </c>
      <c r="S2" s="790" t="s">
        <v>480</v>
      </c>
      <c r="T2" s="791"/>
      <c r="U2" s="792"/>
      <c r="V2" s="792"/>
      <c r="W2" s="793"/>
      <c r="AA2" s="1071" t="s">
        <v>542</v>
      </c>
      <c r="AB2" s="1030" t="s">
        <v>543</v>
      </c>
      <c r="AC2" s="1027" t="s">
        <v>544</v>
      </c>
      <c r="AD2" s="786" t="s">
        <v>481</v>
      </c>
      <c r="AE2" s="787"/>
      <c r="AF2" s="787"/>
      <c r="AG2" s="788"/>
      <c r="AH2" s="789"/>
      <c r="AL2" s="1071" t="s">
        <v>542</v>
      </c>
      <c r="AM2" s="1030" t="s">
        <v>543</v>
      </c>
      <c r="AN2" s="1027" t="s">
        <v>544</v>
      </c>
      <c r="AO2" s="783" t="s">
        <v>482</v>
      </c>
      <c r="AP2" s="784"/>
      <c r="AQ2" s="785"/>
      <c r="AR2" s="785"/>
      <c r="AS2" s="910"/>
      <c r="AT2" s="44"/>
    </row>
    <row r="3" spans="1:61" s="213" customFormat="1" ht="12.75" customHeight="1" x14ac:dyDescent="0.2">
      <c r="A3" s="930">
        <v>2</v>
      </c>
      <c r="C3" s="14"/>
      <c r="D3" s="14"/>
      <c r="E3" s="930">
        <v>2</v>
      </c>
      <c r="H3" s="931" t="s">
        <v>368</v>
      </c>
      <c r="I3" s="932" t="s">
        <v>369</v>
      </c>
      <c r="J3" s="933" t="s">
        <v>370</v>
      </c>
      <c r="K3" s="14"/>
      <c r="L3" s="14"/>
      <c r="M3" s="14"/>
      <c r="N3" s="14"/>
      <c r="P3" s="930">
        <v>2</v>
      </c>
      <c r="S3" s="931" t="s">
        <v>368</v>
      </c>
      <c r="T3" s="932" t="s">
        <v>369</v>
      </c>
      <c r="U3" s="933" t="s">
        <v>370</v>
      </c>
      <c r="V3" s="14"/>
      <c r="W3" s="14"/>
      <c r="X3" s="14"/>
      <c r="AA3" s="930">
        <v>2</v>
      </c>
      <c r="AD3" s="931" t="s">
        <v>368</v>
      </c>
      <c r="AE3" s="932" t="s">
        <v>369</v>
      </c>
      <c r="AF3" s="933" t="s">
        <v>370</v>
      </c>
      <c r="AG3" s="14"/>
      <c r="AH3" s="14"/>
      <c r="AI3" s="14"/>
      <c r="AL3" s="930">
        <v>2</v>
      </c>
      <c r="AO3" s="931" t="s">
        <v>368</v>
      </c>
      <c r="AP3" s="932" t="s">
        <v>369</v>
      </c>
      <c r="AQ3" s="933" t="s">
        <v>370</v>
      </c>
      <c r="AR3" s="14"/>
      <c r="AS3" s="14"/>
      <c r="AT3" s="14"/>
      <c r="AW3" s="31"/>
      <c r="AX3" s="31"/>
      <c r="AZ3" s="31"/>
    </row>
    <row r="4" spans="1:61" s="14" customFormat="1" x14ac:dyDescent="0.2">
      <c r="A4" s="213">
        <f>cap!B49</f>
        <v>51.428571428571431</v>
      </c>
      <c r="B4" s="45" t="str">
        <f>hr!$A$9</f>
        <v>AM</v>
      </c>
      <c r="E4" s="1029">
        <f>MAX(cap!M$3-cap!N74,0)</f>
        <v>0</v>
      </c>
      <c r="H4" s="916">
        <f>cap!H$3/(cap!H74+cap!G74*4)</f>
        <v>1.6740234529387443E-2</v>
      </c>
      <c r="I4" s="886">
        <f>cap!J$3/cap!J74</f>
        <v>0.12281713618037686</v>
      </c>
      <c r="J4" s="919">
        <f>E4/MAX(cap!M74,$A4)</f>
        <v>0</v>
      </c>
      <c r="P4" s="1029">
        <f>MAX(cap!X$3-cap!Y74,0)</f>
        <v>93.917547232516341</v>
      </c>
      <c r="S4" s="916">
        <f>cap!S$3/(cap!S74+cap!R74*4)</f>
        <v>0.20927361802670294</v>
      </c>
      <c r="T4" s="886">
        <f>cap!U$3/cap!U74</f>
        <v>0.20927361802670294</v>
      </c>
      <c r="U4" s="919">
        <f>P4/MAX(cap!X74,$A4)</f>
        <v>0.53150536833225981</v>
      </c>
      <c r="AA4" s="1029">
        <f>MAX(cap!AI$3-cap!AJ74,0)</f>
        <v>0</v>
      </c>
      <c r="AD4" s="916">
        <f>cap!AD$3/(cap!AD74+cap!AC74*4)</f>
        <v>0.23671483560452714</v>
      </c>
      <c r="AE4" s="886">
        <f>cap!AF$3/cap!AF74</f>
        <v>0.23671483560452711</v>
      </c>
      <c r="AF4" s="919">
        <f>AA4/MAX(cap!AI74,$A4)</f>
        <v>0</v>
      </c>
      <c r="AL4" s="1029">
        <f>MAX(cap!AT$3-cap!AU74,0)</f>
        <v>166.04506349350646</v>
      </c>
      <c r="AO4" s="916">
        <f>cap!AO$3/(cap!AO74+cap!AN74*4)</f>
        <v>8.7176787456614193E-3</v>
      </c>
      <c r="AP4" s="886">
        <f>cap!AQ$3/cap!AQ74</f>
        <v>0.30005857209900094</v>
      </c>
      <c r="AQ4" s="919">
        <f>AL4/MAX(cap!AT74,$A4)</f>
        <v>3.2286540123737368</v>
      </c>
      <c r="AW4" s="32"/>
      <c r="AX4" s="32"/>
      <c r="AZ4" s="32"/>
    </row>
    <row r="5" spans="1:61" s="14" customFormat="1" x14ac:dyDescent="0.2">
      <c r="A5" s="213">
        <f>cap!B50</f>
        <v>60</v>
      </c>
      <c r="B5" s="45" t="str">
        <f>hr!$A$10</f>
        <v>off</v>
      </c>
      <c r="E5" s="1029">
        <f>MAX(cap!M$4-cap!N75,0)</f>
        <v>0</v>
      </c>
      <c r="H5" s="916">
        <f>cap!H$4/(cap!H75+cap!G75*4)</f>
        <v>1.1833835685350538E-2</v>
      </c>
      <c r="I5" s="886">
        <f>cap!J$4/cap!J75</f>
        <v>7.8507689709586451E-2</v>
      </c>
      <c r="J5" s="919">
        <f>E5/MAX(cap!M75,$A5)</f>
        <v>0</v>
      </c>
      <c r="P5" s="1029">
        <f>MAX(cap!X$4-cap!Y75,0)</f>
        <v>0</v>
      </c>
      <c r="S5" s="916">
        <f>cap!S$4/(cap!S75+cap!R75*4)</f>
        <v>0.10637229902189864</v>
      </c>
      <c r="T5" s="886">
        <f>cap!U$4/cap!U75</f>
        <v>0.10637229902189863</v>
      </c>
      <c r="U5" s="919">
        <f>P5/MAX(cap!X75,$A5)</f>
        <v>0</v>
      </c>
      <c r="AA5" s="1029">
        <f>MAX(cap!AI$4-cap!AJ75,0)</f>
        <v>0</v>
      </c>
      <c r="AD5" s="916">
        <f>cap!AD$4/(cap!AD75+cap!AC75*4)</f>
        <v>0.11251996053471942</v>
      </c>
      <c r="AE5" s="886">
        <f>cap!AF$4/cap!AF75</f>
        <v>0.11251996053471942</v>
      </c>
      <c r="AF5" s="919">
        <f>AA5/MAX(cap!AI75,$A5)</f>
        <v>0</v>
      </c>
      <c r="AL5" s="1029">
        <f>MAX(cap!AT$4-cap!AU75,0)</f>
        <v>0</v>
      </c>
      <c r="AO5" s="916">
        <f>cap!AO$4/(cap!AO75+cap!AN75*4)</f>
        <v>9.7451722524716546E-3</v>
      </c>
      <c r="AP5" s="886">
        <f>cap!AQ$4/cap!AQ75</f>
        <v>0.10958151082995241</v>
      </c>
      <c r="AQ5" s="919">
        <f>AL5/MAX(cap!AT75,$A5)</f>
        <v>0</v>
      </c>
      <c r="AW5" s="32"/>
      <c r="AX5" s="32"/>
      <c r="AZ5" s="32"/>
    </row>
    <row r="6" spans="1:61" s="14" customFormat="1" x14ac:dyDescent="0.2">
      <c r="A6" s="213">
        <f>cap!B51</f>
        <v>51.428571428571431</v>
      </c>
      <c r="B6" s="45" t="str">
        <f>hr!$A$11</f>
        <v>PM</v>
      </c>
      <c r="E6" s="1029">
        <f>MAX(cap!M$5-cap!N76,0)</f>
        <v>0</v>
      </c>
      <c r="H6" s="916">
        <f>cap!H$5/(cap!H76+cap!G76*4)</f>
        <v>6.5659173912377508E-2</v>
      </c>
      <c r="I6" s="886">
        <f>cap!J$5/cap!J76</f>
        <v>0.1712762591018645</v>
      </c>
      <c r="J6" s="919">
        <f>E6/MAX(cap!M76,$A6)</f>
        <v>0</v>
      </c>
      <c r="K6" s="1030" t="s">
        <v>543</v>
      </c>
      <c r="L6" s="1027" t="s">
        <v>544</v>
      </c>
      <c r="P6" s="1029">
        <f>MAX(cap!X$5-cap!Y76,0)</f>
        <v>141.69015218470972</v>
      </c>
      <c r="S6" s="916">
        <f>cap!S$5/(cap!S76+cap!R76*4)</f>
        <v>0.15856055430726032</v>
      </c>
      <c r="T6" s="886">
        <f>cap!U$5/cap!U76</f>
        <v>0.15856055430726032</v>
      </c>
      <c r="U6" s="919">
        <f>P6/MAX(cap!X76,$A6)</f>
        <v>2.7550862924804664</v>
      </c>
      <c r="V6" s="1030" t="s">
        <v>543</v>
      </c>
      <c r="W6" s="1027" t="s">
        <v>544</v>
      </c>
      <c r="AA6" s="1029">
        <f>MAX(cap!AI$5-cap!AJ76,0)</f>
        <v>135.39786653182017</v>
      </c>
      <c r="AD6" s="916">
        <f>cap!AD$5/(cap!AD76+cap!AC76*4)</f>
        <v>0.31222799751695318</v>
      </c>
      <c r="AE6" s="886">
        <f>cap!AF$5/cap!AF76</f>
        <v>0.31222799751695313</v>
      </c>
      <c r="AF6" s="919">
        <f>AA6/MAX(cap!AI76,$A6)</f>
        <v>2.6327362936742809</v>
      </c>
      <c r="AG6" s="1030" t="s">
        <v>543</v>
      </c>
      <c r="AH6" s="1027" t="s">
        <v>544</v>
      </c>
      <c r="AL6" s="1029">
        <f>MAX(cap!AT$5-cap!AU76,0)</f>
        <v>25.425476466142413</v>
      </c>
      <c r="AO6" s="916">
        <f>cap!AO$5/(cap!AO76+cap!AN76*4)</f>
        <v>1.2631043087252445E-2</v>
      </c>
      <c r="AP6" s="886">
        <f>cap!AQ$5/cap!AQ76</f>
        <v>0.17846118861146334</v>
      </c>
      <c r="AQ6" s="919">
        <f>AL6/MAX(cap!AT76,$A6)</f>
        <v>0.4943842646194358</v>
      </c>
      <c r="AR6" s="1030" t="s">
        <v>543</v>
      </c>
      <c r="AS6" s="1027" t="s">
        <v>544</v>
      </c>
      <c r="AW6" s="32"/>
      <c r="AX6" s="32"/>
      <c r="AZ6" s="32"/>
    </row>
    <row r="7" spans="1:61" s="213" customFormat="1" ht="12.75" customHeight="1" x14ac:dyDescent="0.2">
      <c r="A7" s="948">
        <v>3</v>
      </c>
      <c r="C7" s="14"/>
      <c r="D7" s="14"/>
      <c r="E7" s="948">
        <v>3</v>
      </c>
      <c r="F7" s="1028" t="s">
        <v>568</v>
      </c>
      <c r="G7" s="1028" t="s">
        <v>569</v>
      </c>
      <c r="H7" s="949" t="s">
        <v>371</v>
      </c>
      <c r="I7" s="950" t="s">
        <v>372</v>
      </c>
      <c r="J7" s="950" t="s">
        <v>373</v>
      </c>
      <c r="K7" s="951" t="s">
        <v>536</v>
      </c>
      <c r="L7" s="951" t="s">
        <v>536</v>
      </c>
      <c r="P7" s="948">
        <v>3</v>
      </c>
      <c r="Q7" s="1028" t="s">
        <v>568</v>
      </c>
      <c r="R7" s="1028" t="s">
        <v>569</v>
      </c>
      <c r="S7" s="949" t="s">
        <v>371</v>
      </c>
      <c r="T7" s="950" t="s">
        <v>372</v>
      </c>
      <c r="U7" s="950" t="s">
        <v>373</v>
      </c>
      <c r="V7" s="951" t="s">
        <v>536</v>
      </c>
      <c r="W7" s="951" t="s">
        <v>536</v>
      </c>
      <c r="AA7" s="948">
        <v>3</v>
      </c>
      <c r="AB7" s="1028" t="s">
        <v>568</v>
      </c>
      <c r="AC7" s="1028" t="s">
        <v>569</v>
      </c>
      <c r="AD7" s="949" t="s">
        <v>371</v>
      </c>
      <c r="AE7" s="950" t="s">
        <v>372</v>
      </c>
      <c r="AF7" s="950" t="s">
        <v>373</v>
      </c>
      <c r="AG7" s="951" t="s">
        <v>536</v>
      </c>
      <c r="AH7" s="951" t="s">
        <v>536</v>
      </c>
      <c r="AL7" s="948">
        <v>3</v>
      </c>
      <c r="AM7" s="1028" t="s">
        <v>568</v>
      </c>
      <c r="AN7" s="1028" t="s">
        <v>569</v>
      </c>
      <c r="AO7" s="949" t="s">
        <v>371</v>
      </c>
      <c r="AP7" s="950" t="s">
        <v>372</v>
      </c>
      <c r="AQ7" s="950" t="s">
        <v>373</v>
      </c>
      <c r="AR7" s="951" t="s">
        <v>536</v>
      </c>
      <c r="AS7" s="951" t="s">
        <v>536</v>
      </c>
    </row>
    <row r="8" spans="1:61" s="14" customFormat="1" x14ac:dyDescent="0.2">
      <c r="A8" s="213">
        <f>cap!B53</f>
        <v>45</v>
      </c>
      <c r="B8" s="45" t="str">
        <f>hr!$A$9</f>
        <v>AM</v>
      </c>
      <c r="E8" s="1029">
        <f>MAX(cap!M$3-cap!N78,0)</f>
        <v>0</v>
      </c>
      <c r="F8" s="1029">
        <f>MAX(E8-cap!M78*0.2,0)</f>
        <v>0</v>
      </c>
      <c r="G8" s="1029">
        <f>MAX(E8-cap!M78*0.4,0)</f>
        <v>0</v>
      </c>
      <c r="H8" s="916">
        <f>cap!H$3/(cap!H78+cap!G78*4)</f>
        <v>1.6939475525054402E-2</v>
      </c>
      <c r="I8" s="886">
        <f>cap!J$3/cap!J78</f>
        <v>0.12281713618037686</v>
      </c>
      <c r="J8" s="919">
        <f>E8/MAX(cap!M78,$A8)</f>
        <v>0</v>
      </c>
      <c r="K8" s="919">
        <f>F8/cap!O78</f>
        <v>0</v>
      </c>
      <c r="L8" s="919">
        <f>G8/cap!O78</f>
        <v>0</v>
      </c>
      <c r="P8" s="1029">
        <f>MAX(cap!X$3-cap!Y78,0)</f>
        <v>114.66247866108779</v>
      </c>
      <c r="Q8" s="1029">
        <f>MAX(P8-cap!X78*0.2,0)</f>
        <v>84.809279341729919</v>
      </c>
      <c r="R8" s="1029">
        <f>MAX(P8-cap!X78*0.4,0)</f>
        <v>54.956080022372042</v>
      </c>
      <c r="S8" s="916">
        <f>cap!S$3/(cap!S78+cap!R78*4)</f>
        <v>0.20931012240219571</v>
      </c>
      <c r="T8" s="886">
        <f>cap!U$3/cap!U78</f>
        <v>0.20931012240219571</v>
      </c>
      <c r="U8" s="919">
        <f>P8/MAX(cap!X78,$A8)</f>
        <v>0.76817548052035123</v>
      </c>
      <c r="V8" s="919">
        <f>Q8/cap!Z78</f>
        <v>4.659384549225927E-2</v>
      </c>
      <c r="W8" s="919">
        <f>R8/cap!Z78</f>
        <v>3.0192628935153603E-2</v>
      </c>
      <c r="AA8" s="1029">
        <f>MAX(cap!AI$3-cap!AJ78,0)</f>
        <v>0</v>
      </c>
      <c r="AB8" s="1029">
        <f>MAX(AA8-cap!AI78*0.2,0)</f>
        <v>0</v>
      </c>
      <c r="AC8" s="1029">
        <f>MAX(AA8-cap!AI78*0.4,0)</f>
        <v>0</v>
      </c>
      <c r="AD8" s="916">
        <f>cap!AD$3/(cap!AD78+cap!AC78*4)</f>
        <v>0.23674786302847253</v>
      </c>
      <c r="AE8" s="886">
        <f>cap!AF$3/cap!AF78</f>
        <v>0.2367478630284725</v>
      </c>
      <c r="AF8" s="919">
        <f>AA8/MAX(cap!AI78,$A8)</f>
        <v>0</v>
      </c>
      <c r="AG8" s="919">
        <f>AB8/cap!AK78</f>
        <v>0</v>
      </c>
      <c r="AH8" s="919">
        <f>AC8/cap!AK78</f>
        <v>0</v>
      </c>
      <c r="AL8" s="1029">
        <f>MAX(cap!AT$3-cap!AU78,0)</f>
        <v>183.61824920779219</v>
      </c>
      <c r="AM8" s="1029">
        <f>MAX(AL8-cap!AT78*0.2,0)</f>
        <v>179.66378304168262</v>
      </c>
      <c r="AN8" s="1029">
        <f>MAX(AL8-cap!AT78*0.4,0)</f>
        <v>175.70931687557305</v>
      </c>
      <c r="AO8" s="916">
        <f>cap!AO$3/(cap!AO78+cap!AN78*4)</f>
        <v>8.7987961033195831E-3</v>
      </c>
      <c r="AP8" s="886">
        <f>cap!AQ$3/cap!AQ78</f>
        <v>0.30005857209900094</v>
      </c>
      <c r="AQ8" s="919">
        <f>AL8/MAX(cap!AT78,$A8)</f>
        <v>4.0804055379509379</v>
      </c>
      <c r="AR8" s="919">
        <f>AM8/cap!AV78</f>
        <v>9.8706493116961766E-2</v>
      </c>
      <c r="AS8" s="919">
        <f>AN8/cap!AV78</f>
        <v>9.6533926777780346E-2</v>
      </c>
    </row>
    <row r="9" spans="1:61" s="14" customFormat="1" x14ac:dyDescent="0.2">
      <c r="A9" s="213">
        <f>cap!B54</f>
        <v>51.428571428571431</v>
      </c>
      <c r="B9" s="45" t="str">
        <f>hr!$A$10</f>
        <v>off</v>
      </c>
      <c r="E9" s="1029">
        <f>MAX(cap!M$4-cap!N79,0)</f>
        <v>0</v>
      </c>
      <c r="F9" s="1029">
        <f>MAX(E9-cap!M79*0.2,0)</f>
        <v>0</v>
      </c>
      <c r="G9" s="1029">
        <f>MAX(E9-cap!M79*0.4,0)</f>
        <v>0</v>
      </c>
      <c r="H9" s="916">
        <f>cap!H$4/(cap!H79+cap!G79*4)</f>
        <v>1.1916384510607126E-2</v>
      </c>
      <c r="I9" s="886">
        <f>cap!J$4/cap!J79</f>
        <v>7.8507689709586451E-2</v>
      </c>
      <c r="J9" s="919">
        <f>E9/MAX(cap!M79,$A9)</f>
        <v>0</v>
      </c>
      <c r="K9" s="919">
        <f>F9/cap!O79</f>
        <v>0</v>
      </c>
      <c r="L9" s="919">
        <f>G9/cap!O79</f>
        <v>0</v>
      </c>
      <c r="P9" s="1029">
        <f>MAX(cap!X$4-cap!Y79,0)</f>
        <v>0</v>
      </c>
      <c r="Q9" s="1029">
        <f>MAX(P9-cap!X79*0.2,0)</f>
        <v>0</v>
      </c>
      <c r="R9" s="1029">
        <f>MAX(P9-cap!X79*0.4,0)</f>
        <v>0</v>
      </c>
      <c r="S9" s="916">
        <f>cap!S$4/(cap!S79+cap!R79*4)</f>
        <v>0.10640149755932501</v>
      </c>
      <c r="T9" s="886">
        <f>cap!U$4/cap!U79</f>
        <v>0.106401497559325</v>
      </c>
      <c r="U9" s="919">
        <f>P9/MAX(cap!X79,$A9)</f>
        <v>0</v>
      </c>
      <c r="V9" s="919">
        <f>Q9/cap!Z79</f>
        <v>0</v>
      </c>
      <c r="W9" s="919">
        <f>R9/cap!Z79</f>
        <v>0</v>
      </c>
      <c r="AA9" s="1029">
        <f>MAX(cap!AI$4-cap!AJ79,0)</f>
        <v>0</v>
      </c>
      <c r="AB9" s="1029">
        <f>MAX(AA9-cap!AI79*0.2,0)</f>
        <v>0</v>
      </c>
      <c r="AC9" s="1029">
        <f>MAX(AA9-cap!AI79*0.4,0)</f>
        <v>0</v>
      </c>
      <c r="AD9" s="916">
        <f>cap!AD$4/(cap!AD79+cap!AC79*4)</f>
        <v>0.11253951987597399</v>
      </c>
      <c r="AE9" s="886">
        <f>cap!AF$4/cap!AF79</f>
        <v>0.11253951987597399</v>
      </c>
      <c r="AF9" s="919">
        <f>AA9/MAX(cap!AI79,$A9)</f>
        <v>0</v>
      </c>
      <c r="AG9" s="919">
        <f>AB9/cap!AK79</f>
        <v>0</v>
      </c>
      <c r="AH9" s="919">
        <f>AC9/cap!AK79</f>
        <v>0</v>
      </c>
      <c r="AL9" s="1029">
        <f>MAX(cap!AT$4-cap!AU79,0)</f>
        <v>0</v>
      </c>
      <c r="AM9" s="1029">
        <f>MAX(AL9-cap!AT79*0.2,0)</f>
        <v>0</v>
      </c>
      <c r="AN9" s="1029">
        <f>MAX(AL9-cap!AT79*0.4,0)</f>
        <v>0</v>
      </c>
      <c r="AO9" s="916">
        <f>cap!AO$4/(cap!AO79+cap!AN79*4)</f>
        <v>9.8046874694159448E-3</v>
      </c>
      <c r="AP9" s="886">
        <f>cap!AQ$4/cap!AQ79</f>
        <v>0.10958151082995241</v>
      </c>
      <c r="AQ9" s="919">
        <f>AL9/MAX(cap!AT79,$A9)</f>
        <v>0</v>
      </c>
      <c r="AR9" s="919">
        <f>AM9/cap!AV79</f>
        <v>0</v>
      </c>
      <c r="AS9" s="919">
        <f>AN9/cap!AV79</f>
        <v>0</v>
      </c>
    </row>
    <row r="10" spans="1:61" s="14" customFormat="1" x14ac:dyDescent="0.2">
      <c r="A10" s="213">
        <f>cap!B55</f>
        <v>45</v>
      </c>
      <c r="B10" s="45" t="str">
        <f>hr!$A$11</f>
        <v>PM</v>
      </c>
      <c r="E10" s="1029">
        <f>MAX(cap!M$5-cap!N80,0)</f>
        <v>0</v>
      </c>
      <c r="F10" s="1029">
        <f>MAX(E10-cap!M80*0.2,0)</f>
        <v>0</v>
      </c>
      <c r="G10" s="1029">
        <f>MAX(E10-cap!M80*0.4,0)</f>
        <v>0</v>
      </c>
      <c r="H10" s="916">
        <f>cap!H$5/(cap!H80+cap!G80*4)</f>
        <v>6.6596002547784194E-2</v>
      </c>
      <c r="I10" s="886">
        <f>cap!J$5/cap!J80</f>
        <v>0.1712762591018645</v>
      </c>
      <c r="J10" s="919">
        <f>E10/MAX(cap!M80,$A10)</f>
        <v>0</v>
      </c>
      <c r="K10" s="919">
        <f>F10/cap!O80</f>
        <v>0</v>
      </c>
      <c r="L10" s="919">
        <f>G10/cap!O80</f>
        <v>0</v>
      </c>
      <c r="P10" s="1029">
        <f>MAX(cap!X$5-cap!Y80,0)</f>
        <v>162.43508361328117</v>
      </c>
      <c r="Q10" s="1029">
        <f>MAX(P10-cap!X80*0.2,0)</f>
        <v>155.35876892515356</v>
      </c>
      <c r="R10" s="1029">
        <f>MAX(P10-cap!X80*0.4,0)</f>
        <v>148.28245423702595</v>
      </c>
      <c r="S10" s="916">
        <f>cap!S$5/(cap!S80+cap!R80*4)</f>
        <v>0.15863078042468357</v>
      </c>
      <c r="T10" s="886">
        <f>cap!U$5/cap!U80</f>
        <v>0.15863078042468359</v>
      </c>
      <c r="U10" s="919">
        <f>P10/MAX(cap!X80,$A10)</f>
        <v>3.6096685247395817</v>
      </c>
      <c r="V10" s="919">
        <f>Q10/cap!Z80</f>
        <v>8.535342513639807E-2</v>
      </c>
      <c r="W10" s="919">
        <f>R10/cap!Z80</f>
        <v>8.1465728933902581E-2</v>
      </c>
      <c r="AA10" s="1029">
        <f>MAX(cap!AI$5-cap!AJ80,0)</f>
        <v>152.9710522461059</v>
      </c>
      <c r="AB10" s="1029">
        <f>MAX(AA10-cap!AI80*0.2,0)</f>
        <v>145.07620556982562</v>
      </c>
      <c r="AC10" s="1029">
        <f>MAX(AA10-cap!AI80*0.4,0)</f>
        <v>137.18135889354531</v>
      </c>
      <c r="AD10" s="916">
        <f>cap!AD$5/(cap!AD80+cap!AC80*4)</f>
        <v>0.31227440886607277</v>
      </c>
      <c r="AE10" s="886">
        <f>cap!AF$5/cap!AF80</f>
        <v>0.31227440886607272</v>
      </c>
      <c r="AF10" s="919">
        <f>AA10/MAX(cap!AI80,$A10)</f>
        <v>3.3993567165801313</v>
      </c>
      <c r="AG10" s="919">
        <f>AB10/cap!AK80</f>
        <v>7.9704230001606063E-2</v>
      </c>
      <c r="AH10" s="919">
        <f>AC10/cap!AK80</f>
        <v>7.5366835920735925E-2</v>
      </c>
      <c r="AL10" s="1029">
        <f>MAX(cap!AT$5-cap!AU80,0)</f>
        <v>42.998662180428155</v>
      </c>
      <c r="AM10" s="1029">
        <f>MAX(AL10-cap!AT80*0.2,0)</f>
        <v>42.113534542008232</v>
      </c>
      <c r="AN10" s="1029">
        <f>MAX(AL10-cap!AT80*0.4,0)</f>
        <v>41.228406903588308</v>
      </c>
      <c r="AO10" s="916">
        <f>cap!AO$5/(cap!AO80+cap!AN80*4)</f>
        <v>1.2822198887201744E-2</v>
      </c>
      <c r="AP10" s="886">
        <f>cap!AQ$5/cap!AQ80</f>
        <v>0.17846118861146334</v>
      </c>
      <c r="AQ10" s="919">
        <f>AL10/MAX(cap!AT80,$A10)</f>
        <v>0.95552582623173676</v>
      </c>
      <c r="AR10" s="919">
        <f>AM10/cap!AV80</f>
        <v>2.3136990867198073E-2</v>
      </c>
      <c r="AS10" s="919">
        <f>AN10/cap!AV80</f>
        <v>2.2650705631129881E-2</v>
      </c>
    </row>
    <row r="11" spans="1:61" s="213" customFormat="1" ht="12.75" customHeight="1" x14ac:dyDescent="0.2">
      <c r="A11" s="940">
        <v>4</v>
      </c>
      <c r="C11" s="14"/>
      <c r="D11" s="14"/>
      <c r="E11" s="940">
        <v>4</v>
      </c>
      <c r="F11" s="940" t="s">
        <v>568</v>
      </c>
      <c r="G11" s="940" t="s">
        <v>569</v>
      </c>
      <c r="H11" s="943" t="s">
        <v>374</v>
      </c>
      <c r="I11" s="944" t="s">
        <v>375</v>
      </c>
      <c r="J11" s="944" t="s">
        <v>376</v>
      </c>
      <c r="K11" s="945" t="s">
        <v>537</v>
      </c>
      <c r="L11" s="945" t="s">
        <v>537</v>
      </c>
      <c r="P11" s="940">
        <v>4</v>
      </c>
      <c r="Q11" s="940" t="s">
        <v>568</v>
      </c>
      <c r="R11" s="940" t="s">
        <v>569</v>
      </c>
      <c r="S11" s="943" t="s">
        <v>374</v>
      </c>
      <c r="T11" s="944" t="s">
        <v>375</v>
      </c>
      <c r="U11" s="944" t="s">
        <v>376</v>
      </c>
      <c r="V11" s="945" t="s">
        <v>537</v>
      </c>
      <c r="W11" s="945" t="s">
        <v>537</v>
      </c>
      <c r="AA11" s="940">
        <v>4</v>
      </c>
      <c r="AB11" s="940" t="s">
        <v>568</v>
      </c>
      <c r="AC11" s="940" t="s">
        <v>569</v>
      </c>
      <c r="AD11" s="943" t="s">
        <v>374</v>
      </c>
      <c r="AE11" s="944" t="s">
        <v>375</v>
      </c>
      <c r="AF11" s="944" t="s">
        <v>376</v>
      </c>
      <c r="AG11" s="945" t="s">
        <v>537</v>
      </c>
      <c r="AH11" s="945" t="s">
        <v>537</v>
      </c>
      <c r="AL11" s="940">
        <v>4</v>
      </c>
      <c r="AM11" s="940" t="s">
        <v>568</v>
      </c>
      <c r="AN11" s="940" t="s">
        <v>569</v>
      </c>
      <c r="AO11" s="943" t="s">
        <v>374</v>
      </c>
      <c r="AP11" s="944" t="s">
        <v>375</v>
      </c>
      <c r="AQ11" s="944" t="s">
        <v>376</v>
      </c>
      <c r="AR11" s="945" t="s">
        <v>537</v>
      </c>
      <c r="AS11" s="945" t="s">
        <v>537</v>
      </c>
    </row>
    <row r="12" spans="1:61" s="14" customFormat="1" x14ac:dyDescent="0.2">
      <c r="A12" s="213">
        <f>cap!B57</f>
        <v>40</v>
      </c>
      <c r="B12" s="45" t="str">
        <f>hr!$A$9</f>
        <v>AM</v>
      </c>
      <c r="E12" s="1029">
        <f>MAX(cap!M$3-cap!N82,0)</f>
        <v>0</v>
      </c>
      <c r="F12" s="1029">
        <f>MAX(E12-cap!M82*0.2,0)</f>
        <v>0</v>
      </c>
      <c r="G12" s="1029">
        <f>MAX(E12-cap!M82*0.4,0)</f>
        <v>0</v>
      </c>
      <c r="H12" s="916">
        <f>cap!H$3/(cap!H82+cap!G82*4)</f>
        <v>1.717498289872019E-2</v>
      </c>
      <c r="I12" s="886">
        <f>cap!J$3/cap!J82</f>
        <v>0.12281713618037686</v>
      </c>
      <c r="J12" s="919">
        <f>E12/MAX(cap!M82,$A12)</f>
        <v>0</v>
      </c>
      <c r="K12" s="919">
        <f>F12/cap!O82</f>
        <v>0</v>
      </c>
      <c r="L12" s="919">
        <f>G12/cap!O82</f>
        <v>0</v>
      </c>
      <c r="P12" s="1029">
        <f>MAX(cap!X$3-cap!Y82,0)</f>
        <v>130.79742532775447</v>
      </c>
      <c r="Q12" s="1029">
        <f>MAX(P12-cap!X82*0.2,0)</f>
        <v>107.09076098749382</v>
      </c>
      <c r="R12" s="1029">
        <f>MAX(P12-cap!X82*0.4,0)</f>
        <v>83.384096647233179</v>
      </c>
      <c r="S12" s="916">
        <f>cap!S$3/(cap!S82+cap!R82*4)</f>
        <v>0.2093598646916105</v>
      </c>
      <c r="T12" s="886">
        <f>cap!U$3/cap!U82</f>
        <v>0.2093598646916105</v>
      </c>
      <c r="U12" s="919">
        <f>P12/MAX(cap!X82,$A12)</f>
        <v>1.1034654513214104</v>
      </c>
      <c r="V12" s="919">
        <f>Q12/cap!Z82</f>
        <v>5.8835193623023349E-2</v>
      </c>
      <c r="W12" s="919">
        <f>R12/cap!Z82</f>
        <v>4.5810856380913895E-2</v>
      </c>
      <c r="AA12" s="1029">
        <f>MAX(cap!AI$3-cap!AJ82,0)</f>
        <v>0</v>
      </c>
      <c r="AB12" s="1029">
        <f>MAX(AA12-cap!AI82*0.2,0)</f>
        <v>0</v>
      </c>
      <c r="AC12" s="1029">
        <f>MAX(AA12-cap!AI82*0.4,0)</f>
        <v>0</v>
      </c>
      <c r="AD12" s="916">
        <f>cap!AD$3/(cap!AD82+cap!AC82*4)</f>
        <v>0.23679287686343631</v>
      </c>
      <c r="AE12" s="886">
        <f>cap!AF$3/cap!AF82</f>
        <v>0.23679287686343628</v>
      </c>
      <c r="AF12" s="919">
        <f>AA12/MAX(cap!AI82,$A12)</f>
        <v>0</v>
      </c>
      <c r="AG12" s="919">
        <f>AB12/cap!AK82</f>
        <v>0</v>
      </c>
      <c r="AH12" s="919">
        <f>AC12/cap!AK82</f>
        <v>0</v>
      </c>
      <c r="AL12" s="1029">
        <f>MAX(cap!AT$3-cap!AU82,0)</f>
        <v>197.28628254112553</v>
      </c>
      <c r="AM12" s="1029">
        <f>MAX(AL12-cap!AT82*0.2,0)</f>
        <v>194.69024588556056</v>
      </c>
      <c r="AN12" s="1029">
        <f>MAX(AL12-cap!AT82*0.4,0)</f>
        <v>192.09420922999561</v>
      </c>
      <c r="AO12" s="916">
        <f>cap!AO$3/(cap!AO82+cap!AN82*4)</f>
        <v>8.8944068151285711E-3</v>
      </c>
      <c r="AP12" s="886">
        <f>cap!AQ$3/cap!AQ82</f>
        <v>0.30005857209900094</v>
      </c>
      <c r="AQ12" s="919">
        <f>AL12/MAX(cap!AT82,$A12)</f>
        <v>4.9321570635281384</v>
      </c>
      <c r="AR12" s="919">
        <f>AM12/cap!AV82</f>
        <v>0.10696196579020169</v>
      </c>
      <c r="AS12" s="919">
        <f>AN12/cap!AV82</f>
        <v>0.10553571465635769</v>
      </c>
      <c r="AW12" s="32"/>
      <c r="AX12" s="32"/>
    </row>
    <row r="13" spans="1:61" s="14" customFormat="1" x14ac:dyDescent="0.2">
      <c r="A13" s="213">
        <f>cap!B58</f>
        <v>45</v>
      </c>
      <c r="B13" s="45" t="str">
        <f>hr!$A$10</f>
        <v>off</v>
      </c>
      <c r="E13" s="1029">
        <f>MAX(cap!M$4-cap!N83,0)</f>
        <v>0</v>
      </c>
      <c r="F13" s="1029">
        <f>MAX(E13-cap!M83*0.2,0)</f>
        <v>0</v>
      </c>
      <c r="G13" s="1029">
        <f>MAX(E13-cap!M83*0.4,0)</f>
        <v>0</v>
      </c>
      <c r="H13" s="916">
        <f>cap!H$4/(cap!H83+cap!G83*4)</f>
        <v>1.2012363456109369E-2</v>
      </c>
      <c r="I13" s="886">
        <f>cap!J$4/cap!J83</f>
        <v>7.8507689709586451E-2</v>
      </c>
      <c r="J13" s="919">
        <f>E13/MAX(cap!M83,$A13)</f>
        <v>0</v>
      </c>
      <c r="K13" s="919">
        <f>F13/cap!O83</f>
        <v>0</v>
      </c>
      <c r="L13" s="919">
        <f>G13/cap!O83</f>
        <v>0</v>
      </c>
      <c r="P13" s="1029">
        <f>MAX(cap!X$4-cap!Y83,0)</f>
        <v>0</v>
      </c>
      <c r="Q13" s="1029">
        <f>MAX(P13-cap!X83*0.2,0)</f>
        <v>0</v>
      </c>
      <c r="R13" s="1029">
        <f>MAX(P13-cap!X83*0.4,0)</f>
        <v>0</v>
      </c>
      <c r="S13" s="916">
        <f>cap!S$4/(cap!S83+cap!R83*4)</f>
        <v>0.10644158453528439</v>
      </c>
      <c r="T13" s="886">
        <f>cap!U$4/cap!U83</f>
        <v>0.10644158453528438</v>
      </c>
      <c r="U13" s="919">
        <f>P13/MAX(cap!X83,$A13)</f>
        <v>0</v>
      </c>
      <c r="V13" s="919">
        <f>Q13/cap!Z83</f>
        <v>0</v>
      </c>
      <c r="W13" s="919">
        <f>R13/cap!Z83</f>
        <v>0</v>
      </c>
      <c r="AA13" s="1029">
        <f>MAX(cap!AI$4-cap!AJ83,0)</f>
        <v>0</v>
      </c>
      <c r="AB13" s="1029">
        <f>MAX(AA13-cap!AI83*0.2,0)</f>
        <v>0</v>
      </c>
      <c r="AC13" s="1029">
        <f>MAX(AA13-cap!AI83*0.4,0)</f>
        <v>0</v>
      </c>
      <c r="AD13" s="916">
        <f>cap!AD$4/(cap!AD83+cap!AC83*4)</f>
        <v>0.1125663686951168</v>
      </c>
      <c r="AE13" s="886">
        <f>cap!AF$4/cap!AF83</f>
        <v>0.1125663686951168</v>
      </c>
      <c r="AF13" s="919">
        <f>AA13/MAX(cap!AI83,$A13)</f>
        <v>0</v>
      </c>
      <c r="AG13" s="919">
        <f>AB13/cap!AK83</f>
        <v>0</v>
      </c>
      <c r="AH13" s="919">
        <f>AC13/cap!AK83</f>
        <v>0</v>
      </c>
      <c r="AL13" s="1029">
        <f>MAX(cap!AT$4-cap!AU83,0)</f>
        <v>0</v>
      </c>
      <c r="AM13" s="1029">
        <f>MAX(AL13-cap!AT83*0.2,0)</f>
        <v>0</v>
      </c>
      <c r="AN13" s="1029">
        <f>MAX(AL13-cap!AT83*0.4,0)</f>
        <v>0</v>
      </c>
      <c r="AO13" s="916">
        <f>cap!AO$4/(cap!AO83+cap!AN83*4)</f>
        <v>9.8738198352477172E-3</v>
      </c>
      <c r="AP13" s="886">
        <f>cap!AQ$4/cap!AQ83</f>
        <v>0.10958151082995241</v>
      </c>
      <c r="AQ13" s="919">
        <f>AL13/MAX(cap!AT83,$A13)</f>
        <v>0</v>
      </c>
      <c r="AR13" s="919">
        <f>AM13/cap!AV83</f>
        <v>0</v>
      </c>
      <c r="AS13" s="919">
        <f>AN13/cap!AV83</f>
        <v>0</v>
      </c>
      <c r="AW13" s="32"/>
      <c r="AX13" s="32"/>
    </row>
    <row r="14" spans="1:61" s="14" customFormat="1" x14ac:dyDescent="0.2">
      <c r="A14" s="213">
        <f>cap!B59</f>
        <v>40</v>
      </c>
      <c r="B14" s="45" t="str">
        <f>hr!$A$11</f>
        <v>PM</v>
      </c>
      <c r="E14" s="1029">
        <f>MAX(cap!M$5-cap!N84,0)</f>
        <v>0</v>
      </c>
      <c r="F14" s="1029">
        <f>MAX(E14-cap!M84*0.2,0)</f>
        <v>0</v>
      </c>
      <c r="G14" s="1029">
        <f>MAX(E14-cap!M84*0.4,0)</f>
        <v>0</v>
      </c>
      <c r="H14" s="916">
        <f>cap!H$5/(cap!H84+cap!G84*4)</f>
        <v>6.7706216656063897E-2</v>
      </c>
      <c r="I14" s="886">
        <f>cap!J$5/cap!J84</f>
        <v>0.1712762591018645</v>
      </c>
      <c r="J14" s="919">
        <f>E14/MAX(cap!M84,$A14)</f>
        <v>0</v>
      </c>
      <c r="K14" s="919">
        <f>F14/cap!O84</f>
        <v>0</v>
      </c>
      <c r="L14" s="919">
        <f>G14/cap!O84</f>
        <v>0</v>
      </c>
      <c r="P14" s="1029">
        <f>MAX(cap!X$5-cap!Y84,0)</f>
        <v>178.57003027994784</v>
      </c>
      <c r="Q14" s="1029">
        <f>MAX(P14-cap!X84*0.2,0)</f>
        <v>173.66146207282918</v>
      </c>
      <c r="R14" s="1029">
        <f>MAX(P14-cap!X84*0.4,0)</f>
        <v>168.75289386571055</v>
      </c>
      <c r="S14" s="916">
        <f>cap!S$5/(cap!S84+cap!R84*4)</f>
        <v>0.15872652854039901</v>
      </c>
      <c r="T14" s="886">
        <f>cap!U$5/cap!U84</f>
        <v>0.15872652854039904</v>
      </c>
      <c r="U14" s="919">
        <f>P14/MAX(cap!X84,$A14)</f>
        <v>4.4642507569986964</v>
      </c>
      <c r="V14" s="919">
        <f>Q14/cap!Z84</f>
        <v>9.5408844345642771E-2</v>
      </c>
      <c r="W14" s="919">
        <f>R14/cap!Z84</f>
        <v>9.2712098536624113E-2</v>
      </c>
      <c r="AA14" s="1029">
        <f>MAX(cap!AI$5-cap!AJ84,0)</f>
        <v>166.63908557943924</v>
      </c>
      <c r="AB14" s="1029">
        <f>MAX(AA14-cap!AI84*0.2,0)</f>
        <v>161.10582905750462</v>
      </c>
      <c r="AC14" s="1029">
        <f>MAX(AA14-cap!AI84*0.4,0)</f>
        <v>155.57257253557</v>
      </c>
      <c r="AD14" s="916">
        <f>cap!AD$5/(cap!AD84+cap!AC84*4)</f>
        <v>0.31233766716400257</v>
      </c>
      <c r="AE14" s="886">
        <f>cap!AF$5/cap!AF84</f>
        <v>0.31233766716400252</v>
      </c>
      <c r="AF14" s="919">
        <f>AA14/MAX(cap!AI84,$A14)</f>
        <v>4.1659771394859808</v>
      </c>
      <c r="AG14" s="919">
        <f>AB14/cap!AK84</f>
        <v>8.8510834725536391E-2</v>
      </c>
      <c r="AH14" s="919">
        <f>AC14/cap!AK84</f>
        <v>8.547088790069407E-2</v>
      </c>
      <c r="AL14" s="1029">
        <f>MAX(cap!AT$5-cap!AU84,0)</f>
        <v>56.666695513761482</v>
      </c>
      <c r="AM14" s="1029">
        <f>MAX(AL14-cap!AT84*0.2,0)</f>
        <v>56.162838826504959</v>
      </c>
      <c r="AN14" s="1029">
        <f>MAX(AL14-cap!AT84*0.4,0)</f>
        <v>55.658982139248437</v>
      </c>
      <c r="AO14" s="916">
        <f>cap!AO$5/(cap!AO84+cap!AN84*4)</f>
        <v>1.3048947605494512E-2</v>
      </c>
      <c r="AP14" s="886">
        <f>cap!AQ$5/cap!AQ84</f>
        <v>0.17846118861146334</v>
      </c>
      <c r="AQ14" s="919">
        <f>AL14/MAX(cap!AT84,$A14)</f>
        <v>1.416667387844037</v>
      </c>
      <c r="AR14" s="919">
        <f>AM14/cap!AV84</f>
        <v>3.0855616920697375E-2</v>
      </c>
      <c r="AS14" s="919">
        <f>AN14/cap!AV84</f>
        <v>3.0578800270225963E-2</v>
      </c>
      <c r="AW14" s="32"/>
      <c r="AX14" s="32"/>
    </row>
    <row r="15" spans="1:61" s="213" customFormat="1" ht="12.75" customHeight="1" x14ac:dyDescent="0.2">
      <c r="A15" s="936" t="s">
        <v>534</v>
      </c>
      <c r="C15" s="14"/>
      <c r="D15" s="14"/>
      <c r="E15" s="936" t="s">
        <v>534</v>
      </c>
      <c r="F15" s="14"/>
      <c r="H15" s="937" t="s">
        <v>570</v>
      </c>
      <c r="I15" s="938" t="s">
        <v>571</v>
      </c>
      <c r="K15" s="939" t="s">
        <v>572</v>
      </c>
      <c r="P15" s="936" t="s">
        <v>534</v>
      </c>
      <c r="Q15" s="14"/>
      <c r="S15" s="937" t="s">
        <v>570</v>
      </c>
      <c r="T15" s="938" t="s">
        <v>571</v>
      </c>
      <c r="V15" s="939" t="s">
        <v>572</v>
      </c>
      <c r="AA15" s="936" t="s">
        <v>534</v>
      </c>
      <c r="AB15" s="14"/>
      <c r="AD15" s="937" t="s">
        <v>570</v>
      </c>
      <c r="AE15" s="938" t="s">
        <v>571</v>
      </c>
      <c r="AG15" s="939" t="s">
        <v>572</v>
      </c>
      <c r="AL15" s="936" t="s">
        <v>534</v>
      </c>
      <c r="AM15" s="14"/>
      <c r="AO15" s="937" t="s">
        <v>570</v>
      </c>
      <c r="AP15" s="938" t="s">
        <v>571</v>
      </c>
      <c r="AR15" s="939" t="s">
        <v>572</v>
      </c>
    </row>
    <row r="16" spans="1:61" s="14" customFormat="1" x14ac:dyDescent="0.2">
      <c r="A16" s="213"/>
      <c r="B16" s="45" t="str">
        <f>hr!$A$9</f>
        <v>AM</v>
      </c>
      <c r="E16" s="1029">
        <f>MAX(cap!M$3-cap!N86,0)</f>
        <v>0</v>
      </c>
      <c r="H16" s="916">
        <f>cap!H$3/(cap!H86+cap!G86*4)</f>
        <v>1.9025805982243012E-2</v>
      </c>
      <c r="I16" s="886">
        <f>cap!J$3/cap!J86</f>
        <v>0.12281713618037686</v>
      </c>
      <c r="K16" s="919">
        <f>E16/cap!O86</f>
        <v>0</v>
      </c>
      <c r="M16" s="213"/>
      <c r="P16" s="1029">
        <f>MAX(cap!X$3-cap!Y86,0)</f>
        <v>195.33721199442112</v>
      </c>
      <c r="S16" s="916">
        <f>cap!S$3/(cap!S86+cap!R86*4)</f>
        <v>0.20968697370143205</v>
      </c>
      <c r="T16" s="886">
        <f>cap!U$3/cap!U86</f>
        <v>0.20968697370143205</v>
      </c>
      <c r="V16" s="919">
        <f>P16/cap!Z86</f>
        <v>0.10731740612820424</v>
      </c>
      <c r="X16" s="213"/>
      <c r="AA16" s="1029">
        <f>MAX(cap!AI$3-cap!AJ86,0)</f>
        <v>3.6745956592039732</v>
      </c>
      <c r="AD16" s="916">
        <f>cap!AD$3/(cap!AD86+cap!AC86*4)</f>
        <v>0.23736755623273167</v>
      </c>
      <c r="AE16" s="886">
        <f>cap!AF$3/cap!AF86</f>
        <v>0.23736755623273167</v>
      </c>
      <c r="AG16" s="919">
        <f>AA16/cap!AK86</f>
        <v>2.0188067121946632E-3</v>
      </c>
      <c r="AI16" s="213"/>
      <c r="AL16" s="1029">
        <f>MAX(cap!AT$3-cap!AU86,0)</f>
        <v>251.95841587445886</v>
      </c>
      <c r="AO16" s="916">
        <f>cap!AO$3/(cap!AO86+cap!AN86*4)</f>
        <v>9.2219206943006584E-3</v>
      </c>
      <c r="AP16" s="886">
        <f>cap!AQ$3/cap!AQ86</f>
        <v>0.30005857209900094</v>
      </c>
      <c r="AR16" s="919">
        <f>AL16/cap!AV86</f>
        <v>0.13842484679565581</v>
      </c>
      <c r="AT16" s="213"/>
      <c r="AW16" s="32"/>
      <c r="AX16" s="32"/>
    </row>
    <row r="17" spans="1:61" s="14" customFormat="1" x14ac:dyDescent="0.2">
      <c r="A17" s="213"/>
      <c r="B17" s="45" t="str">
        <f>hr!$A$10</f>
        <v>off</v>
      </c>
      <c r="E17" s="1029">
        <f>MAX(cap!M$4-cap!N87,0)</f>
        <v>37.289855428571414</v>
      </c>
      <c r="H17" s="916">
        <f>cap!H$4/(cap!H87+cap!G87*4)</f>
        <v>1.2524219034142258E-2</v>
      </c>
      <c r="I17" s="886">
        <f>cap!J$4/cap!J87</f>
        <v>7.8507689709586451E-2</v>
      </c>
      <c r="K17" s="919">
        <f>E17/cap!O87</f>
        <v>2.0486882753319495E-2</v>
      </c>
      <c r="M17" s="213"/>
      <c r="P17" s="1029">
        <f>MAX(cap!X$4-cap!Y87,0)</f>
        <v>24.693793752212386</v>
      </c>
      <c r="S17" s="916">
        <f>cap!S$4/(cap!S87+cap!R87*4)</f>
        <v>0.10676423594533963</v>
      </c>
      <c r="T17" s="886">
        <f>cap!U$4/cap!U87</f>
        <v>0.10676423594533961</v>
      </c>
      <c r="V17" s="919">
        <f>P17/cap!Z87</f>
        <v>1.3566661804449098E-2</v>
      </c>
      <c r="X17" s="213"/>
      <c r="AA17" s="1029">
        <f>MAX(cap!AI$4-cap!AJ87,0)</f>
        <v>0</v>
      </c>
      <c r="AD17" s="916">
        <f>cap!AD$4/(cap!AD87+cap!AC87*4)</f>
        <v>0.11278938973177742</v>
      </c>
      <c r="AE17" s="886">
        <f>cap!AF$4/cap!AF87</f>
        <v>0.11278938973177743</v>
      </c>
      <c r="AG17" s="919">
        <f>AA17/cap!AK87</f>
        <v>0</v>
      </c>
      <c r="AI17" s="213"/>
      <c r="AL17" s="1029">
        <f>MAX(cap!AT$4-cap!AU87,0)</f>
        <v>47.112114598901094</v>
      </c>
      <c r="AO17" s="916">
        <f>cap!AO$4/(cap!AO87+cap!AN87*4)</f>
        <v>1.0153774625962127E-2</v>
      </c>
      <c r="AP17" s="886">
        <f>cap!AQ$4/cap!AQ87</f>
        <v>0.10958151082995241</v>
      </c>
      <c r="AR17" s="919">
        <f>AL17/cap!AV87</f>
        <v>2.588318879104903E-2</v>
      </c>
      <c r="AT17" s="213"/>
      <c r="AW17" s="32"/>
      <c r="AX17" s="32"/>
    </row>
    <row r="18" spans="1:61" s="14" customFormat="1" x14ac:dyDescent="0.2">
      <c r="A18" s="213"/>
      <c r="B18" s="45" t="str">
        <f>hr!$A$11</f>
        <v>PM</v>
      </c>
      <c r="E18" s="1029">
        <f>MAX(cap!M$5-cap!N88,0)</f>
        <v>0</v>
      </c>
      <c r="H18" s="916">
        <f>cap!H$5/(cap!H88+cap!G88*4)</f>
        <v>7.4472520274950368E-2</v>
      </c>
      <c r="I18" s="886">
        <f>cap!J$5/cap!J88</f>
        <v>0.1712762591018645</v>
      </c>
      <c r="K18" s="919">
        <f>E18/cap!O88</f>
        <v>0</v>
      </c>
      <c r="M18" s="213"/>
      <c r="P18" s="1029">
        <f>MAX(cap!X$5-cap!Y88,0)</f>
        <v>243.1098169466145</v>
      </c>
      <c r="S18" s="916">
        <f>cap!S$5/(cap!S88+cap!R88*4)</f>
        <v>0.15951295936781368</v>
      </c>
      <c r="T18" s="886">
        <f>cap!U$5/cap!U88</f>
        <v>0.15951295936781371</v>
      </c>
      <c r="V18" s="919">
        <f>P18/cap!Z88</f>
        <v>0.13356346541773287</v>
      </c>
      <c r="X18" s="213"/>
      <c r="AA18" s="1029">
        <f>MAX(cap!AI$5-cap!AJ88,0)</f>
        <v>221.31121891277257</v>
      </c>
      <c r="AD18" s="916">
        <f>cap!AD$5/(cap!AD88+cap!AC88*4)</f>
        <v>0.31266331644195205</v>
      </c>
      <c r="AE18" s="886">
        <f>cap!AF$5/cap!AF88</f>
        <v>0.312663316441952</v>
      </c>
      <c r="AG18" s="919">
        <f>AA18/cap!AK88</f>
        <v>0.12158741142198883</v>
      </c>
      <c r="AI18" s="213"/>
      <c r="AL18" s="1029">
        <f>MAX(cap!AT$5-cap!AU88,0)</f>
        <v>111.33882884709482</v>
      </c>
      <c r="AO18" s="916">
        <f>cap!AO$5/(cap!AO88+cap!AN88*4)</f>
        <v>1.4635797839005477E-2</v>
      </c>
      <c r="AP18" s="886">
        <f>cap!AQ$5/cap!AQ88</f>
        <v>0.17846118861146334</v>
      </c>
      <c r="AR18" s="919">
        <f>AL18/cap!AV88</f>
        <v>6.11690634427789E-2</v>
      </c>
      <c r="AT18" s="213"/>
      <c r="AW18" s="32"/>
      <c r="AX18" s="32"/>
    </row>
    <row r="19" spans="1:61" s="44" customFormat="1" x14ac:dyDescent="0.2">
      <c r="A19" s="47"/>
      <c r="C19" s="213"/>
      <c r="D19" s="37"/>
      <c r="I19" s="93"/>
      <c r="U19" s="93"/>
      <c r="AA19" s="68"/>
      <c r="AB19" s="68"/>
      <c r="AH19" s="319"/>
      <c r="AI19" s="38"/>
      <c r="AJ19" s="38"/>
      <c r="BI19" s="28"/>
    </row>
    <row r="20" spans="1:61" s="44" customFormat="1" ht="18.75" customHeight="1" x14ac:dyDescent="0.2">
      <c r="B20" s="48"/>
      <c r="C20" s="58"/>
      <c r="D20" s="925" t="s">
        <v>117</v>
      </c>
      <c r="E20" s="1047"/>
      <c r="F20" s="888"/>
      <c r="G20" s="888"/>
      <c r="H20" s="889"/>
      <c r="I20" s="925" t="s">
        <v>118</v>
      </c>
      <c r="J20" s="887"/>
      <c r="K20" s="888"/>
      <c r="L20" s="889"/>
      <c r="M20" s="925" t="s">
        <v>119</v>
      </c>
      <c r="N20" s="888"/>
      <c r="O20" s="888"/>
      <c r="P20" s="889"/>
      <c r="Q20" s="925" t="s">
        <v>120</v>
      </c>
      <c r="R20" s="1047"/>
      <c r="S20" s="888"/>
      <c r="T20" s="888"/>
      <c r="U20" s="889"/>
      <c r="V20" s="925" t="s">
        <v>121</v>
      </c>
      <c r="W20" s="887"/>
      <c r="X20" s="888"/>
      <c r="Y20" s="889"/>
      <c r="Z20" s="925" t="s">
        <v>122</v>
      </c>
      <c r="AA20" s="888"/>
      <c r="AB20" s="888"/>
      <c r="AC20" s="889"/>
      <c r="AD20" s="914"/>
      <c r="AE20" s="1052"/>
      <c r="AF20" s="1051"/>
      <c r="AG20" s="1053"/>
      <c r="AH20" s="462"/>
      <c r="AI20" s="79"/>
      <c r="AJ20" s="65"/>
      <c r="AK20" s="1297" t="s">
        <v>145</v>
      </c>
      <c r="AL20" s="1298"/>
      <c r="AM20" s="1298"/>
      <c r="AN20" s="1299"/>
      <c r="AO20" s="1297" t="s">
        <v>146</v>
      </c>
      <c r="AP20" s="1298"/>
      <c r="AQ20" s="1298"/>
      <c r="AR20" s="1299"/>
      <c r="AS20" s="1297" t="s">
        <v>147</v>
      </c>
      <c r="AT20" s="1298"/>
      <c r="AU20" s="1298"/>
      <c r="AV20" s="1299"/>
      <c r="AW20" s="1297" t="s">
        <v>148</v>
      </c>
      <c r="AX20" s="1298"/>
      <c r="AY20" s="1298"/>
      <c r="AZ20" s="1299"/>
      <c r="BA20" s="1297" t="s">
        <v>149</v>
      </c>
      <c r="BB20" s="1298"/>
      <c r="BC20" s="1298"/>
      <c r="BD20" s="1299"/>
      <c r="BE20" s="1297" t="s">
        <v>150</v>
      </c>
      <c r="BF20" s="1298"/>
      <c r="BG20" s="1298"/>
      <c r="BH20" s="1299"/>
      <c r="BI20" s="1300" t="s">
        <v>276</v>
      </c>
    </row>
    <row r="21" spans="1:61" s="51" customFormat="1" ht="45.75" customHeight="1" x14ac:dyDescent="0.2">
      <c r="A21" s="49" t="s">
        <v>123</v>
      </c>
      <c r="B21" s="50"/>
      <c r="C21" s="926" t="s">
        <v>562</v>
      </c>
      <c r="D21" s="926" t="s">
        <v>559</v>
      </c>
      <c r="E21" s="924" t="s">
        <v>560</v>
      </c>
      <c r="F21" s="924" t="s">
        <v>124</v>
      </c>
      <c r="G21" s="924" t="s">
        <v>539</v>
      </c>
      <c r="H21" s="927" t="s">
        <v>540</v>
      </c>
      <c r="I21" s="926" t="s">
        <v>561</v>
      </c>
      <c r="J21" s="924" t="s">
        <v>124</v>
      </c>
      <c r="K21" s="924" t="s">
        <v>539</v>
      </c>
      <c r="L21" s="927" t="s">
        <v>540</v>
      </c>
      <c r="M21" s="926" t="s">
        <v>226</v>
      </c>
      <c r="N21" s="924" t="s">
        <v>124</v>
      </c>
      <c r="O21" s="924" t="s">
        <v>539</v>
      </c>
      <c r="P21" s="927" t="s">
        <v>540</v>
      </c>
      <c r="Q21" s="926" t="s">
        <v>559</v>
      </c>
      <c r="R21" s="924" t="s">
        <v>560</v>
      </c>
      <c r="S21" s="924" t="s">
        <v>124</v>
      </c>
      <c r="T21" s="924" t="s">
        <v>539</v>
      </c>
      <c r="U21" s="927" t="s">
        <v>540</v>
      </c>
      <c r="V21" s="926" t="s">
        <v>561</v>
      </c>
      <c r="W21" s="924" t="s">
        <v>124</v>
      </c>
      <c r="X21" s="924" t="s">
        <v>539</v>
      </c>
      <c r="Y21" s="927" t="s">
        <v>540</v>
      </c>
      <c r="Z21" s="926" t="s">
        <v>226</v>
      </c>
      <c r="AA21" s="924" t="s">
        <v>124</v>
      </c>
      <c r="AB21" s="924" t="s">
        <v>539</v>
      </c>
      <c r="AC21" s="927" t="s">
        <v>540</v>
      </c>
      <c r="AD21" s="915" t="s">
        <v>538</v>
      </c>
      <c r="AE21" s="1049" t="s">
        <v>154</v>
      </c>
      <c r="AF21" s="1048" t="s">
        <v>151</v>
      </c>
      <c r="AG21" s="1050" t="s">
        <v>533</v>
      </c>
      <c r="AH21" s="80" t="s">
        <v>541</v>
      </c>
      <c r="AI21" s="80" t="s">
        <v>563</v>
      </c>
      <c r="AJ21" s="81"/>
      <c r="AK21" s="463" t="s">
        <v>152</v>
      </c>
      <c r="AL21" s="464" t="s">
        <v>153</v>
      </c>
      <c r="AM21" s="464" t="s">
        <v>84</v>
      </c>
      <c r="AN21" s="465" t="s">
        <v>85</v>
      </c>
      <c r="AO21" s="466" t="s">
        <v>152</v>
      </c>
      <c r="AP21" s="467" t="s">
        <v>153</v>
      </c>
      <c r="AQ21" s="467" t="s">
        <v>84</v>
      </c>
      <c r="AR21" s="468" t="s">
        <v>85</v>
      </c>
      <c r="AS21" s="463" t="s">
        <v>152</v>
      </c>
      <c r="AT21" s="464" t="s">
        <v>153</v>
      </c>
      <c r="AU21" s="464" t="s">
        <v>84</v>
      </c>
      <c r="AV21" s="465" t="s">
        <v>85</v>
      </c>
      <c r="AW21" s="463" t="s">
        <v>152</v>
      </c>
      <c r="AX21" s="464" t="s">
        <v>153</v>
      </c>
      <c r="AY21" s="464" t="s">
        <v>84</v>
      </c>
      <c r="AZ21" s="465" t="s">
        <v>85</v>
      </c>
      <c r="BA21" s="466" t="s">
        <v>152</v>
      </c>
      <c r="BB21" s="467" t="s">
        <v>153</v>
      </c>
      <c r="BC21" s="467" t="s">
        <v>84</v>
      </c>
      <c r="BD21" s="468" t="s">
        <v>85</v>
      </c>
      <c r="BE21" s="463" t="s">
        <v>152</v>
      </c>
      <c r="BF21" s="464" t="s">
        <v>153</v>
      </c>
      <c r="BG21" s="464" t="s">
        <v>84</v>
      </c>
      <c r="BH21" s="465" t="s">
        <v>85</v>
      </c>
      <c r="BI21" s="1301"/>
    </row>
    <row r="22" spans="1:61" s="44" customFormat="1" ht="12.75" customHeight="1" x14ac:dyDescent="0.2">
      <c r="A22" s="52">
        <v>2</v>
      </c>
      <c r="B22" s="45" t="str">
        <f>hr!$A$9</f>
        <v>AM</v>
      </c>
      <c r="C22" s="887"/>
      <c r="D22" s="892"/>
      <c r="E22" s="839"/>
      <c r="F22" s="893"/>
      <c r="G22" s="893"/>
      <c r="H22" s="894"/>
      <c r="I22" s="892">
        <f>MAX(H4:J4,S4:U4)</f>
        <v>0.53150536833225981</v>
      </c>
      <c r="J22" s="839">
        <f t="shared" ref="J22:J31" si="0">I22/$AD22*$AG22</f>
        <v>8.302862694904432</v>
      </c>
      <c r="K22" s="893">
        <f t="shared" ref="K22:K31" si="1">IF(J22&gt;AO22,0,AO22)</f>
        <v>14</v>
      </c>
      <c r="L22" s="894">
        <f t="shared" ref="L22:L69" si="2">IF(K22=0,J22,0.00001)</f>
        <v>1.0000000000000001E-5</v>
      </c>
      <c r="M22" s="892"/>
      <c r="N22" s="893"/>
      <c r="O22" s="893"/>
      <c r="P22" s="894"/>
      <c r="Q22" s="892"/>
      <c r="R22" s="839"/>
      <c r="S22" s="893"/>
      <c r="T22" s="893"/>
      <c r="U22" s="894"/>
      <c r="V22" s="892">
        <f>MAX(AD4:AF4,AO4:AQ4)</f>
        <v>3.2286540123737368</v>
      </c>
      <c r="W22" s="839">
        <f t="shared" ref="W22:W53" si="3">V22/$AD22*$AG22</f>
        <v>50.436124546033781</v>
      </c>
      <c r="X22" s="893">
        <f>IF(W22&gt;BA22,0,BA22)</f>
        <v>0</v>
      </c>
      <c r="Y22" s="894">
        <f t="shared" ref="Y22:Y53" si="4">IF(X22=0,W22,0.00001)</f>
        <v>50.436124546033781</v>
      </c>
      <c r="Z22" s="892"/>
      <c r="AA22" s="893"/>
      <c r="AB22" s="893"/>
      <c r="AC22" s="894"/>
      <c r="AD22" s="911">
        <f t="shared" ref="AD22:AD53" si="5">D22+I22+M22+Q22+V22+Z22+0.000001</f>
        <v>3.7601603807059969</v>
      </c>
      <c r="AE22" s="890">
        <f>SET!C23</f>
        <v>70</v>
      </c>
      <c r="AF22" s="888">
        <f t="shared" ref="AF22:AF53" si="6">AM22+AN22+AQ22+AR22+AU22+AV22+AY22+AZ22+BC22+BD22+BG22+BH22</f>
        <v>11.260997137652875</v>
      </c>
      <c r="AG22" s="889">
        <f>AE22-AF22</f>
        <v>58.739002862347121</v>
      </c>
      <c r="AH22" s="891">
        <f t="shared" ref="AH22:AH53" si="7">AG22-G22-K22-O22-T22-X22-AB22</f>
        <v>44.739002862347121</v>
      </c>
      <c r="AI22" s="891">
        <f t="shared" ref="AI22:AI53" si="8">H22+L22+P22+U22+Y22+AC22+0.00001</f>
        <v>50.436144546033788</v>
      </c>
      <c r="AJ22" s="920"/>
      <c r="AK22" s="147"/>
      <c r="AL22" s="53"/>
      <c r="AM22" s="53"/>
      <c r="AN22" s="53"/>
      <c r="AO22" s="69">
        <f>SET!$C$12</f>
        <v>14</v>
      </c>
      <c r="AP22" s="70">
        <f t="shared" ref="AP22:AP69" si="9">L22/$AI22*$AH22+K22</f>
        <v>14.000008870424825</v>
      </c>
      <c r="AQ22" s="71">
        <f>SET!$F$12</f>
        <v>3.0022522522522523</v>
      </c>
      <c r="AR22" s="72">
        <f>SET!$I$12</f>
        <v>2.7339881849062175</v>
      </c>
      <c r="AS22" s="53"/>
      <c r="AT22" s="53"/>
      <c r="AU22" s="53"/>
      <c r="AV22" s="53"/>
      <c r="AW22" s="148"/>
      <c r="AX22" s="53"/>
      <c r="AY22" s="53"/>
      <c r="AZ22" s="53"/>
      <c r="BA22" s="69">
        <f>SET!$C$15</f>
        <v>11</v>
      </c>
      <c r="BB22" s="70">
        <f>Y22/$AI22*$AH22+X22</f>
        <v>44.738985121497464</v>
      </c>
      <c r="BC22" s="71">
        <f>SET!$F$15</f>
        <v>3.3776276276276271</v>
      </c>
      <c r="BD22" s="72">
        <f>SET!$I$15</f>
        <v>2.1471290728667785</v>
      </c>
      <c r="BE22" s="53"/>
      <c r="BF22" s="53"/>
      <c r="BG22" s="53"/>
      <c r="BH22" s="54"/>
      <c r="BI22" s="921">
        <f t="shared" ref="BI22:BI53" si="10">AF22+AL22+AP22+AT22+AX22+BB22+BF22-AE22</f>
        <v>-8.8704248355497839E-6</v>
      </c>
    </row>
    <row r="23" spans="1:61" s="44" customFormat="1" x14ac:dyDescent="0.2">
      <c r="A23" s="55">
        <v>2</v>
      </c>
      <c r="B23" s="45" t="str">
        <f>hr!$A$10</f>
        <v>off</v>
      </c>
      <c r="C23" s="839"/>
      <c r="D23" s="892"/>
      <c r="E23" s="839"/>
      <c r="F23" s="893"/>
      <c r="G23" s="893"/>
      <c r="H23" s="894"/>
      <c r="I23" s="892">
        <f>MAX(H5:J5,S5:U5)</f>
        <v>0.10637229902189864</v>
      </c>
      <c r="J23" s="839">
        <f t="shared" si="0"/>
        <v>23.684967718988919</v>
      </c>
      <c r="K23" s="893">
        <f t="shared" si="1"/>
        <v>0</v>
      </c>
      <c r="L23" s="894">
        <f t="shared" si="2"/>
        <v>23.684967718988919</v>
      </c>
      <c r="M23" s="892"/>
      <c r="N23" s="893"/>
      <c r="O23" s="893"/>
      <c r="P23" s="894"/>
      <c r="Q23" s="892"/>
      <c r="R23" s="839"/>
      <c r="S23" s="893"/>
      <c r="T23" s="893"/>
      <c r="U23" s="894"/>
      <c r="V23" s="892">
        <f>MAX(AD5:AF5,AO5:AQ5)</f>
        <v>0.11251996053471942</v>
      </c>
      <c r="W23" s="839">
        <f t="shared" si="3"/>
        <v>25.053812482308878</v>
      </c>
      <c r="X23" s="893">
        <f t="shared" ref="X23:X72" si="11">IF(W23&gt;BA23,0,BA23)</f>
        <v>0</v>
      </c>
      <c r="Y23" s="894">
        <f t="shared" si="4"/>
        <v>25.053812482308878</v>
      </c>
      <c r="Z23" s="892"/>
      <c r="AA23" s="893"/>
      <c r="AB23" s="893"/>
      <c r="AC23" s="894"/>
      <c r="AD23" s="912">
        <f t="shared" si="5"/>
        <v>0.21889325955661806</v>
      </c>
      <c r="AE23" s="896">
        <f>SET!C24</f>
        <v>60</v>
      </c>
      <c r="AF23" s="893">
        <f t="shared" si="6"/>
        <v>11.260997137652875</v>
      </c>
      <c r="AG23" s="894">
        <f t="shared" ref="AG23:AG53" si="12">AE23-AF23</f>
        <v>48.739002862347121</v>
      </c>
      <c r="AH23" s="891">
        <f t="shared" si="7"/>
        <v>48.739002862347121</v>
      </c>
      <c r="AI23" s="891">
        <f t="shared" si="8"/>
        <v>48.738790201297803</v>
      </c>
      <c r="AJ23" s="920"/>
      <c r="AK23" s="149"/>
      <c r="AL23" s="56"/>
      <c r="AM23" s="56"/>
      <c r="AN23" s="56"/>
      <c r="AO23" s="73">
        <f>SET!$C$12</f>
        <v>14</v>
      </c>
      <c r="AP23" s="501">
        <f t="shared" si="9"/>
        <v>23.685071063164418</v>
      </c>
      <c r="AQ23" s="74">
        <f>SET!$F$12</f>
        <v>3.0022522522522523</v>
      </c>
      <c r="AR23" s="75">
        <f>SET!$I$12</f>
        <v>2.7339881849062175</v>
      </c>
      <c r="AS23" s="56"/>
      <c r="AT23" s="56"/>
      <c r="AU23" s="56"/>
      <c r="AV23" s="56"/>
      <c r="AW23" s="63"/>
      <c r="AX23" s="56"/>
      <c r="AY23" s="56"/>
      <c r="AZ23" s="56"/>
      <c r="BA23" s="73">
        <f>SET!$C$15</f>
        <v>11</v>
      </c>
      <c r="BB23" s="501">
        <f t="shared" ref="BB23:BB24" si="13">Y23/$AI23*$AH23+X23</f>
        <v>25.053921799139061</v>
      </c>
      <c r="BC23" s="74">
        <f>SET!$F$15</f>
        <v>3.3776276276276271</v>
      </c>
      <c r="BD23" s="75">
        <f>SET!$I$15</f>
        <v>2.1471290728667785</v>
      </c>
      <c r="BE23" s="56"/>
      <c r="BF23" s="56"/>
      <c r="BG23" s="56"/>
      <c r="BH23" s="57"/>
      <c r="BI23" s="922">
        <f t="shared" si="10"/>
        <v>-1.0000043644708967E-5</v>
      </c>
    </row>
    <row r="24" spans="1:61" s="44" customFormat="1" ht="12.75" customHeight="1" x14ac:dyDescent="0.2">
      <c r="A24" s="59">
        <v>2</v>
      </c>
      <c r="B24" s="510" t="str">
        <f>hr!$A$11</f>
        <v>PM</v>
      </c>
      <c r="C24" s="897"/>
      <c r="D24" s="898"/>
      <c r="E24" s="897"/>
      <c r="F24" s="899"/>
      <c r="G24" s="899"/>
      <c r="H24" s="900"/>
      <c r="I24" s="898">
        <f>MAX(H6:J6,S6:U6)</f>
        <v>2.7550862924804664</v>
      </c>
      <c r="J24" s="897">
        <f t="shared" si="0"/>
        <v>30.03643661160055</v>
      </c>
      <c r="K24" s="899">
        <f t="shared" si="1"/>
        <v>0</v>
      </c>
      <c r="L24" s="900">
        <f t="shared" si="2"/>
        <v>30.03643661160055</v>
      </c>
      <c r="M24" s="898"/>
      <c r="N24" s="899"/>
      <c r="O24" s="899"/>
      <c r="P24" s="900"/>
      <c r="Q24" s="898"/>
      <c r="R24" s="897"/>
      <c r="S24" s="899"/>
      <c r="T24" s="899"/>
      <c r="U24" s="900"/>
      <c r="V24" s="898">
        <f>MAX(AD6:AF6,AO6:AQ6)</f>
        <v>2.6327362936742809</v>
      </c>
      <c r="W24" s="897">
        <f t="shared" si="3"/>
        <v>28.702555348570218</v>
      </c>
      <c r="X24" s="899">
        <f t="shared" si="11"/>
        <v>0</v>
      </c>
      <c r="Y24" s="900">
        <f t="shared" si="4"/>
        <v>28.702555348570218</v>
      </c>
      <c r="Z24" s="898"/>
      <c r="AA24" s="899"/>
      <c r="AB24" s="899"/>
      <c r="AC24" s="900"/>
      <c r="AD24" s="913">
        <f t="shared" si="5"/>
        <v>5.3878235861547479</v>
      </c>
      <c r="AE24" s="902">
        <f>SET!C25</f>
        <v>70</v>
      </c>
      <c r="AF24" s="899">
        <f t="shared" si="6"/>
        <v>11.260997137652875</v>
      </c>
      <c r="AG24" s="900">
        <f t="shared" si="12"/>
        <v>58.739002862347121</v>
      </c>
      <c r="AH24" s="906">
        <f t="shared" si="7"/>
        <v>58.739002862347121</v>
      </c>
      <c r="AI24" s="891">
        <f t="shared" si="8"/>
        <v>58.739001960170768</v>
      </c>
      <c r="AJ24" s="920"/>
      <c r="AK24" s="150"/>
      <c r="AL24" s="60"/>
      <c r="AM24" s="60"/>
      <c r="AN24" s="60"/>
      <c r="AO24" s="76">
        <f>SET!$C$12</f>
        <v>14</v>
      </c>
      <c r="AP24" s="502">
        <f t="shared" si="9"/>
        <v>30.036437072932237</v>
      </c>
      <c r="AQ24" s="77">
        <f>SET!$F$12</f>
        <v>3.0022522522522523</v>
      </c>
      <c r="AR24" s="78">
        <f>SET!$I$12</f>
        <v>2.7339881849062175</v>
      </c>
      <c r="AS24" s="60"/>
      <c r="AT24" s="60"/>
      <c r="AU24" s="60"/>
      <c r="AV24" s="60"/>
      <c r="AW24" s="64"/>
      <c r="AX24" s="60"/>
      <c r="AY24" s="60"/>
      <c r="AZ24" s="60"/>
      <c r="BA24" s="76">
        <f>SET!$C$15</f>
        <v>11</v>
      </c>
      <c r="BB24" s="502">
        <f t="shared" si="13"/>
        <v>28.702555789414731</v>
      </c>
      <c r="BC24" s="77">
        <f>SET!$F$15</f>
        <v>3.3776276276276271</v>
      </c>
      <c r="BD24" s="78">
        <f>SET!$I$15</f>
        <v>2.1471290728667785</v>
      </c>
      <c r="BE24" s="60"/>
      <c r="BF24" s="60"/>
      <c r="BG24" s="60"/>
      <c r="BH24" s="61"/>
      <c r="BI24" s="923">
        <f t="shared" si="10"/>
        <v>-1.0000000159493538E-5</v>
      </c>
    </row>
    <row r="25" spans="1:61" s="44" customFormat="1" x14ac:dyDescent="0.2">
      <c r="A25" s="946" t="s">
        <v>125</v>
      </c>
      <c r="B25" s="45" t="str">
        <f>hr!$A$9</f>
        <v>AM</v>
      </c>
      <c r="C25" s="839"/>
      <c r="D25" s="892"/>
      <c r="E25" s="839"/>
      <c r="F25" s="893"/>
      <c r="G25" s="893"/>
      <c r="H25" s="894"/>
      <c r="I25" s="892">
        <f>MAX(H8:I8,S8:T8)</f>
        <v>0.20931012240219571</v>
      </c>
      <c r="J25" s="839">
        <f t="shared" si="0"/>
        <v>3.0883098689115691</v>
      </c>
      <c r="K25" s="893">
        <f t="shared" si="1"/>
        <v>14</v>
      </c>
      <c r="L25" s="894">
        <f t="shared" si="2"/>
        <v>1.0000000000000001E-5</v>
      </c>
      <c r="M25" s="892">
        <f>MAX(L8,W8)</f>
        <v>3.0192628935153603E-2</v>
      </c>
      <c r="N25" s="893">
        <f>M25/$AD25*$AG25</f>
        <v>0.44548344264807388</v>
      </c>
      <c r="O25" s="893">
        <f>IF(N25&gt;AS25,0,AS25)</f>
        <v>4</v>
      </c>
      <c r="P25" s="894">
        <f t="shared" ref="P25:P27" si="14">IF(O25=0,N25,0)</f>
        <v>0</v>
      </c>
      <c r="Q25" s="892"/>
      <c r="R25" s="839"/>
      <c r="S25" s="893"/>
      <c r="T25" s="893"/>
      <c r="U25" s="894"/>
      <c r="V25" s="892">
        <f>MAX(AD8:AF8,AO8:AQ8)</f>
        <v>4.0804055379509379</v>
      </c>
      <c r="W25" s="839">
        <f t="shared" si="3"/>
        <v>60.205194796078857</v>
      </c>
      <c r="X25" s="893">
        <f t="shared" si="11"/>
        <v>0</v>
      </c>
      <c r="Y25" s="894">
        <f t="shared" si="4"/>
        <v>60.205194796078857</v>
      </c>
      <c r="Z25" s="892"/>
      <c r="AA25" s="893"/>
      <c r="AB25" s="893"/>
      <c r="AC25" s="894"/>
      <c r="AD25" s="912">
        <f t="shared" si="5"/>
        <v>4.3199092892882875</v>
      </c>
      <c r="AE25" s="904">
        <f>SET!F23</f>
        <v>80</v>
      </c>
      <c r="AF25" s="893">
        <f t="shared" si="6"/>
        <v>16.260997137652872</v>
      </c>
      <c r="AG25" s="894">
        <f>AE25-AF25</f>
        <v>63.739002862347128</v>
      </c>
      <c r="AH25" s="928">
        <f t="shared" si="7"/>
        <v>45.739002862347128</v>
      </c>
      <c r="AI25" s="891">
        <f t="shared" si="8"/>
        <v>60.205214796078863</v>
      </c>
      <c r="AJ25" s="920"/>
      <c r="AK25" s="149"/>
      <c r="AL25" s="56"/>
      <c r="AM25" s="56"/>
      <c r="AN25" s="56"/>
      <c r="AO25" s="69">
        <f>SET!$C$12</f>
        <v>14</v>
      </c>
      <c r="AP25" s="70">
        <f t="shared" si="9"/>
        <v>14.000007597182904</v>
      </c>
      <c r="AQ25" s="71">
        <f>SET!$H$12</f>
        <v>3</v>
      </c>
      <c r="AR25" s="72">
        <f>SET!$K$12</f>
        <v>2</v>
      </c>
      <c r="AS25" s="69">
        <f>SET!$E$12</f>
        <v>4</v>
      </c>
      <c r="AT25" s="70">
        <f>P25/$AI25*$AH25+O25</f>
        <v>4</v>
      </c>
      <c r="AU25" s="71">
        <f>SET!$F$12</f>
        <v>3.0022522522522523</v>
      </c>
      <c r="AV25" s="72">
        <f>SET!$I$12</f>
        <v>2.7339881849062175</v>
      </c>
      <c r="AW25" s="63"/>
      <c r="AX25" s="56"/>
      <c r="AY25" s="56"/>
      <c r="AZ25" s="56"/>
      <c r="BA25" s="69">
        <f>SET!$C$15</f>
        <v>11</v>
      </c>
      <c r="BB25" s="70">
        <f>Y25/$AI25*$AH25+X25</f>
        <v>45.738987667981313</v>
      </c>
      <c r="BC25" s="71">
        <f>SET!$F$15</f>
        <v>3.3776276276276271</v>
      </c>
      <c r="BD25" s="72">
        <f>SET!$I$15</f>
        <v>2.1471290728667785</v>
      </c>
      <c r="BE25" s="63"/>
      <c r="BF25" s="56"/>
      <c r="BG25" s="56"/>
      <c r="BH25" s="57"/>
      <c r="BI25" s="921">
        <f t="shared" si="10"/>
        <v>-7.5971829005538893E-6</v>
      </c>
    </row>
    <row r="26" spans="1:61" s="44" customFormat="1" ht="12.75" customHeight="1" x14ac:dyDescent="0.2">
      <c r="A26" s="946" t="s">
        <v>125</v>
      </c>
      <c r="B26" s="45" t="str">
        <f>hr!$A$10</f>
        <v>off</v>
      </c>
      <c r="C26" s="839"/>
      <c r="D26" s="892"/>
      <c r="E26" s="839"/>
      <c r="F26" s="893"/>
      <c r="G26" s="893"/>
      <c r="H26" s="894"/>
      <c r="I26" s="892">
        <f>MAX(H9:I9,S9:T9)</f>
        <v>0.10640149755932501</v>
      </c>
      <c r="J26" s="839">
        <f t="shared" si="0"/>
        <v>26.116094338028674</v>
      </c>
      <c r="K26" s="893">
        <f t="shared" si="1"/>
        <v>0</v>
      </c>
      <c r="L26" s="894">
        <f t="shared" si="2"/>
        <v>26.116094338028674</v>
      </c>
      <c r="M26" s="892">
        <f>MAX(L9,W9)</f>
        <v>0</v>
      </c>
      <c r="N26" s="893">
        <f>M26/$AD26*$AG26</f>
        <v>0</v>
      </c>
      <c r="O26" s="893">
        <f>IF(N26&gt;AS26,0,AS26)</f>
        <v>4</v>
      </c>
      <c r="P26" s="894">
        <f t="shared" si="14"/>
        <v>0</v>
      </c>
      <c r="Q26" s="892"/>
      <c r="R26" s="839"/>
      <c r="S26" s="893"/>
      <c r="T26" s="893"/>
      <c r="U26" s="894"/>
      <c r="V26" s="892">
        <f>MAX(AD9:AF9,AO9:AQ9)</f>
        <v>0.11253951987597399</v>
      </c>
      <c r="W26" s="839">
        <f t="shared" si="3"/>
        <v>27.622663075758638</v>
      </c>
      <c r="X26" s="893">
        <f t="shared" si="11"/>
        <v>0</v>
      </c>
      <c r="Y26" s="894">
        <f t="shared" si="4"/>
        <v>27.622663075758638</v>
      </c>
      <c r="Z26" s="892"/>
      <c r="AA26" s="893"/>
      <c r="AB26" s="893"/>
      <c r="AC26" s="894"/>
      <c r="AD26" s="912">
        <f t="shared" si="5"/>
        <v>0.21894201743529901</v>
      </c>
      <c r="AE26" s="904">
        <f>SET!F24</f>
        <v>70</v>
      </c>
      <c r="AF26" s="893">
        <f t="shared" si="6"/>
        <v>16.260997137652872</v>
      </c>
      <c r="AG26" s="894">
        <f t="shared" si="12"/>
        <v>53.739002862347128</v>
      </c>
      <c r="AH26" s="891">
        <f t="shared" si="7"/>
        <v>49.739002862347128</v>
      </c>
      <c r="AI26" s="891">
        <f t="shared" si="8"/>
        <v>53.738767413787315</v>
      </c>
      <c r="AJ26" s="920"/>
      <c r="AK26" s="149"/>
      <c r="AL26" s="56"/>
      <c r="AM26" s="56"/>
      <c r="AN26" s="56"/>
      <c r="AO26" s="73">
        <f>SET!$C$12</f>
        <v>14</v>
      </c>
      <c r="AP26" s="501">
        <f t="shared" si="9"/>
        <v>24.172279223123102</v>
      </c>
      <c r="AQ26" s="74">
        <f>SET!$H$12</f>
        <v>3</v>
      </c>
      <c r="AR26" s="75">
        <f>SET!$K$12</f>
        <v>2</v>
      </c>
      <c r="AS26" s="73">
        <f>SET!$E$12</f>
        <v>4</v>
      </c>
      <c r="AT26" s="501">
        <f>P26/$AI26*$AH26+O26</f>
        <v>4</v>
      </c>
      <c r="AU26" s="74">
        <f>SET!$F$12</f>
        <v>3.0022522522522523</v>
      </c>
      <c r="AV26" s="75">
        <f>SET!$I$12</f>
        <v>2.7339881849062175</v>
      </c>
      <c r="AW26" s="63"/>
      <c r="AX26" s="56"/>
      <c r="AY26" s="56"/>
      <c r="AZ26" s="56"/>
      <c r="BA26" s="73">
        <f>SET!$C$15</f>
        <v>11</v>
      </c>
      <c r="BB26" s="501">
        <f t="shared" ref="BB26:BB27" si="15">Y26/$AI26*$AH26+X26</f>
        <v>25.566714383521809</v>
      </c>
      <c r="BC26" s="74">
        <f>SET!$F$15</f>
        <v>3.3776276276276271</v>
      </c>
      <c r="BD26" s="75">
        <f>SET!$I$15</f>
        <v>2.1471290728667785</v>
      </c>
      <c r="BE26" s="63"/>
      <c r="BF26" s="56"/>
      <c r="BG26" s="56"/>
      <c r="BH26" s="57"/>
      <c r="BI26" s="922">
        <f t="shared" si="10"/>
        <v>-9.2557022099981623E-6</v>
      </c>
    </row>
    <row r="27" spans="1:61" s="44" customFormat="1" x14ac:dyDescent="0.2">
      <c r="A27" s="947" t="s">
        <v>125</v>
      </c>
      <c r="B27" s="510" t="str">
        <f>hr!$A$11</f>
        <v>PM</v>
      </c>
      <c r="C27" s="897"/>
      <c r="D27" s="898"/>
      <c r="E27" s="897"/>
      <c r="F27" s="899"/>
      <c r="G27" s="899"/>
      <c r="H27" s="900"/>
      <c r="I27" s="898">
        <f>MAX(H10:I10,S10:T10)</f>
        <v>0.1712762591018645</v>
      </c>
      <c r="J27" s="897">
        <f t="shared" si="0"/>
        <v>2.9892332773247818</v>
      </c>
      <c r="K27" s="899">
        <f t="shared" si="1"/>
        <v>14</v>
      </c>
      <c r="L27" s="900">
        <f t="shared" si="2"/>
        <v>1.0000000000000001E-5</v>
      </c>
      <c r="M27" s="898">
        <f>MAX(L10,W10)</f>
        <v>8.1465728933902581E-2</v>
      </c>
      <c r="N27" s="899">
        <f>M27/$AD27*$AG27</f>
        <v>1.4217969797315066</v>
      </c>
      <c r="O27" s="899">
        <f>IF(N27&gt;AS27,0,AS27)</f>
        <v>4</v>
      </c>
      <c r="P27" s="900">
        <f t="shared" si="14"/>
        <v>0</v>
      </c>
      <c r="Q27" s="898"/>
      <c r="R27" s="897"/>
      <c r="S27" s="899"/>
      <c r="T27" s="899"/>
      <c r="U27" s="900"/>
      <c r="V27" s="898">
        <f>MAX(AD10:AF10,AO10:AQ10)</f>
        <v>3.3993567165801313</v>
      </c>
      <c r="W27" s="897">
        <f t="shared" si="3"/>
        <v>59.327955152590192</v>
      </c>
      <c r="X27" s="899">
        <f t="shared" si="11"/>
        <v>0</v>
      </c>
      <c r="Y27" s="900">
        <f t="shared" si="4"/>
        <v>59.327955152590192</v>
      </c>
      <c r="Z27" s="898"/>
      <c r="AA27" s="899"/>
      <c r="AB27" s="899"/>
      <c r="AC27" s="900"/>
      <c r="AD27" s="913">
        <f t="shared" si="5"/>
        <v>3.6520997046158987</v>
      </c>
      <c r="AE27" s="905">
        <f>SET!F25</f>
        <v>80</v>
      </c>
      <c r="AF27" s="899">
        <f t="shared" si="6"/>
        <v>16.260997137652872</v>
      </c>
      <c r="AG27" s="900">
        <f t="shared" si="12"/>
        <v>63.739002862347128</v>
      </c>
      <c r="AH27" s="891">
        <f t="shared" si="7"/>
        <v>45.739002862347128</v>
      </c>
      <c r="AI27" s="891">
        <f t="shared" si="8"/>
        <v>59.327975152590199</v>
      </c>
      <c r="AJ27" s="920"/>
      <c r="AK27" s="150"/>
      <c r="AL27" s="60"/>
      <c r="AM27" s="60"/>
      <c r="AN27" s="60"/>
      <c r="AO27" s="76">
        <f>SET!$C$12</f>
        <v>14</v>
      </c>
      <c r="AP27" s="502">
        <f t="shared" si="9"/>
        <v>14.000007709516925</v>
      </c>
      <c r="AQ27" s="77">
        <f>SET!$H$12</f>
        <v>3</v>
      </c>
      <c r="AR27" s="78">
        <f>SET!$K$12</f>
        <v>2</v>
      </c>
      <c r="AS27" s="76">
        <f>SET!$E$12</f>
        <v>4</v>
      </c>
      <c r="AT27" s="502">
        <f>P27/$AI27*$AH27+O27</f>
        <v>4</v>
      </c>
      <c r="AU27" s="77">
        <f>SET!$F$12</f>
        <v>3.0022522522522523</v>
      </c>
      <c r="AV27" s="78">
        <f>SET!$I$12</f>
        <v>2.7339881849062175</v>
      </c>
      <c r="AW27" s="64"/>
      <c r="AX27" s="60"/>
      <c r="AY27" s="60"/>
      <c r="AZ27" s="60"/>
      <c r="BA27" s="76">
        <f>SET!$C$15</f>
        <v>11</v>
      </c>
      <c r="BB27" s="502">
        <f t="shared" si="15"/>
        <v>45.73898744331327</v>
      </c>
      <c r="BC27" s="77">
        <f>SET!$F$15</f>
        <v>3.3776276276276271</v>
      </c>
      <c r="BD27" s="78">
        <f>SET!$I$15</f>
        <v>2.1471290728667785</v>
      </c>
      <c r="BE27" s="64"/>
      <c r="BF27" s="60"/>
      <c r="BG27" s="60"/>
      <c r="BH27" s="61"/>
      <c r="BI27" s="923">
        <f t="shared" si="10"/>
        <v>-7.709516921750037E-6</v>
      </c>
    </row>
    <row r="28" spans="1:61" s="44" customFormat="1" x14ac:dyDescent="0.2">
      <c r="A28" s="946" t="s">
        <v>126</v>
      </c>
      <c r="B28" s="45" t="str">
        <f>hr!$A$9</f>
        <v>AM</v>
      </c>
      <c r="C28" s="839"/>
      <c r="D28" s="892"/>
      <c r="E28" s="839"/>
      <c r="F28" s="893"/>
      <c r="G28" s="893"/>
      <c r="H28" s="894"/>
      <c r="I28" s="892">
        <f>MAX(H8:J8,S8:U8)</f>
        <v>0.76817548052035123</v>
      </c>
      <c r="J28" s="839">
        <f t="shared" si="0"/>
        <v>42.036438141590921</v>
      </c>
      <c r="K28" s="893">
        <f t="shared" si="1"/>
        <v>0</v>
      </c>
      <c r="L28" s="894">
        <f t="shared" si="2"/>
        <v>42.036438141590921</v>
      </c>
      <c r="M28" s="892"/>
      <c r="N28" s="893"/>
      <c r="O28" s="893"/>
      <c r="P28" s="894"/>
      <c r="Q28" s="892"/>
      <c r="R28" s="839"/>
      <c r="S28" s="893"/>
      <c r="T28" s="893"/>
      <c r="U28" s="894"/>
      <c r="V28" s="892">
        <f>MAX(AD8:AE8,AO8:AP8)</f>
        <v>0.30005857209900094</v>
      </c>
      <c r="W28" s="839">
        <f t="shared" si="3"/>
        <v>16.419937793835359</v>
      </c>
      <c r="X28" s="893">
        <f t="shared" si="11"/>
        <v>0</v>
      </c>
      <c r="Y28" s="894">
        <f t="shared" si="4"/>
        <v>16.419937793835359</v>
      </c>
      <c r="Z28" s="892">
        <f>MAX(AH8,AS8)</f>
        <v>9.6533926777780346E-2</v>
      </c>
      <c r="AA28" s="893">
        <f>Z28/$AD28*$AG28</f>
        <v>5.2825722044789014</v>
      </c>
      <c r="AB28" s="893">
        <f t="shared" ref="AB28:AB30" si="16">IF(AA28&gt;BE28,0,BE28)</f>
        <v>0</v>
      </c>
      <c r="AC28" s="894">
        <f t="shared" ref="AC28:AC30" si="17">IF(AB28=0,AA28,0)</f>
        <v>5.2825722044789014</v>
      </c>
      <c r="AD28" s="912">
        <f t="shared" si="5"/>
        <v>1.1647689793971323</v>
      </c>
      <c r="AE28" s="903">
        <f>$AE$25</f>
        <v>80</v>
      </c>
      <c r="AF28" s="893">
        <f t="shared" si="6"/>
        <v>16.260997137652875</v>
      </c>
      <c r="AG28" s="894">
        <f t="shared" si="12"/>
        <v>63.739002862347121</v>
      </c>
      <c r="AH28" s="891">
        <f t="shared" si="7"/>
        <v>63.739002862347121</v>
      </c>
      <c r="AI28" s="891">
        <f t="shared" si="8"/>
        <v>63.738958139905186</v>
      </c>
      <c r="AJ28" s="920"/>
      <c r="AK28" s="149"/>
      <c r="AL28" s="56"/>
      <c r="AM28" s="56"/>
      <c r="AN28" s="56"/>
      <c r="AO28" s="69">
        <f>SET!$C$12</f>
        <v>14</v>
      </c>
      <c r="AP28" s="70">
        <f t="shared" si="9"/>
        <v>42.03646763645903</v>
      </c>
      <c r="AQ28" s="71">
        <f>SET!$F$12</f>
        <v>3.0022522522522523</v>
      </c>
      <c r="AR28" s="72">
        <f>SET!$I$12</f>
        <v>2.7339881849062175</v>
      </c>
      <c r="AS28" s="63"/>
      <c r="AT28" s="56"/>
      <c r="AU28" s="56"/>
      <c r="AV28" s="56"/>
      <c r="AW28" s="63"/>
      <c r="AX28" s="56"/>
      <c r="AY28" s="56"/>
      <c r="AZ28" s="56"/>
      <c r="BA28" s="69">
        <f>SET!$C$15</f>
        <v>11</v>
      </c>
      <c r="BB28" s="70">
        <f>Y28/$AI28*$AH28+X28</f>
        <v>16.419949314885216</v>
      </c>
      <c r="BC28" s="71">
        <f>SET!$H$15</f>
        <v>3</v>
      </c>
      <c r="BD28" s="72">
        <f>SET!$K$15</f>
        <v>2</v>
      </c>
      <c r="BE28" s="69">
        <f>SET!$E$15</f>
        <v>4</v>
      </c>
      <c r="BF28" s="70">
        <f>AC28/$AI28*$AH28+AB28</f>
        <v>5.2825759109958508</v>
      </c>
      <c r="BG28" s="71">
        <f>SET!$F$15</f>
        <v>3.3776276276276271</v>
      </c>
      <c r="BH28" s="72">
        <f>SET!$I$15</f>
        <v>2.1471290728667785</v>
      </c>
      <c r="BI28" s="921">
        <f t="shared" si="10"/>
        <v>-1.0000007037547221E-5</v>
      </c>
    </row>
    <row r="29" spans="1:61" s="44" customFormat="1" x14ac:dyDescent="0.2">
      <c r="A29" s="946" t="s">
        <v>126</v>
      </c>
      <c r="B29" s="45" t="str">
        <f>hr!$A$10</f>
        <v>off</v>
      </c>
      <c r="C29" s="839"/>
      <c r="D29" s="892"/>
      <c r="E29" s="839"/>
      <c r="F29" s="893"/>
      <c r="G29" s="893"/>
      <c r="H29" s="894"/>
      <c r="I29" s="892">
        <f>MAX(H9:J9,S9:U9)</f>
        <v>0.10640149755932501</v>
      </c>
      <c r="J29" s="839">
        <f t="shared" si="0"/>
        <v>26.11609433802867</v>
      </c>
      <c r="K29" s="893">
        <f t="shared" si="1"/>
        <v>0</v>
      </c>
      <c r="L29" s="894">
        <f t="shared" si="2"/>
        <v>26.11609433802867</v>
      </c>
      <c r="M29" s="892"/>
      <c r="N29" s="893"/>
      <c r="O29" s="893"/>
      <c r="P29" s="894"/>
      <c r="Q29" s="892"/>
      <c r="R29" s="839"/>
      <c r="S29" s="893"/>
      <c r="T29" s="893"/>
      <c r="U29" s="894"/>
      <c r="V29" s="892">
        <f>MAX(AD9:AE9,AO9:AP9)</f>
        <v>0.11253951987597399</v>
      </c>
      <c r="W29" s="839">
        <f t="shared" si="3"/>
        <v>27.622663075758634</v>
      </c>
      <c r="X29" s="893">
        <f t="shared" si="11"/>
        <v>0</v>
      </c>
      <c r="Y29" s="894">
        <f t="shared" si="4"/>
        <v>27.622663075758634</v>
      </c>
      <c r="Z29" s="892">
        <f>MAX(AH9,AS9)</f>
        <v>0</v>
      </c>
      <c r="AA29" s="893">
        <f>Z29/$AD29*$AG29</f>
        <v>0</v>
      </c>
      <c r="AB29" s="893">
        <f t="shared" si="16"/>
        <v>4</v>
      </c>
      <c r="AC29" s="894">
        <f t="shared" si="17"/>
        <v>0</v>
      </c>
      <c r="AD29" s="912">
        <f t="shared" si="5"/>
        <v>0.21894201743529901</v>
      </c>
      <c r="AE29" s="904">
        <f>$AE$26</f>
        <v>70</v>
      </c>
      <c r="AF29" s="893">
        <f t="shared" si="6"/>
        <v>16.260997137652875</v>
      </c>
      <c r="AG29" s="894">
        <f t="shared" si="12"/>
        <v>53.739002862347121</v>
      </c>
      <c r="AH29" s="891">
        <f t="shared" si="7"/>
        <v>49.739002862347121</v>
      </c>
      <c r="AI29" s="891">
        <f t="shared" si="8"/>
        <v>53.738767413787308</v>
      </c>
      <c r="AJ29" s="920"/>
      <c r="AK29" s="149"/>
      <c r="AL29" s="56"/>
      <c r="AM29" s="56"/>
      <c r="AN29" s="56"/>
      <c r="AO29" s="73">
        <f>SET!$C$12</f>
        <v>14</v>
      </c>
      <c r="AP29" s="501">
        <f t="shared" si="9"/>
        <v>24.172279223123098</v>
      </c>
      <c r="AQ29" s="74">
        <f>SET!$F$12</f>
        <v>3.0022522522522523</v>
      </c>
      <c r="AR29" s="75">
        <f>SET!$I$12</f>
        <v>2.7339881849062175</v>
      </c>
      <c r="AS29" s="63"/>
      <c r="AT29" s="56"/>
      <c r="AU29" s="56"/>
      <c r="AV29" s="56"/>
      <c r="AW29" s="63"/>
      <c r="AX29" s="56"/>
      <c r="AY29" s="56"/>
      <c r="AZ29" s="56"/>
      <c r="BA29" s="73">
        <f>SET!$C$15</f>
        <v>11</v>
      </c>
      <c r="BB29" s="501">
        <f t="shared" ref="BB29:BB30" si="18">Y29/$AI29*$AH29+X29</f>
        <v>25.566714383521806</v>
      </c>
      <c r="BC29" s="74">
        <f>SET!$H$15</f>
        <v>3</v>
      </c>
      <c r="BD29" s="75">
        <f>SET!$K$15</f>
        <v>2</v>
      </c>
      <c r="BE29" s="73">
        <f>SET!$E$15</f>
        <v>4</v>
      </c>
      <c r="BF29" s="501">
        <f t="shared" ref="BF29:BF30" si="19">AC29/$AI29*$AH29+AB29</f>
        <v>4</v>
      </c>
      <c r="BG29" s="74">
        <f>SET!$F$15</f>
        <v>3.3776276276276271</v>
      </c>
      <c r="BH29" s="75">
        <f>SET!$I$15</f>
        <v>2.1471290728667785</v>
      </c>
      <c r="BI29" s="922">
        <f t="shared" si="10"/>
        <v>-9.255702224209017E-6</v>
      </c>
    </row>
    <row r="30" spans="1:61" s="44" customFormat="1" x14ac:dyDescent="0.2">
      <c r="A30" s="947" t="s">
        <v>126</v>
      </c>
      <c r="B30" s="510" t="str">
        <f>hr!$A$11</f>
        <v>PM</v>
      </c>
      <c r="C30" s="897"/>
      <c r="D30" s="898"/>
      <c r="E30" s="897"/>
      <c r="F30" s="899"/>
      <c r="G30" s="899"/>
      <c r="H30" s="900"/>
      <c r="I30" s="898">
        <f>MAX(H10:J10,S10:U10)</f>
        <v>3.6096685247395817</v>
      </c>
      <c r="J30" s="897">
        <f t="shared" si="0"/>
        <v>57.557864698560934</v>
      </c>
      <c r="K30" s="899">
        <f t="shared" si="1"/>
        <v>0</v>
      </c>
      <c r="L30" s="900">
        <f t="shared" si="2"/>
        <v>57.557864698560934</v>
      </c>
      <c r="M30" s="898"/>
      <c r="N30" s="899"/>
      <c r="O30" s="899"/>
      <c r="P30" s="900"/>
      <c r="Q30" s="898"/>
      <c r="R30" s="897"/>
      <c r="S30" s="899"/>
      <c r="T30" s="899"/>
      <c r="U30" s="900"/>
      <c r="V30" s="898">
        <f>MAX(AD10:AE10,AO10:AP10)</f>
        <v>0.31227440886607277</v>
      </c>
      <c r="W30" s="897">
        <f t="shared" si="3"/>
        <v>4.9793625234974259</v>
      </c>
      <c r="X30" s="899">
        <f t="shared" si="11"/>
        <v>11</v>
      </c>
      <c r="Y30" s="900">
        <f t="shared" si="4"/>
        <v>1.0000000000000001E-5</v>
      </c>
      <c r="Z30" s="898">
        <f>MAX(AH10,AS10)</f>
        <v>7.5366835920735925E-2</v>
      </c>
      <c r="AA30" s="899">
        <f>Z30/$AD30*$AG30</f>
        <v>1.2017596948177729</v>
      </c>
      <c r="AB30" s="899">
        <f t="shared" si="16"/>
        <v>4</v>
      </c>
      <c r="AC30" s="900">
        <f t="shared" si="17"/>
        <v>0</v>
      </c>
      <c r="AD30" s="913">
        <f t="shared" si="5"/>
        <v>3.9973107695263908</v>
      </c>
      <c r="AE30" s="905">
        <f>$AE$27</f>
        <v>80</v>
      </c>
      <c r="AF30" s="899">
        <f t="shared" si="6"/>
        <v>16.260997137652875</v>
      </c>
      <c r="AG30" s="900">
        <f t="shared" si="12"/>
        <v>63.739002862347121</v>
      </c>
      <c r="AH30" s="891">
        <f t="shared" si="7"/>
        <v>48.739002862347121</v>
      </c>
      <c r="AI30" s="891">
        <f t="shared" si="8"/>
        <v>57.55788469856094</v>
      </c>
      <c r="AJ30" s="920"/>
      <c r="AK30" s="150"/>
      <c r="AL30" s="60"/>
      <c r="AM30" s="60"/>
      <c r="AN30" s="60"/>
      <c r="AO30" s="76">
        <f>SET!$C$12</f>
        <v>14</v>
      </c>
      <c r="AP30" s="502">
        <f t="shared" si="9"/>
        <v>48.738985926699428</v>
      </c>
      <c r="AQ30" s="77">
        <f>SET!$F$12</f>
        <v>3.0022522522522523</v>
      </c>
      <c r="AR30" s="78">
        <f>SET!$I$12</f>
        <v>2.7339881849062175</v>
      </c>
      <c r="AS30" s="64"/>
      <c r="AT30" s="60"/>
      <c r="AU30" s="60"/>
      <c r="AV30" s="60"/>
      <c r="AW30" s="64"/>
      <c r="AX30" s="60"/>
      <c r="AY30" s="60"/>
      <c r="AZ30" s="60"/>
      <c r="BA30" s="76">
        <f>SET!$C$15</f>
        <v>11</v>
      </c>
      <c r="BB30" s="502">
        <f t="shared" si="18"/>
        <v>11.000008467823847</v>
      </c>
      <c r="BC30" s="77">
        <f>SET!$H$15</f>
        <v>3</v>
      </c>
      <c r="BD30" s="78">
        <f>SET!$K$15</f>
        <v>2</v>
      </c>
      <c r="BE30" s="76">
        <f>SET!$E$15</f>
        <v>4</v>
      </c>
      <c r="BF30" s="502">
        <f t="shared" si="19"/>
        <v>4</v>
      </c>
      <c r="BG30" s="77">
        <f>SET!$F$15</f>
        <v>3.3776276276276271</v>
      </c>
      <c r="BH30" s="78">
        <f>SET!$I$15</f>
        <v>2.1471290728667785</v>
      </c>
      <c r="BI30" s="923">
        <f t="shared" si="10"/>
        <v>-8.4678238465585309E-6</v>
      </c>
    </row>
    <row r="31" spans="1:61" s="44" customFormat="1" x14ac:dyDescent="0.2">
      <c r="A31" s="946" t="s">
        <v>127</v>
      </c>
      <c r="B31" s="45" t="str">
        <f>hr!$A$9</f>
        <v>AM</v>
      </c>
      <c r="C31" s="839">
        <f>MAX(S8:U8)+K8</f>
        <v>0.76817548052035123</v>
      </c>
      <c r="D31" s="892">
        <f>K8/C31*E31</f>
        <v>0</v>
      </c>
      <c r="E31" s="839">
        <f>MAX(C31,H8:I8)</f>
        <v>0.76817548052035123</v>
      </c>
      <c r="F31" s="839">
        <f>D31/$AD31*$AG31</f>
        <v>0</v>
      </c>
      <c r="G31" s="893">
        <f>IF(F31&gt;AK31,0,AK31)</f>
        <v>7</v>
      </c>
      <c r="H31" s="894">
        <f t="shared" ref="H31:H36" si="20">IF(G31=0,F31,0)</f>
        <v>0</v>
      </c>
      <c r="I31" s="892">
        <f>MAX(S8:U8)/C31*E31</f>
        <v>0.76817548052035123</v>
      </c>
      <c r="J31" s="839">
        <f t="shared" si="0"/>
        <v>10.140507620217015</v>
      </c>
      <c r="K31" s="893">
        <f t="shared" si="1"/>
        <v>14</v>
      </c>
      <c r="L31" s="894">
        <f t="shared" si="2"/>
        <v>1.0000000000000001E-5</v>
      </c>
      <c r="M31" s="892"/>
      <c r="N31" s="839"/>
      <c r="O31" s="893"/>
      <c r="P31" s="895"/>
      <c r="Q31" s="892"/>
      <c r="R31" s="839"/>
      <c r="S31" s="839"/>
      <c r="T31" s="893"/>
      <c r="U31" s="895"/>
      <c r="V31" s="892">
        <f>MAX(AD8:AF8,AO8:AQ8)</f>
        <v>4.0804055379509379</v>
      </c>
      <c r="W31" s="839">
        <f t="shared" si="3"/>
        <v>53.864493856454182</v>
      </c>
      <c r="X31" s="893">
        <f t="shared" si="11"/>
        <v>0</v>
      </c>
      <c r="Y31" s="894">
        <f t="shared" si="4"/>
        <v>53.864493856454182</v>
      </c>
      <c r="Z31" s="892"/>
      <c r="AA31" s="839"/>
      <c r="AB31" s="893"/>
      <c r="AC31" s="895"/>
      <c r="AD31" s="912">
        <f>D31+I31+M31+Q31+V31+Z31+0.000001</f>
        <v>4.8485820184712889</v>
      </c>
      <c r="AE31" s="903">
        <f>$AE$25</f>
        <v>80</v>
      </c>
      <c r="AF31" s="893">
        <f t="shared" si="6"/>
        <v>15.994985322559094</v>
      </c>
      <c r="AG31" s="894">
        <f t="shared" si="12"/>
        <v>64.005014677440911</v>
      </c>
      <c r="AH31" s="891">
        <f t="shared" si="7"/>
        <v>43.005014677440911</v>
      </c>
      <c r="AI31" s="891">
        <f t="shared" si="8"/>
        <v>53.864513856454188</v>
      </c>
      <c r="AJ31" s="920"/>
      <c r="AK31" s="69">
        <f>SET!$D$10</f>
        <v>7</v>
      </c>
      <c r="AL31" s="70">
        <f t="shared" ref="AL31:AL36" si="21">H31/$AI31*$AH31+G31</f>
        <v>7</v>
      </c>
      <c r="AM31" s="71">
        <f>SET!$G$10</f>
        <v>3</v>
      </c>
      <c r="AN31" s="72">
        <f>SET!$J$10</f>
        <v>1.7339881849062175</v>
      </c>
      <c r="AO31" s="69">
        <f>SET!$C$12</f>
        <v>14</v>
      </c>
      <c r="AP31" s="70">
        <f t="shared" si="9"/>
        <v>14.000007983923291</v>
      </c>
      <c r="AQ31" s="71">
        <f>SET!$F$12</f>
        <v>3.0022522522522523</v>
      </c>
      <c r="AR31" s="72">
        <f>SET!$I$12</f>
        <v>2.7339881849062175</v>
      </c>
      <c r="AS31" s="63"/>
      <c r="AT31" s="56"/>
      <c r="AU31" s="56"/>
      <c r="AV31" s="56"/>
      <c r="AW31" s="63"/>
      <c r="AX31" s="56"/>
      <c r="AY31" s="56"/>
      <c r="AZ31" s="56"/>
      <c r="BA31" s="69">
        <f>SET!$C$15</f>
        <v>11</v>
      </c>
      <c r="BB31" s="70">
        <f>Y31/$AI31*$AH31+X31</f>
        <v>43.004998709594325</v>
      </c>
      <c r="BC31" s="71">
        <f>SET!$F$15</f>
        <v>3.3776276276276271</v>
      </c>
      <c r="BD31" s="72">
        <f>SET!$I$15</f>
        <v>2.1471290728667785</v>
      </c>
      <c r="BE31" s="63"/>
      <c r="BF31" s="56"/>
      <c r="BG31" s="56"/>
      <c r="BH31" s="57"/>
      <c r="BI31" s="921">
        <f t="shared" si="10"/>
        <v>-7.9839232967060525E-6</v>
      </c>
    </row>
    <row r="32" spans="1:61" s="44" customFormat="1" x14ac:dyDescent="0.2">
      <c r="A32" s="946" t="s">
        <v>127</v>
      </c>
      <c r="B32" s="45" t="str">
        <f>hr!$A$10</f>
        <v>off</v>
      </c>
      <c r="C32" s="839">
        <f t="shared" ref="C32" si="22">MAX(S9:U9)+K9</f>
        <v>0.10640149755932501</v>
      </c>
      <c r="D32" s="892">
        <f t="shared" ref="D32" si="23">K9/C32*E32</f>
        <v>0</v>
      </c>
      <c r="E32" s="839">
        <f t="shared" ref="E32" si="24">MAX(C32,H9:I9)</f>
        <v>0.10640149755932501</v>
      </c>
      <c r="F32" s="839">
        <f t="shared" ref="F32:F35" si="25">D32/$AD32*$AG32</f>
        <v>0</v>
      </c>
      <c r="G32" s="893">
        <f t="shared" ref="G32:G33" si="26">IF(F32&gt;AK32,0,AK32)</f>
        <v>7</v>
      </c>
      <c r="H32" s="894">
        <f t="shared" ref="H32:H33" si="27">IF(G32=0,F32,0)</f>
        <v>0</v>
      </c>
      <c r="I32" s="892">
        <f t="shared" ref="I32" si="28">MAX(S9:U9)/C32*E32</f>
        <v>0.10640149755932501</v>
      </c>
      <c r="J32" s="839">
        <f t="shared" ref="J32" si="29">I32/$AD32*$AG32</f>
        <v>26.245370827877483</v>
      </c>
      <c r="K32" s="893">
        <f t="shared" ref="K32:K33" si="30">IF(J32&gt;AO32,0,AO32)</f>
        <v>0</v>
      </c>
      <c r="L32" s="894">
        <f t="shared" ref="L32:L33" si="31">IF(K32=0,J32,0.00001)</f>
        <v>26.245370827877483</v>
      </c>
      <c r="M32" s="892"/>
      <c r="N32" s="839"/>
      <c r="O32" s="893"/>
      <c r="P32" s="895"/>
      <c r="Q32" s="892"/>
      <c r="R32" s="839"/>
      <c r="S32" s="839"/>
      <c r="T32" s="893"/>
      <c r="U32" s="895"/>
      <c r="V32" s="892">
        <f>MAX(AD9:AF9,AO9:AQ9)</f>
        <v>0.11253951987597399</v>
      </c>
      <c r="W32" s="839">
        <f t="shared" si="3"/>
        <v>27.759397186016102</v>
      </c>
      <c r="X32" s="893">
        <f t="shared" si="11"/>
        <v>0</v>
      </c>
      <c r="Y32" s="894">
        <f t="shared" si="4"/>
        <v>27.759397186016102</v>
      </c>
      <c r="Z32" s="892"/>
      <c r="AA32" s="839"/>
      <c r="AB32" s="893"/>
      <c r="AC32" s="895"/>
      <c r="AD32" s="912">
        <f t="shared" si="5"/>
        <v>0.21894201743529901</v>
      </c>
      <c r="AE32" s="904">
        <f>$AE$26</f>
        <v>70</v>
      </c>
      <c r="AF32" s="893">
        <f t="shared" si="6"/>
        <v>15.994985322559094</v>
      </c>
      <c r="AG32" s="894">
        <f t="shared" si="12"/>
        <v>54.005014677440904</v>
      </c>
      <c r="AH32" s="891">
        <f t="shared" si="7"/>
        <v>47.005014677440904</v>
      </c>
      <c r="AI32" s="891">
        <f t="shared" si="8"/>
        <v>54.004778013893585</v>
      </c>
      <c r="AJ32" s="920"/>
      <c r="AK32" s="73">
        <f>SET!$D$10</f>
        <v>7</v>
      </c>
      <c r="AL32" s="501">
        <f t="shared" si="21"/>
        <v>7</v>
      </c>
      <c r="AM32" s="74">
        <f>SET!$G$10</f>
        <v>3</v>
      </c>
      <c r="AN32" s="75">
        <f>SET!$J$10</f>
        <v>1.7339881849062175</v>
      </c>
      <c r="AO32" s="73">
        <f>SET!$C$12</f>
        <v>14</v>
      </c>
      <c r="AP32" s="501">
        <f t="shared" si="9"/>
        <v>22.843609146247779</v>
      </c>
      <c r="AQ32" s="74">
        <f>SET!$F$12</f>
        <v>3.0022522522522523</v>
      </c>
      <c r="AR32" s="75">
        <f>SET!$I$12</f>
        <v>2.7339881849062175</v>
      </c>
      <c r="AS32" s="63"/>
      <c r="AT32" s="56"/>
      <c r="AU32" s="56"/>
      <c r="AV32" s="56"/>
      <c r="AW32" s="63"/>
      <c r="AX32" s="56"/>
      <c r="AY32" s="56"/>
      <c r="AZ32" s="56"/>
      <c r="BA32" s="73">
        <f>SET!$C$15</f>
        <v>11</v>
      </c>
      <c r="BB32" s="501">
        <f t="shared" ref="BB32:BB33" si="32">Y32/$AI32*$AH32+X32</f>
        <v>24.161396827330908</v>
      </c>
      <c r="BC32" s="74">
        <f>SET!$F$15</f>
        <v>3.3776276276276271</v>
      </c>
      <c r="BD32" s="75">
        <f>SET!$I$15</f>
        <v>2.1471290728667785</v>
      </c>
      <c r="BE32" s="63"/>
      <c r="BF32" s="56"/>
      <c r="BG32" s="56"/>
      <c r="BH32" s="57"/>
      <c r="BI32" s="922">
        <f t="shared" si="10"/>
        <v>-8.7038622211821348E-6</v>
      </c>
    </row>
    <row r="33" spans="1:61" s="44" customFormat="1" x14ac:dyDescent="0.2">
      <c r="A33" s="947" t="s">
        <v>127</v>
      </c>
      <c r="B33" s="510" t="str">
        <f>hr!$A$11</f>
        <v>PM</v>
      </c>
      <c r="C33" s="897">
        <f>MAX(S10:U10)+K10</f>
        <v>3.6096685247395817</v>
      </c>
      <c r="D33" s="898">
        <f>K10/C33*E33</f>
        <v>0</v>
      </c>
      <c r="E33" s="897">
        <f>MAX(C33,H10:I10)</f>
        <v>3.6096685247395817</v>
      </c>
      <c r="F33" s="897">
        <f>D33/$AD33*$AG33</f>
        <v>0</v>
      </c>
      <c r="G33" s="899">
        <f t="shared" si="26"/>
        <v>7</v>
      </c>
      <c r="H33" s="900">
        <f t="shared" si="27"/>
        <v>0</v>
      </c>
      <c r="I33" s="898">
        <f>MAX(S10:U10)/C33*E33</f>
        <v>3.6096685247395817</v>
      </c>
      <c r="J33" s="897">
        <f t="shared" ref="J33:J69" si="33">I33/$AD33*$AG33</f>
        <v>32.96276529036821</v>
      </c>
      <c r="K33" s="899">
        <f t="shared" si="30"/>
        <v>0</v>
      </c>
      <c r="L33" s="900">
        <f t="shared" si="31"/>
        <v>32.96276529036821</v>
      </c>
      <c r="M33" s="898"/>
      <c r="N33" s="897"/>
      <c r="O33" s="899"/>
      <c r="P33" s="901"/>
      <c r="Q33" s="898"/>
      <c r="R33" s="897"/>
      <c r="S33" s="897"/>
      <c r="T33" s="899"/>
      <c r="U33" s="901"/>
      <c r="V33" s="898">
        <f>MAX(AD10:AF10,AO10:AQ10)</f>
        <v>3.3993567165801313</v>
      </c>
      <c r="W33" s="897">
        <f t="shared" si="3"/>
        <v>31.04224025527429</v>
      </c>
      <c r="X33" s="899">
        <f t="shared" si="11"/>
        <v>0</v>
      </c>
      <c r="Y33" s="900">
        <f t="shared" si="4"/>
        <v>31.04224025527429</v>
      </c>
      <c r="Z33" s="898"/>
      <c r="AA33" s="897"/>
      <c r="AB33" s="899"/>
      <c r="AC33" s="901"/>
      <c r="AD33" s="913">
        <f t="shared" si="5"/>
        <v>7.0090262413197131</v>
      </c>
      <c r="AE33" s="905">
        <f>$AE$27</f>
        <v>80</v>
      </c>
      <c r="AF33" s="899">
        <f t="shared" si="6"/>
        <v>15.994985322559094</v>
      </c>
      <c r="AG33" s="900">
        <f t="shared" si="12"/>
        <v>64.005014677440911</v>
      </c>
      <c r="AH33" s="906">
        <f t="shared" si="7"/>
        <v>57.005014677440911</v>
      </c>
      <c r="AI33" s="906">
        <f t="shared" si="8"/>
        <v>64.005015545642507</v>
      </c>
      <c r="AJ33" s="920"/>
      <c r="AK33" s="76">
        <f>SET!$D$10</f>
        <v>7</v>
      </c>
      <c r="AL33" s="502">
        <f t="shared" si="21"/>
        <v>7</v>
      </c>
      <c r="AM33" s="77">
        <f>SET!$G$10</f>
        <v>3</v>
      </c>
      <c r="AN33" s="78">
        <f>SET!$J$10</f>
        <v>1.7339881849062175</v>
      </c>
      <c r="AO33" s="76">
        <f>SET!$C$12</f>
        <v>14</v>
      </c>
      <c r="AP33" s="502">
        <f t="shared" si="9"/>
        <v>29.357744907452112</v>
      </c>
      <c r="AQ33" s="77">
        <f>SET!$F$12</f>
        <v>3.0022522522522523</v>
      </c>
      <c r="AR33" s="78">
        <f>SET!$I$12</f>
        <v>2.7339881849062175</v>
      </c>
      <c r="AS33" s="64"/>
      <c r="AT33" s="60"/>
      <c r="AU33" s="60"/>
      <c r="AV33" s="60"/>
      <c r="AW33" s="64"/>
      <c r="AX33" s="60"/>
      <c r="AY33" s="60"/>
      <c r="AZ33" s="60"/>
      <c r="BA33" s="76">
        <f>SET!$C$15</f>
        <v>11</v>
      </c>
      <c r="BB33" s="502">
        <f t="shared" si="32"/>
        <v>27.647260863653219</v>
      </c>
      <c r="BC33" s="77">
        <f>SET!$F$15</f>
        <v>3.3776276276276271</v>
      </c>
      <c r="BD33" s="78">
        <f>SET!$I$15</f>
        <v>2.1471290728667785</v>
      </c>
      <c r="BE33" s="64"/>
      <c r="BF33" s="60"/>
      <c r="BG33" s="60"/>
      <c r="BH33" s="61"/>
      <c r="BI33" s="923">
        <f t="shared" si="10"/>
        <v>-8.9063355801499711E-6</v>
      </c>
    </row>
    <row r="34" spans="1:61" s="44" customFormat="1" x14ac:dyDescent="0.2">
      <c r="A34" s="946" t="s">
        <v>128</v>
      </c>
      <c r="B34" s="45" t="str">
        <f>hr!$A$9</f>
        <v>AM</v>
      </c>
      <c r="C34" s="839">
        <f>MAX(H8:J8)+V8</f>
        <v>0.16941098167263613</v>
      </c>
      <c r="D34" s="892">
        <f>V8/C34*E34</f>
        <v>5.7567481203900324E-2</v>
      </c>
      <c r="E34" s="839">
        <f>MAX(C34,S8:T8)</f>
        <v>0.20931012240219571</v>
      </c>
      <c r="F34" s="839">
        <f>D34/$AD34*$AG34</f>
        <v>0.85893959231694894</v>
      </c>
      <c r="G34" s="893">
        <f>IF(F34&gt;AK34,0,AK34)</f>
        <v>7</v>
      </c>
      <c r="H34" s="894">
        <f t="shared" si="20"/>
        <v>0</v>
      </c>
      <c r="I34" s="892">
        <f>MAX(H8:J8)/C34*E34</f>
        <v>0.15174264119829539</v>
      </c>
      <c r="J34" s="839">
        <f t="shared" si="33"/>
        <v>2.2640865926774341</v>
      </c>
      <c r="K34" s="893">
        <f>IF(J34&gt;AO34,0,AO34)</f>
        <v>14</v>
      </c>
      <c r="L34" s="894">
        <f t="shared" si="2"/>
        <v>1.0000000000000001E-5</v>
      </c>
      <c r="M34" s="892"/>
      <c r="N34" s="839"/>
      <c r="O34" s="893"/>
      <c r="P34" s="895"/>
      <c r="Q34" s="892"/>
      <c r="R34" s="839"/>
      <c r="S34" s="839"/>
      <c r="T34" s="893"/>
      <c r="U34" s="895"/>
      <c r="V34" s="892">
        <f>MAX(AD8:AF8,AO8:AQ8)</f>
        <v>4.0804055379509379</v>
      </c>
      <c r="W34" s="839">
        <f t="shared" si="3"/>
        <v>60.881973571877239</v>
      </c>
      <c r="X34" s="893">
        <f t="shared" si="11"/>
        <v>0</v>
      </c>
      <c r="Y34" s="894">
        <f t="shared" si="4"/>
        <v>60.881973571877239</v>
      </c>
      <c r="Z34" s="892"/>
      <c r="AA34" s="839"/>
      <c r="AB34" s="893"/>
      <c r="AC34" s="895"/>
      <c r="AD34" s="912">
        <f t="shared" si="5"/>
        <v>4.2897166603531334</v>
      </c>
      <c r="AE34" s="904">
        <f>$AE$25</f>
        <v>80</v>
      </c>
      <c r="AF34" s="893">
        <f t="shared" si="6"/>
        <v>15.994985322559094</v>
      </c>
      <c r="AG34" s="894">
        <f t="shared" si="12"/>
        <v>64.005014677440911</v>
      </c>
      <c r="AH34" s="928">
        <f t="shared" si="7"/>
        <v>43.005014677440911</v>
      </c>
      <c r="AI34" s="928">
        <f t="shared" si="8"/>
        <v>60.881993571877246</v>
      </c>
      <c r="AJ34" s="920"/>
      <c r="AK34" s="69">
        <f>SET!$D$11</f>
        <v>7</v>
      </c>
      <c r="AL34" s="70">
        <f t="shared" si="21"/>
        <v>7</v>
      </c>
      <c r="AM34" s="71">
        <f>SET!$G$11</f>
        <v>3</v>
      </c>
      <c r="AN34" s="72">
        <f>SET!$J$11</f>
        <v>1.7339881849062175</v>
      </c>
      <c r="AO34" s="69">
        <f>SET!$C$12</f>
        <v>14</v>
      </c>
      <c r="AP34" s="70">
        <f t="shared" si="9"/>
        <v>14.000007063667294</v>
      </c>
      <c r="AQ34" s="71">
        <f>SET!$F$12</f>
        <v>3.0022522522522523</v>
      </c>
      <c r="AR34" s="72">
        <f>SET!$I$12</f>
        <v>2.7339881849062175</v>
      </c>
      <c r="AS34" s="63"/>
      <c r="AT34" s="56"/>
      <c r="AU34" s="56"/>
      <c r="AV34" s="56"/>
      <c r="AW34" s="63"/>
      <c r="AX34" s="56"/>
      <c r="AY34" s="56"/>
      <c r="AZ34" s="56"/>
      <c r="BA34" s="69">
        <f>SET!$C$15</f>
        <v>11</v>
      </c>
      <c r="BB34" s="70">
        <f>Y34/$AI34*$AH34+X34</f>
        <v>43.005000550106317</v>
      </c>
      <c r="BC34" s="71">
        <f>SET!$F$15</f>
        <v>3.3776276276276271</v>
      </c>
      <c r="BD34" s="72">
        <f>SET!$I$15</f>
        <v>2.1471290728667785</v>
      </c>
      <c r="BE34" s="63"/>
      <c r="BF34" s="56"/>
      <c r="BG34" s="56"/>
      <c r="BH34" s="57"/>
      <c r="BI34" s="921">
        <f t="shared" si="10"/>
        <v>-7.0636672973023451E-6</v>
      </c>
    </row>
    <row r="35" spans="1:61" s="44" customFormat="1" x14ac:dyDescent="0.2">
      <c r="A35" s="946" t="s">
        <v>128</v>
      </c>
      <c r="B35" s="45" t="str">
        <f>hr!$A$10</f>
        <v>off</v>
      </c>
      <c r="C35" s="839">
        <f t="shared" ref="C35" si="34">MAX(H9:J9)+V9</f>
        <v>7.8507689709586451E-2</v>
      </c>
      <c r="D35" s="892">
        <f t="shared" ref="D35" si="35">V9/C35*E35</f>
        <v>0</v>
      </c>
      <c r="E35" s="839">
        <f t="shared" ref="E35" si="36">MAX(C35,S9:T9)</f>
        <v>0.10640149755932501</v>
      </c>
      <c r="F35" s="839">
        <f t="shared" si="25"/>
        <v>0</v>
      </c>
      <c r="G35" s="893">
        <f>IF(F35&gt;AK35,0,AK35)</f>
        <v>7</v>
      </c>
      <c r="H35" s="894">
        <f t="shared" si="20"/>
        <v>0</v>
      </c>
      <c r="I35" s="892">
        <f t="shared" ref="I35:I36" si="37">MAX(H9:J9)/C35*E35</f>
        <v>0.10640149755932501</v>
      </c>
      <c r="J35" s="839">
        <f t="shared" si="33"/>
        <v>26.245370827877483</v>
      </c>
      <c r="K35" s="893">
        <f t="shared" ref="K35:K69" si="38">IF(J35&gt;AO35,0,AO35)</f>
        <v>0</v>
      </c>
      <c r="L35" s="894">
        <f t="shared" si="2"/>
        <v>26.245370827877483</v>
      </c>
      <c r="M35" s="892"/>
      <c r="N35" s="839"/>
      <c r="O35" s="893"/>
      <c r="P35" s="895"/>
      <c r="Q35" s="892"/>
      <c r="R35" s="839"/>
      <c r="S35" s="839"/>
      <c r="T35" s="893"/>
      <c r="U35" s="895"/>
      <c r="V35" s="892">
        <f>MAX(AD9:AF9,AO9:AQ9)</f>
        <v>0.11253951987597399</v>
      </c>
      <c r="W35" s="839">
        <f t="shared" si="3"/>
        <v>27.759397186016102</v>
      </c>
      <c r="X35" s="893">
        <f t="shared" si="11"/>
        <v>0</v>
      </c>
      <c r="Y35" s="894">
        <f t="shared" si="4"/>
        <v>27.759397186016102</v>
      </c>
      <c r="Z35" s="892"/>
      <c r="AA35" s="839"/>
      <c r="AB35" s="893"/>
      <c r="AC35" s="895"/>
      <c r="AD35" s="912">
        <f t="shared" si="5"/>
        <v>0.21894201743529901</v>
      </c>
      <c r="AE35" s="904">
        <f>$AE$26</f>
        <v>70</v>
      </c>
      <c r="AF35" s="893">
        <f t="shared" si="6"/>
        <v>15.994985322559094</v>
      </c>
      <c r="AG35" s="894">
        <f>AE35-AF35</f>
        <v>54.005014677440904</v>
      </c>
      <c r="AH35" s="891">
        <f t="shared" si="7"/>
        <v>47.005014677440904</v>
      </c>
      <c r="AI35" s="891">
        <f t="shared" si="8"/>
        <v>54.004778013893585</v>
      </c>
      <c r="AJ35" s="920"/>
      <c r="AK35" s="73">
        <f>SET!$D$11</f>
        <v>7</v>
      </c>
      <c r="AL35" s="501">
        <f t="shared" si="21"/>
        <v>7</v>
      </c>
      <c r="AM35" s="74">
        <f>SET!$G$11</f>
        <v>3</v>
      </c>
      <c r="AN35" s="75">
        <f>SET!$J$11</f>
        <v>1.7339881849062175</v>
      </c>
      <c r="AO35" s="73">
        <f>SET!$C$12</f>
        <v>14</v>
      </c>
      <c r="AP35" s="501">
        <f t="shared" si="9"/>
        <v>22.843609146247779</v>
      </c>
      <c r="AQ35" s="74">
        <f>SET!$F$12</f>
        <v>3.0022522522522523</v>
      </c>
      <c r="AR35" s="75">
        <f>SET!$I$12</f>
        <v>2.7339881849062175</v>
      </c>
      <c r="AS35" s="63"/>
      <c r="AT35" s="56"/>
      <c r="AU35" s="56"/>
      <c r="AV35" s="56"/>
      <c r="AW35" s="63"/>
      <c r="AX35" s="56"/>
      <c r="AY35" s="56"/>
      <c r="AZ35" s="56"/>
      <c r="BA35" s="73">
        <f>SET!$C$15</f>
        <v>11</v>
      </c>
      <c r="BB35" s="501">
        <f t="shared" ref="BB35:BB36" si="39">Y35/$AI35*$AH35+X35</f>
        <v>24.161396827330908</v>
      </c>
      <c r="BC35" s="74">
        <f>SET!$F$15</f>
        <v>3.3776276276276271</v>
      </c>
      <c r="BD35" s="75">
        <f>SET!$I$15</f>
        <v>2.1471290728667785</v>
      </c>
      <c r="BE35" s="63"/>
      <c r="BF35" s="56"/>
      <c r="BG35" s="56"/>
      <c r="BH35" s="57"/>
      <c r="BI35" s="922">
        <f t="shared" si="10"/>
        <v>-8.7038622211821348E-6</v>
      </c>
    </row>
    <row r="36" spans="1:61" s="44" customFormat="1" x14ac:dyDescent="0.2">
      <c r="A36" s="947" t="s">
        <v>128</v>
      </c>
      <c r="B36" s="510" t="str">
        <f>hr!$A$11</f>
        <v>PM</v>
      </c>
      <c r="C36" s="897">
        <f>MAX(H10:J10)+V10</f>
        <v>0.2566296842382626</v>
      </c>
      <c r="D36" s="898">
        <f>V10/C36*E36</f>
        <v>8.535342513639807E-2</v>
      </c>
      <c r="E36" s="897">
        <f>MAX(C36,S10:T10)</f>
        <v>0.2566296842382626</v>
      </c>
      <c r="F36" s="897">
        <f>D36/$AD36*$AG36</f>
        <v>1.4942740851355525</v>
      </c>
      <c r="G36" s="899">
        <f>IF(F36&gt;AK36,0,AK36)</f>
        <v>7</v>
      </c>
      <c r="H36" s="900">
        <f t="shared" si="20"/>
        <v>0</v>
      </c>
      <c r="I36" s="898">
        <f t="shared" si="37"/>
        <v>0.1712762591018645</v>
      </c>
      <c r="J36" s="897">
        <f t="shared" si="33"/>
        <v>2.9985167550790908</v>
      </c>
      <c r="K36" s="899">
        <f t="shared" si="38"/>
        <v>14</v>
      </c>
      <c r="L36" s="900">
        <f t="shared" si="2"/>
        <v>1.0000000000000001E-5</v>
      </c>
      <c r="M36" s="898"/>
      <c r="N36" s="897"/>
      <c r="O36" s="899"/>
      <c r="P36" s="901"/>
      <c r="Q36" s="898"/>
      <c r="R36" s="897"/>
      <c r="S36" s="897"/>
      <c r="T36" s="899"/>
      <c r="U36" s="901"/>
      <c r="V36" s="898">
        <f>MAX(AD10:AF10,AO10:AQ10)</f>
        <v>3.3993567165801313</v>
      </c>
      <c r="W36" s="897">
        <f t="shared" si="3"/>
        <v>59.512206330323842</v>
      </c>
      <c r="X36" s="899">
        <f t="shared" si="11"/>
        <v>0</v>
      </c>
      <c r="Y36" s="900">
        <f t="shared" si="4"/>
        <v>59.512206330323842</v>
      </c>
      <c r="Z36" s="898"/>
      <c r="AA36" s="897"/>
      <c r="AB36" s="899"/>
      <c r="AC36" s="900"/>
      <c r="AD36" s="913">
        <f t="shared" si="5"/>
        <v>3.6559874008183941</v>
      </c>
      <c r="AE36" s="905">
        <f>$AE$27</f>
        <v>80</v>
      </c>
      <c r="AF36" s="899">
        <f t="shared" si="6"/>
        <v>15.994985322559094</v>
      </c>
      <c r="AG36" s="900">
        <f t="shared" si="12"/>
        <v>64.005014677440911</v>
      </c>
      <c r="AH36" s="891">
        <f t="shared" si="7"/>
        <v>43.005014677440911</v>
      </c>
      <c r="AI36" s="891">
        <f t="shared" si="8"/>
        <v>59.512226330323848</v>
      </c>
      <c r="AJ36" s="920"/>
      <c r="AK36" s="76">
        <f>SET!$D$11</f>
        <v>7</v>
      </c>
      <c r="AL36" s="502">
        <f t="shared" si="21"/>
        <v>7</v>
      </c>
      <c r="AM36" s="77">
        <f>SET!$G$11</f>
        <v>3</v>
      </c>
      <c r="AN36" s="78">
        <f>SET!$J$11</f>
        <v>1.7339881849062175</v>
      </c>
      <c r="AO36" s="76">
        <f>SET!$C$12</f>
        <v>14</v>
      </c>
      <c r="AP36" s="502">
        <f t="shared" si="9"/>
        <v>14.000007226248677</v>
      </c>
      <c r="AQ36" s="77">
        <f>SET!$F$12</f>
        <v>3.0022522522522523</v>
      </c>
      <c r="AR36" s="78">
        <f>SET!$I$12</f>
        <v>2.7339881849062175</v>
      </c>
      <c r="AS36" s="64"/>
      <c r="AT36" s="60"/>
      <c r="AU36" s="60"/>
      <c r="AV36" s="60"/>
      <c r="AW36" s="64"/>
      <c r="AX36" s="60"/>
      <c r="AY36" s="60"/>
      <c r="AZ36" s="60"/>
      <c r="BA36" s="76">
        <f>SET!$C$15</f>
        <v>11</v>
      </c>
      <c r="BB36" s="502">
        <f t="shared" si="39"/>
        <v>43.005000224943551</v>
      </c>
      <c r="BC36" s="77">
        <f>SET!$F$15</f>
        <v>3.3776276276276271</v>
      </c>
      <c r="BD36" s="78">
        <f>SET!$I$15</f>
        <v>2.1471290728667785</v>
      </c>
      <c r="BE36" s="64"/>
      <c r="BF36" s="60"/>
      <c r="BG36" s="60"/>
      <c r="BH36" s="61"/>
      <c r="BI36" s="923">
        <f t="shared" si="10"/>
        <v>-7.2262486696672568E-6</v>
      </c>
    </row>
    <row r="37" spans="1:61" s="44" customFormat="1" x14ac:dyDescent="0.2">
      <c r="A37" s="946" t="s">
        <v>129</v>
      </c>
      <c r="B37" s="45" t="str">
        <f>hr!$A$9</f>
        <v>AM</v>
      </c>
      <c r="C37" s="839">
        <f>MAX(AO8:AQ8)+AG8</f>
        <v>4.0804055379509379</v>
      </c>
      <c r="D37" s="892"/>
      <c r="E37" s="839"/>
      <c r="F37" s="893"/>
      <c r="G37" s="893"/>
      <c r="H37" s="894"/>
      <c r="I37" s="892">
        <f>MAX(H8:J8,S8:U8)</f>
        <v>0.76817548052035123</v>
      </c>
      <c r="J37" s="839">
        <f>I37/$AD37*$AG37</f>
        <v>10.233485480274084</v>
      </c>
      <c r="K37" s="893">
        <f>IF(J37&gt;AO37,0,AO37)</f>
        <v>14</v>
      </c>
      <c r="L37" s="894">
        <f>IF(K37=0,J37,0.00001)</f>
        <v>1.0000000000000001E-5</v>
      </c>
      <c r="M37" s="892"/>
      <c r="N37" s="893"/>
      <c r="O37" s="893"/>
      <c r="P37" s="894"/>
      <c r="Q37" s="892">
        <f>AG8/C37*R37</f>
        <v>0</v>
      </c>
      <c r="R37" s="839">
        <f>MAX(C37,AD8:AE8)</f>
        <v>4.0804055379509379</v>
      </c>
      <c r="S37" s="839">
        <f>Q37/$AD37*$AG37</f>
        <v>0</v>
      </c>
      <c r="T37" s="893">
        <f>IF(S37&gt;AW37,0,AW37)</f>
        <v>7</v>
      </c>
      <c r="U37" s="894">
        <f t="shared" ref="U37" si="40">IF(T37=0,S37,0)</f>
        <v>0</v>
      </c>
      <c r="V37" s="892">
        <f>MAX(AO8:AQ8)/C37*R37</f>
        <v>4.0804055379509379</v>
      </c>
      <c r="W37" s="839">
        <f>V37/$AD37*$AG37</f>
        <v>54.35837498739928</v>
      </c>
      <c r="X37" s="893">
        <f t="shared" si="11"/>
        <v>0</v>
      </c>
      <c r="Y37" s="894">
        <f t="shared" si="4"/>
        <v>54.35837498739928</v>
      </c>
      <c r="Z37" s="892"/>
      <c r="AA37" s="893"/>
      <c r="AB37" s="893"/>
      <c r="AC37" s="894"/>
      <c r="AD37" s="912">
        <f>D37+I37+M37+Q37+V37+Z37+0.000001</f>
        <v>4.8485820184712889</v>
      </c>
      <c r="AE37" s="903">
        <f>$AE$25</f>
        <v>80</v>
      </c>
      <c r="AF37" s="893">
        <f t="shared" si="6"/>
        <v>15.408126210519654</v>
      </c>
      <c r="AG37" s="894">
        <f t="shared" si="12"/>
        <v>64.591873789480346</v>
      </c>
      <c r="AH37" s="891">
        <f t="shared" si="7"/>
        <v>43.591873789480346</v>
      </c>
      <c r="AI37" s="891">
        <f t="shared" si="8"/>
        <v>54.358394987399286</v>
      </c>
      <c r="AJ37" s="920"/>
      <c r="AK37" s="149"/>
      <c r="AL37" s="56"/>
      <c r="AM37" s="56"/>
      <c r="AN37" s="56"/>
      <c r="AO37" s="69">
        <f>SET!$C$12</f>
        <v>14</v>
      </c>
      <c r="AP37" s="70">
        <f t="shared" si="9"/>
        <v>14.000008019345273</v>
      </c>
      <c r="AQ37" s="71">
        <f>SET!$F$12</f>
        <v>3.0022522522522523</v>
      </c>
      <c r="AR37" s="72">
        <f>SET!$I$12</f>
        <v>2.7339881849062175</v>
      </c>
      <c r="AS37" s="63"/>
      <c r="AT37" s="56"/>
      <c r="AU37" s="56"/>
      <c r="AV37" s="56"/>
      <c r="AW37" s="69">
        <f>SET!$D$13</f>
        <v>7</v>
      </c>
      <c r="AX37" s="70">
        <f>U37/$AI37*$AH37+T37</f>
        <v>7</v>
      </c>
      <c r="AY37" s="71">
        <f>SET!$G$13</f>
        <v>3</v>
      </c>
      <c r="AZ37" s="72">
        <f>SET!$J$13</f>
        <v>1.1471290728667785</v>
      </c>
      <c r="BA37" s="69">
        <f>SET!$C$15</f>
        <v>11</v>
      </c>
      <c r="BB37" s="70">
        <f>Y37/$AI37*$AH37+X37</f>
        <v>43.591857750789792</v>
      </c>
      <c r="BC37" s="71">
        <f>SET!$F$15</f>
        <v>3.3776276276276271</v>
      </c>
      <c r="BD37" s="72">
        <f>SET!$I$15</f>
        <v>2.1471290728667785</v>
      </c>
      <c r="BE37" s="63"/>
      <c r="BF37" s="56"/>
      <c r="BG37" s="56"/>
      <c r="BH37" s="57"/>
      <c r="BI37" s="921">
        <f t="shared" si="10"/>
        <v>-8.019345273169165E-6</v>
      </c>
    </row>
    <row r="38" spans="1:61" s="44" customFormat="1" x14ac:dyDescent="0.2">
      <c r="A38" s="946" t="s">
        <v>129</v>
      </c>
      <c r="B38" s="45" t="str">
        <f>hr!$A$10</f>
        <v>off</v>
      </c>
      <c r="C38" s="839">
        <f t="shared" ref="C38:C39" si="41">MAX(AO9:AQ9)+AG9</f>
        <v>0.10958151082995241</v>
      </c>
      <c r="D38" s="892"/>
      <c r="E38" s="839"/>
      <c r="F38" s="893"/>
      <c r="G38" s="893"/>
      <c r="H38" s="894"/>
      <c r="I38" s="892">
        <f>MAX(H9:J9,S9:U9)</f>
        <v>0.10640149755932501</v>
      </c>
      <c r="J38" s="839">
        <f t="shared" si="33"/>
        <v>26.530572769052547</v>
      </c>
      <c r="K38" s="893">
        <f t="shared" si="38"/>
        <v>0</v>
      </c>
      <c r="L38" s="894">
        <f t="shared" si="2"/>
        <v>26.530572769052547</v>
      </c>
      <c r="M38" s="892"/>
      <c r="N38" s="893"/>
      <c r="O38" s="893"/>
      <c r="P38" s="894"/>
      <c r="Q38" s="892">
        <f t="shared" ref="Q38:Q39" si="42">AG9/C38*R38</f>
        <v>0</v>
      </c>
      <c r="R38" s="839">
        <f t="shared" ref="R38:R39" si="43">MAX(C38,AD9:AE9)</f>
        <v>0.11253951987597399</v>
      </c>
      <c r="S38" s="839">
        <f t="shared" ref="S38:S39" si="44">Q38/$AD38*$AG38</f>
        <v>0</v>
      </c>
      <c r="T38" s="893">
        <f t="shared" ref="T38:T39" si="45">IF(S38&gt;AW38,0,AW38)</f>
        <v>7</v>
      </c>
      <c r="U38" s="894">
        <f t="shared" ref="U38:U39" si="46">IF(T38=0,S38,0)</f>
        <v>0</v>
      </c>
      <c r="V38" s="892">
        <f>MAX(AO9:AQ9)/C38*R38</f>
        <v>0.11253951987597399</v>
      </c>
      <c r="W38" s="839">
        <f t="shared" ref="W38:W39" si="47">V38/$AD38*$AG38</f>
        <v>28.061051676448834</v>
      </c>
      <c r="X38" s="893">
        <f t="shared" ref="X38:X39" si="48">IF(W38&gt;BA38,0,BA38)</f>
        <v>0</v>
      </c>
      <c r="Y38" s="894">
        <f t="shared" ref="Y38:Y39" si="49">IF(X38=0,W38,0.00001)</f>
        <v>28.061051676448834</v>
      </c>
      <c r="Z38" s="892"/>
      <c r="AA38" s="893"/>
      <c r="AB38" s="893"/>
      <c r="AC38" s="894"/>
      <c r="AD38" s="912">
        <f t="shared" si="5"/>
        <v>0.21894201743529901</v>
      </c>
      <c r="AE38" s="904">
        <f>$AE$26</f>
        <v>70</v>
      </c>
      <c r="AF38" s="893">
        <f t="shared" si="6"/>
        <v>15.408126210519654</v>
      </c>
      <c r="AG38" s="894">
        <f t="shared" si="12"/>
        <v>54.591873789480346</v>
      </c>
      <c r="AH38" s="891">
        <f t="shared" si="7"/>
        <v>47.591873789480346</v>
      </c>
      <c r="AI38" s="891">
        <f t="shared" si="8"/>
        <v>54.591634445501384</v>
      </c>
      <c r="AJ38" s="920"/>
      <c r="AK38" s="149"/>
      <c r="AL38" s="56"/>
      <c r="AM38" s="56"/>
      <c r="AN38" s="56"/>
      <c r="AO38" s="73">
        <f>SET!$C$12</f>
        <v>14</v>
      </c>
      <c r="AP38" s="501">
        <f t="shared" si="9"/>
        <v>23.128812383294022</v>
      </c>
      <c r="AQ38" s="74">
        <f>SET!$F$12</f>
        <v>3.0022522522522523</v>
      </c>
      <c r="AR38" s="75">
        <f>SET!$I$12</f>
        <v>2.7339881849062175</v>
      </c>
      <c r="AS38" s="63"/>
      <c r="AT38" s="56"/>
      <c r="AU38" s="56"/>
      <c r="AV38" s="56"/>
      <c r="AW38" s="73">
        <f>SET!$D$13</f>
        <v>7</v>
      </c>
      <c r="AX38" s="501">
        <f t="shared" ref="AX38:AX39" si="50">U38/$AI38*$AH38+T38</f>
        <v>7</v>
      </c>
      <c r="AY38" s="74">
        <f>SET!$G$13</f>
        <v>3</v>
      </c>
      <c r="AZ38" s="75">
        <f>SET!$J$13</f>
        <v>1.1471290728667785</v>
      </c>
      <c r="BA38" s="73">
        <f>SET!$C$15</f>
        <v>11</v>
      </c>
      <c r="BB38" s="501">
        <f t="shared" ref="BB38:BB39" si="51">Y38/$AI38*$AH38+X38</f>
        <v>24.463052688390217</v>
      </c>
      <c r="BC38" s="74">
        <f>SET!$F$15</f>
        <v>3.3776276276276271</v>
      </c>
      <c r="BD38" s="75">
        <f>SET!$I$15</f>
        <v>2.1471290728667785</v>
      </c>
      <c r="BE38" s="63"/>
      <c r="BF38" s="56"/>
      <c r="BG38" s="56"/>
      <c r="BH38" s="57"/>
      <c r="BI38" s="922">
        <f t="shared" si="10"/>
        <v>-8.7177961063389375E-6</v>
      </c>
    </row>
    <row r="39" spans="1:61" s="44" customFormat="1" x14ac:dyDescent="0.2">
      <c r="A39" s="947" t="s">
        <v>129</v>
      </c>
      <c r="B39" s="510" t="str">
        <f>hr!$A$11</f>
        <v>PM</v>
      </c>
      <c r="C39" s="839">
        <f t="shared" si="41"/>
        <v>1.0352300562333427</v>
      </c>
      <c r="D39" s="898"/>
      <c r="E39" s="897"/>
      <c r="F39" s="899"/>
      <c r="G39" s="899"/>
      <c r="H39" s="900"/>
      <c r="I39" s="898">
        <f>MAX(H10:J10,S10:U10)</f>
        <v>3.6096685247395817</v>
      </c>
      <c r="J39" s="897">
        <f t="shared" si="33"/>
        <v>50.195972960733393</v>
      </c>
      <c r="K39" s="899">
        <f t="shared" si="38"/>
        <v>0</v>
      </c>
      <c r="L39" s="900">
        <f t="shared" si="2"/>
        <v>50.195972960733393</v>
      </c>
      <c r="M39" s="898"/>
      <c r="N39" s="899"/>
      <c r="O39" s="899"/>
      <c r="P39" s="900"/>
      <c r="Q39" s="892">
        <f t="shared" si="42"/>
        <v>7.9704230001606063E-2</v>
      </c>
      <c r="R39" s="839">
        <f t="shared" si="43"/>
        <v>1.0352300562333427</v>
      </c>
      <c r="S39" s="839">
        <f t="shared" si="44"/>
        <v>1.1083653101652406</v>
      </c>
      <c r="T39" s="893">
        <f t="shared" si="45"/>
        <v>7</v>
      </c>
      <c r="U39" s="894">
        <f t="shared" si="46"/>
        <v>0</v>
      </c>
      <c r="V39" s="892">
        <f t="shared" ref="V39" si="52">MAX(AO10:AQ10)/C39*R39</f>
        <v>0.95552582623173676</v>
      </c>
      <c r="W39" s="839">
        <f t="shared" si="47"/>
        <v>13.287521612603197</v>
      </c>
      <c r="X39" s="893">
        <f t="shared" si="48"/>
        <v>0</v>
      </c>
      <c r="Y39" s="894">
        <f t="shared" si="49"/>
        <v>13.287521612603197</v>
      </c>
      <c r="Z39" s="898"/>
      <c r="AA39" s="899"/>
      <c r="AB39" s="899"/>
      <c r="AC39" s="900"/>
      <c r="AD39" s="912">
        <f t="shared" si="5"/>
        <v>4.6448995809729245</v>
      </c>
      <c r="AE39" s="905">
        <f>$AE$27</f>
        <v>80</v>
      </c>
      <c r="AF39" s="899">
        <f t="shared" si="6"/>
        <v>15.408126210519654</v>
      </c>
      <c r="AG39" s="900">
        <f t="shared" si="12"/>
        <v>64.591873789480346</v>
      </c>
      <c r="AH39" s="891">
        <f t="shared" si="7"/>
        <v>57.591873789480346</v>
      </c>
      <c r="AI39" s="891">
        <f t="shared" si="8"/>
        <v>63.483504573336589</v>
      </c>
      <c r="AJ39" s="920"/>
      <c r="AK39" s="150"/>
      <c r="AL39" s="60"/>
      <c r="AM39" s="60"/>
      <c r="AN39" s="60"/>
      <c r="AO39" s="76">
        <f>SET!$C$12</f>
        <v>14</v>
      </c>
      <c r="AP39" s="502">
        <f t="shared" si="9"/>
        <v>45.537500787392112</v>
      </c>
      <c r="AQ39" s="77">
        <f>SET!$F$12</f>
        <v>3.0022522522522523</v>
      </c>
      <c r="AR39" s="78">
        <f>SET!$I$12</f>
        <v>2.7339881849062175</v>
      </c>
      <c r="AS39" s="64"/>
      <c r="AT39" s="60"/>
      <c r="AU39" s="60"/>
      <c r="AV39" s="60"/>
      <c r="AW39" s="76">
        <f>SET!$D$13</f>
        <v>7</v>
      </c>
      <c r="AX39" s="502">
        <f t="shared" si="50"/>
        <v>7</v>
      </c>
      <c r="AY39" s="77">
        <f>SET!$G$13</f>
        <v>3</v>
      </c>
      <c r="AZ39" s="78">
        <f>SET!$J$13</f>
        <v>1.1471290728667785</v>
      </c>
      <c r="BA39" s="76">
        <f>SET!$C$15</f>
        <v>11</v>
      </c>
      <c r="BB39" s="502">
        <f t="shared" si="51"/>
        <v>12.054363930145188</v>
      </c>
      <c r="BC39" s="77">
        <f>SET!$F$15</f>
        <v>3.3776276276276271</v>
      </c>
      <c r="BD39" s="78">
        <f>SET!$I$15</f>
        <v>2.1471290728667785</v>
      </c>
      <c r="BE39" s="64"/>
      <c r="BF39" s="60"/>
      <c r="BG39" s="60"/>
      <c r="BH39" s="61"/>
      <c r="BI39" s="923">
        <f t="shared" si="10"/>
        <v>-9.0719430403396473E-6</v>
      </c>
    </row>
    <row r="40" spans="1:61" s="44" customFormat="1" x14ac:dyDescent="0.2">
      <c r="A40" s="946" t="s">
        <v>130</v>
      </c>
      <c r="B40" s="45" t="str">
        <f>hr!$A$9</f>
        <v>AM</v>
      </c>
      <c r="C40" s="839">
        <f>MAX(AD8:AF8)+AR8</f>
        <v>0.33545435614543428</v>
      </c>
      <c r="D40" s="892"/>
      <c r="E40" s="839"/>
      <c r="F40" s="893"/>
      <c r="G40" s="893"/>
      <c r="H40" s="894"/>
      <c r="I40" s="892">
        <f>MAX(H8:J8,S8:U8)</f>
        <v>0.76817548052035123</v>
      </c>
      <c r="J40" s="839">
        <f t="shared" si="33"/>
        <v>44.958777915127996</v>
      </c>
      <c r="K40" s="893">
        <f t="shared" si="38"/>
        <v>0</v>
      </c>
      <c r="L40" s="894">
        <f t="shared" si="2"/>
        <v>44.958777915127996</v>
      </c>
      <c r="M40" s="892"/>
      <c r="N40" s="893"/>
      <c r="O40" s="893"/>
      <c r="P40" s="894"/>
      <c r="Q40" s="892">
        <f>AR8/C40*R40</f>
        <v>9.8706493116961766E-2</v>
      </c>
      <c r="R40" s="839">
        <f>MAX(C40,AO8:AP8)</f>
        <v>0.33545435614543428</v>
      </c>
      <c r="S40" s="839">
        <f>Q40/$AD40*$AG40</f>
        <v>5.7769655701852693</v>
      </c>
      <c r="T40" s="893">
        <f>IF(S40&gt;AW40,0,AW40)</f>
        <v>7</v>
      </c>
      <c r="U40" s="894">
        <f t="shared" ref="U40" si="53">IF(T40=0,S40,0)</f>
        <v>0</v>
      </c>
      <c r="V40" s="892">
        <f>MAX(AD8:AF8)/C40*R40</f>
        <v>0.2367478630284725</v>
      </c>
      <c r="W40" s="839">
        <f>V40/$AD40*$AG40</f>
        <v>13.856071777464459</v>
      </c>
      <c r="X40" s="893">
        <f t="shared" si="11"/>
        <v>0</v>
      </c>
      <c r="Y40" s="894">
        <f t="shared" si="4"/>
        <v>13.856071777464459</v>
      </c>
      <c r="Z40" s="892"/>
      <c r="AA40" s="893"/>
      <c r="AB40" s="893"/>
      <c r="AC40" s="894"/>
      <c r="AD40" s="912">
        <f t="shared" si="5"/>
        <v>1.1036308366657854</v>
      </c>
      <c r="AE40" s="903">
        <f>$AE$25</f>
        <v>80</v>
      </c>
      <c r="AF40" s="893">
        <f t="shared" si="6"/>
        <v>15.408126210519654</v>
      </c>
      <c r="AG40" s="894">
        <f t="shared" si="12"/>
        <v>64.591873789480346</v>
      </c>
      <c r="AH40" s="891">
        <f t="shared" si="7"/>
        <v>57.591873789480346</v>
      </c>
      <c r="AI40" s="891">
        <f t="shared" si="8"/>
        <v>58.814859692592456</v>
      </c>
      <c r="AJ40" s="920"/>
      <c r="AK40" s="149"/>
      <c r="AL40" s="56"/>
      <c r="AM40" s="56"/>
      <c r="AN40" s="56"/>
      <c r="AO40" s="69">
        <f>SET!$C$12</f>
        <v>14</v>
      </c>
      <c r="AP40" s="70">
        <f t="shared" si="9"/>
        <v>44.023912952451319</v>
      </c>
      <c r="AQ40" s="71">
        <f>SET!$F$12</f>
        <v>3.0022522522522523</v>
      </c>
      <c r="AR40" s="72">
        <f>SET!$I$12</f>
        <v>2.7339881849062175</v>
      </c>
      <c r="AS40" s="63"/>
      <c r="AT40" s="56"/>
      <c r="AU40" s="56"/>
      <c r="AV40" s="56"/>
      <c r="AW40" s="69">
        <f>SET!$D$14</f>
        <v>7</v>
      </c>
      <c r="AX40" s="70">
        <f>U40/$AI40*$AH40+T40</f>
        <v>7</v>
      </c>
      <c r="AY40" s="71">
        <f>SET!$G$14</f>
        <v>3</v>
      </c>
      <c r="AZ40" s="72">
        <f>SET!$J$14</f>
        <v>1.1471290728667785</v>
      </c>
      <c r="BA40" s="69">
        <f>SET!$C$15</f>
        <v>11</v>
      </c>
      <c r="BB40" s="70">
        <f>Y40/$AI40*$AH40+X40</f>
        <v>13.56795104496728</v>
      </c>
      <c r="BC40" s="71">
        <f>SET!$F$15</f>
        <v>3.3776276276276271</v>
      </c>
      <c r="BD40" s="72">
        <f>SET!$I$15</f>
        <v>2.1471290728667785</v>
      </c>
      <c r="BE40" s="63"/>
      <c r="BF40" s="56"/>
      <c r="BG40" s="56"/>
      <c r="BH40" s="57"/>
      <c r="BI40" s="921">
        <f t="shared" si="10"/>
        <v>-9.7920617463387316E-6</v>
      </c>
    </row>
    <row r="41" spans="1:61" s="44" customFormat="1" x14ac:dyDescent="0.2">
      <c r="A41" s="946" t="s">
        <v>130</v>
      </c>
      <c r="B41" s="45" t="str">
        <f>hr!$A$10</f>
        <v>off</v>
      </c>
      <c r="C41" s="839">
        <f t="shared" ref="C41:C42" si="54">MAX(AD9:AF9)+AR9</f>
        <v>0.11253951987597399</v>
      </c>
      <c r="D41" s="892"/>
      <c r="E41" s="839"/>
      <c r="F41" s="893"/>
      <c r="G41" s="893"/>
      <c r="H41" s="894"/>
      <c r="I41" s="892">
        <f>MAX(H9:J9,S9:U9)</f>
        <v>0.10640149755932501</v>
      </c>
      <c r="J41" s="839">
        <f t="shared" si="33"/>
        <v>26.530572769052547</v>
      </c>
      <c r="K41" s="893">
        <f t="shared" si="38"/>
        <v>0</v>
      </c>
      <c r="L41" s="894">
        <f t="shared" si="2"/>
        <v>26.530572769052547</v>
      </c>
      <c r="M41" s="892"/>
      <c r="N41" s="893"/>
      <c r="O41" s="893"/>
      <c r="P41" s="894"/>
      <c r="Q41" s="892">
        <f t="shared" ref="Q41:Q42" si="55">AR9/C41*R41</f>
        <v>0</v>
      </c>
      <c r="R41" s="839">
        <f t="shared" ref="R41:R42" si="56">MAX(C41,AO9:AP9)</f>
        <v>0.11253951987597399</v>
      </c>
      <c r="S41" s="839">
        <f t="shared" ref="S41:S42" si="57">Q41/$AD41*$AG41</f>
        <v>0</v>
      </c>
      <c r="T41" s="893">
        <f t="shared" ref="T41:T42" si="58">IF(S41&gt;AW41,0,AW41)</f>
        <v>7</v>
      </c>
      <c r="U41" s="894">
        <f t="shared" ref="U41:U42" si="59">IF(T41=0,S41,0)</f>
        <v>0</v>
      </c>
      <c r="V41" s="892">
        <f>MAX(AD9:AF9)/C41*R41</f>
        <v>0.11253951987597399</v>
      </c>
      <c r="W41" s="839">
        <f t="shared" ref="W41" si="60">V41/$AD41*$AG41</f>
        <v>28.061051676448834</v>
      </c>
      <c r="X41" s="893">
        <f t="shared" ref="X41" si="61">IF(W41&gt;BA41,0,BA41)</f>
        <v>0</v>
      </c>
      <c r="Y41" s="894">
        <f t="shared" ref="Y41" si="62">IF(X41=0,W41,0.00001)</f>
        <v>28.061051676448834</v>
      </c>
      <c r="Z41" s="892"/>
      <c r="AA41" s="893"/>
      <c r="AB41" s="893"/>
      <c r="AC41" s="894"/>
      <c r="AD41" s="912">
        <f t="shared" si="5"/>
        <v>0.21894201743529901</v>
      </c>
      <c r="AE41" s="904">
        <f>$AE$26</f>
        <v>70</v>
      </c>
      <c r="AF41" s="893">
        <f t="shared" si="6"/>
        <v>15.408126210519654</v>
      </c>
      <c r="AG41" s="894">
        <f t="shared" si="12"/>
        <v>54.591873789480346</v>
      </c>
      <c r="AH41" s="891">
        <f t="shared" si="7"/>
        <v>47.591873789480346</v>
      </c>
      <c r="AI41" s="891">
        <f t="shared" si="8"/>
        <v>54.591634445501384</v>
      </c>
      <c r="AJ41" s="920"/>
      <c r="AK41" s="149"/>
      <c r="AL41" s="56"/>
      <c r="AM41" s="56"/>
      <c r="AN41" s="56"/>
      <c r="AO41" s="73">
        <f>SET!$C$12</f>
        <v>14</v>
      </c>
      <c r="AP41" s="501">
        <f t="shared" si="9"/>
        <v>23.128812383294022</v>
      </c>
      <c r="AQ41" s="74">
        <f>SET!$F$12</f>
        <v>3.0022522522522523</v>
      </c>
      <c r="AR41" s="75">
        <f>SET!$I$12</f>
        <v>2.7339881849062175</v>
      </c>
      <c r="AS41" s="63"/>
      <c r="AT41" s="56"/>
      <c r="AU41" s="56"/>
      <c r="AV41" s="56"/>
      <c r="AW41" s="73">
        <f>SET!$D$14</f>
        <v>7</v>
      </c>
      <c r="AX41" s="501">
        <f t="shared" ref="AX41:AX42" si="63">U41/$AI41*$AH41+T41</f>
        <v>7</v>
      </c>
      <c r="AY41" s="74">
        <f>SET!$G$14</f>
        <v>3</v>
      </c>
      <c r="AZ41" s="75">
        <f>SET!$J$14</f>
        <v>1.1471290728667785</v>
      </c>
      <c r="BA41" s="73">
        <f>SET!$C$15</f>
        <v>11</v>
      </c>
      <c r="BB41" s="501">
        <f t="shared" ref="BB41:BB42" si="64">Y41/$AI41*$AH41+X41</f>
        <v>24.463052688390217</v>
      </c>
      <c r="BC41" s="74">
        <f>SET!$F$15</f>
        <v>3.3776276276276271</v>
      </c>
      <c r="BD41" s="75">
        <f>SET!$I$15</f>
        <v>2.1471290728667785</v>
      </c>
      <c r="BE41" s="63"/>
      <c r="BF41" s="56"/>
      <c r="BG41" s="56"/>
      <c r="BH41" s="57"/>
      <c r="BI41" s="922">
        <f t="shared" si="10"/>
        <v>-8.7177961063389375E-6</v>
      </c>
    </row>
    <row r="42" spans="1:61" s="44" customFormat="1" x14ac:dyDescent="0.2">
      <c r="A42" s="947" t="s">
        <v>130</v>
      </c>
      <c r="B42" s="510" t="str">
        <f>hr!$A$11</f>
        <v>PM</v>
      </c>
      <c r="C42" s="839">
        <f t="shared" si="54"/>
        <v>3.4224937074473294</v>
      </c>
      <c r="D42" s="898"/>
      <c r="E42" s="897"/>
      <c r="F42" s="899"/>
      <c r="G42" s="899"/>
      <c r="H42" s="900"/>
      <c r="I42" s="898">
        <f>MAX(H10:J10,S10:U10)</f>
        <v>3.6096685247395817</v>
      </c>
      <c r="J42" s="897">
        <f t="shared" si="33"/>
        <v>33.155552007761131</v>
      </c>
      <c r="K42" s="899">
        <f t="shared" si="38"/>
        <v>0</v>
      </c>
      <c r="L42" s="900">
        <f t="shared" si="2"/>
        <v>33.155552007761131</v>
      </c>
      <c r="M42" s="898"/>
      <c r="N42" s="899"/>
      <c r="O42" s="899"/>
      <c r="P42" s="900"/>
      <c r="Q42" s="892">
        <f t="shared" si="55"/>
        <v>2.3136990867198073E-2</v>
      </c>
      <c r="R42" s="839">
        <f t="shared" si="56"/>
        <v>3.4224937074473294</v>
      </c>
      <c r="S42" s="839">
        <f t="shared" si="57"/>
        <v>0.21251804666907018</v>
      </c>
      <c r="T42" s="893">
        <f t="shared" si="58"/>
        <v>7</v>
      </c>
      <c r="U42" s="894">
        <f t="shared" si="59"/>
        <v>0</v>
      </c>
      <c r="V42" s="892">
        <f>MAX(AD10:AF10)/C42*R42</f>
        <v>3.3993567165801313</v>
      </c>
      <c r="W42" s="839">
        <f>V42/$AD42*$AG42</f>
        <v>31.223794549843301</v>
      </c>
      <c r="X42" s="893">
        <f>IF(W42&gt;BA42,0,BA42)</f>
        <v>0</v>
      </c>
      <c r="Y42" s="894">
        <f>IF(X42=0,W42,0.00001)</f>
        <v>31.223794549843301</v>
      </c>
      <c r="Z42" s="898"/>
      <c r="AA42" s="899"/>
      <c r="AB42" s="899"/>
      <c r="AC42" s="901"/>
      <c r="AD42" s="912">
        <f t="shared" si="5"/>
        <v>7.0321632321869112</v>
      </c>
      <c r="AE42" s="905">
        <f>$AE$27</f>
        <v>80</v>
      </c>
      <c r="AF42" s="899">
        <f t="shared" si="6"/>
        <v>15.408126210519654</v>
      </c>
      <c r="AG42" s="900">
        <f t="shared" si="12"/>
        <v>64.591873789480346</v>
      </c>
      <c r="AH42" s="891">
        <f t="shared" si="7"/>
        <v>57.591873789480346</v>
      </c>
      <c r="AI42" s="891">
        <f t="shared" si="8"/>
        <v>64.379356557604439</v>
      </c>
      <c r="AJ42" s="920"/>
      <c r="AK42" s="150"/>
      <c r="AL42" s="60"/>
      <c r="AM42" s="60"/>
      <c r="AN42" s="60"/>
      <c r="AO42" s="76">
        <f>SET!$C$12</f>
        <v>14</v>
      </c>
      <c r="AP42" s="502">
        <f t="shared" si="9"/>
        <v>29.659979048454517</v>
      </c>
      <c r="AQ42" s="77">
        <f>SET!$F$12</f>
        <v>3.0022522522522523</v>
      </c>
      <c r="AR42" s="78">
        <f>SET!$I$12</f>
        <v>2.7339881849062175</v>
      </c>
      <c r="AS42" s="64"/>
      <c r="AT42" s="60"/>
      <c r="AU42" s="60"/>
      <c r="AV42" s="60"/>
      <c r="AW42" s="76">
        <f>SET!$D$14</f>
        <v>7</v>
      </c>
      <c r="AX42" s="502">
        <f t="shared" si="63"/>
        <v>7</v>
      </c>
      <c r="AY42" s="77">
        <f>SET!$G$14</f>
        <v>3</v>
      </c>
      <c r="AZ42" s="78">
        <f>SET!$J$14</f>
        <v>1.1471290728667785</v>
      </c>
      <c r="BA42" s="76">
        <f>SET!$C$15</f>
        <v>11</v>
      </c>
      <c r="BB42" s="502">
        <f t="shared" si="64"/>
        <v>27.931885795320724</v>
      </c>
      <c r="BC42" s="77">
        <f>SET!$F$15</f>
        <v>3.3776276276276271</v>
      </c>
      <c r="BD42" s="78">
        <f>SET!$I$15</f>
        <v>2.1471290728667785</v>
      </c>
      <c r="BE42" s="64"/>
      <c r="BF42" s="60"/>
      <c r="BG42" s="60"/>
      <c r="BH42" s="61"/>
      <c r="BI42" s="923">
        <f t="shared" si="10"/>
        <v>-8.9457051046792913E-6</v>
      </c>
    </row>
    <row r="43" spans="1:61" s="44" customFormat="1" x14ac:dyDescent="0.2">
      <c r="A43" s="941" t="s">
        <v>131</v>
      </c>
      <c r="B43" s="45" t="str">
        <f>hr!$A$9</f>
        <v>AM</v>
      </c>
      <c r="C43" s="839"/>
      <c r="D43" s="892"/>
      <c r="E43" s="839"/>
      <c r="F43" s="839"/>
      <c r="G43" s="893"/>
      <c r="H43" s="895"/>
      <c r="I43" s="892">
        <f>MAX(H12:I12,S12:T12)</f>
        <v>0.2093598646916105</v>
      </c>
      <c r="J43" s="839">
        <f t="shared" si="33"/>
        <v>21.779553075989725</v>
      </c>
      <c r="K43" s="893">
        <f t="shared" si="38"/>
        <v>0</v>
      </c>
      <c r="L43" s="894">
        <f t="shared" si="2"/>
        <v>21.779553075989725</v>
      </c>
      <c r="M43" s="892">
        <f>MAX(L12,W12)</f>
        <v>4.5810856380913895E-2</v>
      </c>
      <c r="N43" s="839">
        <f>M43/$AD43*$AG43</f>
        <v>4.7656697690091621</v>
      </c>
      <c r="O43" s="893">
        <f>IF(N43&gt;AS43,0,AS43)</f>
        <v>0</v>
      </c>
      <c r="P43" s="894">
        <f t="shared" ref="P43:P45" si="65">IF(O43=0,N43,0)</f>
        <v>4.7656697690091621</v>
      </c>
      <c r="Q43" s="892"/>
      <c r="R43" s="839"/>
      <c r="S43" s="839"/>
      <c r="T43" s="893"/>
      <c r="U43" s="895"/>
      <c r="V43" s="892">
        <f>MAX(AD12:AE12,AO12:AP12)</f>
        <v>0.30005857209900094</v>
      </c>
      <c r="W43" s="839">
        <f t="shared" si="3"/>
        <v>31.214873044373714</v>
      </c>
      <c r="X43" s="893">
        <f t="shared" si="11"/>
        <v>0</v>
      </c>
      <c r="Y43" s="894">
        <f t="shared" si="4"/>
        <v>31.214873044373714</v>
      </c>
      <c r="Z43" s="892">
        <f>MAX(AH12,AS12)</f>
        <v>0.10553571465635769</v>
      </c>
      <c r="AA43" s="839">
        <f t="shared" ref="AA43:AA51" si="66">Z43/$AD43*$AG43</f>
        <v>10.978802943708416</v>
      </c>
      <c r="AB43" s="893">
        <f t="shared" ref="AB43:AB51" si="67">IF(AA43&gt;BE43,0,BE43)</f>
        <v>0</v>
      </c>
      <c r="AC43" s="894">
        <f t="shared" ref="AC43:AC51" si="68">IF(AB43=0,AA43,0)</f>
        <v>10.978802943708416</v>
      </c>
      <c r="AD43" s="912">
        <f t="shared" si="5"/>
        <v>0.66076600782788297</v>
      </c>
      <c r="AE43" s="903">
        <f>SET!I23</f>
        <v>90</v>
      </c>
      <c r="AF43" s="893">
        <f t="shared" si="6"/>
        <v>21.260997137652875</v>
      </c>
      <c r="AG43" s="894">
        <f>AE43-AF43</f>
        <v>68.739002862347121</v>
      </c>
      <c r="AH43" s="891">
        <f t="shared" si="7"/>
        <v>68.739002862347121</v>
      </c>
      <c r="AI43" s="891">
        <f t="shared" si="8"/>
        <v>68.738908833081013</v>
      </c>
      <c r="AJ43" s="920"/>
      <c r="AK43" s="149"/>
      <c r="AL43" s="56"/>
      <c r="AM43" s="56"/>
      <c r="AN43" s="56"/>
      <c r="AO43" s="69">
        <f>SET!$C$12</f>
        <v>14</v>
      </c>
      <c r="AP43" s="70">
        <f t="shared" si="9"/>
        <v>21.779582868656306</v>
      </c>
      <c r="AQ43" s="71">
        <f>SET!$H$12</f>
        <v>3</v>
      </c>
      <c r="AR43" s="72">
        <f>SET!$K$12</f>
        <v>2</v>
      </c>
      <c r="AS43" s="69">
        <f>SET!$E$12</f>
        <v>4</v>
      </c>
      <c r="AT43" s="70">
        <f>P43/$AI43*$AH43+O43</f>
        <v>4.7656762880598498</v>
      </c>
      <c r="AU43" s="71">
        <f>SET!$F$12</f>
        <v>3.0022522522522523</v>
      </c>
      <c r="AV43" s="72">
        <f>SET!$I$12</f>
        <v>2.7339881849062175</v>
      </c>
      <c r="AW43" s="63"/>
      <c r="AX43" s="56"/>
      <c r="AY43" s="56"/>
      <c r="AZ43" s="56"/>
      <c r="BA43" s="69">
        <f>SET!$C$15</f>
        <v>11</v>
      </c>
      <c r="BB43" s="70">
        <f>Y43/$AI43*$AH43+X43</f>
        <v>31.214915743794666</v>
      </c>
      <c r="BC43" s="71">
        <f>SET!$H$15</f>
        <v>3</v>
      </c>
      <c r="BD43" s="72">
        <f>SET!$K$15</f>
        <v>2</v>
      </c>
      <c r="BE43" s="69">
        <f>SET!$E$15</f>
        <v>4</v>
      </c>
      <c r="BF43" s="70">
        <f>AC43/$AI43*$AH43+AB43</f>
        <v>10.978817961822626</v>
      </c>
      <c r="BG43" s="71">
        <f>SET!$F$15</f>
        <v>3.3776276276276271</v>
      </c>
      <c r="BH43" s="72">
        <f>SET!$I$15</f>
        <v>2.1471290728667785</v>
      </c>
      <c r="BI43" s="921">
        <f t="shared" si="10"/>
        <v>-1.0000013674016373E-5</v>
      </c>
    </row>
    <row r="44" spans="1:61" s="44" customFormat="1" x14ac:dyDescent="0.2">
      <c r="A44" s="941" t="s">
        <v>131</v>
      </c>
      <c r="B44" s="45" t="str">
        <f>hr!$A$10</f>
        <v>off</v>
      </c>
      <c r="C44" s="839"/>
      <c r="D44" s="892"/>
      <c r="E44" s="839"/>
      <c r="F44" s="839"/>
      <c r="G44" s="893"/>
      <c r="H44" s="895"/>
      <c r="I44" s="892">
        <f>MAX(H13:I13,S13:T13)</f>
        <v>0.10644158453528439</v>
      </c>
      <c r="J44" s="839">
        <f t="shared" si="33"/>
        <v>28.548022564690928</v>
      </c>
      <c r="K44" s="893">
        <f t="shared" si="38"/>
        <v>0</v>
      </c>
      <c r="L44" s="894">
        <f t="shared" si="2"/>
        <v>28.548022564690928</v>
      </c>
      <c r="M44" s="892">
        <f>MAX(L13,W13)</f>
        <v>0</v>
      </c>
      <c r="N44" s="839">
        <f>M44/$AD44*$AG44</f>
        <v>0</v>
      </c>
      <c r="O44" s="893">
        <f>IF(N44&gt;AS44,0,AS44)</f>
        <v>4</v>
      </c>
      <c r="P44" s="894">
        <f t="shared" si="65"/>
        <v>0</v>
      </c>
      <c r="Q44" s="892"/>
      <c r="R44" s="839"/>
      <c r="S44" s="839"/>
      <c r="T44" s="893"/>
      <c r="U44" s="895"/>
      <c r="V44" s="892">
        <f>MAX(AD13:AE13,AO13:AP13)</f>
        <v>0.1125663686951168</v>
      </c>
      <c r="W44" s="839">
        <f t="shared" si="3"/>
        <v>30.190712093996041</v>
      </c>
      <c r="X44" s="893">
        <f t="shared" si="11"/>
        <v>0</v>
      </c>
      <c r="Y44" s="894">
        <f t="shared" si="4"/>
        <v>30.190712093996041</v>
      </c>
      <c r="Z44" s="892">
        <f>MAX(AH13,AS13)</f>
        <v>0</v>
      </c>
      <c r="AA44" s="839">
        <f t="shared" si="66"/>
        <v>0</v>
      </c>
      <c r="AB44" s="893">
        <f t="shared" si="67"/>
        <v>4</v>
      </c>
      <c r="AC44" s="894">
        <f t="shared" si="68"/>
        <v>0</v>
      </c>
      <c r="AD44" s="912">
        <f t="shared" si="5"/>
        <v>0.21900895323040118</v>
      </c>
      <c r="AE44" s="904">
        <f>SET!I24</f>
        <v>80</v>
      </c>
      <c r="AF44" s="893">
        <f t="shared" si="6"/>
        <v>21.260997137652875</v>
      </c>
      <c r="AG44" s="894">
        <f t="shared" si="12"/>
        <v>58.739002862347121</v>
      </c>
      <c r="AH44" s="891">
        <f t="shared" si="7"/>
        <v>50.739002862347121</v>
      </c>
      <c r="AI44" s="891">
        <f t="shared" si="8"/>
        <v>58.738744658686969</v>
      </c>
      <c r="AJ44" s="920"/>
      <c r="AK44" s="149"/>
      <c r="AL44" s="56"/>
      <c r="AM44" s="56"/>
      <c r="AN44" s="56"/>
      <c r="AO44" s="73">
        <f>SET!$C$12</f>
        <v>14</v>
      </c>
      <c r="AP44" s="501">
        <f t="shared" si="9"/>
        <v>24.660012859331385</v>
      </c>
      <c r="AQ44" s="74">
        <f>SET!$H$12</f>
        <v>3</v>
      </c>
      <c r="AR44" s="75">
        <f>SET!$K$12</f>
        <v>2</v>
      </c>
      <c r="AS44" s="73">
        <f>SET!$E$12</f>
        <v>4</v>
      </c>
      <c r="AT44" s="501">
        <f>P44/$AI44*$AH44+O44</f>
        <v>4</v>
      </c>
      <c r="AU44" s="74">
        <f>SET!$F$12</f>
        <v>3.0022522522522523</v>
      </c>
      <c r="AV44" s="75">
        <f>SET!$I$12</f>
        <v>2.7339881849062175</v>
      </c>
      <c r="AW44" s="63"/>
      <c r="AX44" s="56"/>
      <c r="AY44" s="56"/>
      <c r="AZ44" s="56"/>
      <c r="BA44" s="73">
        <f>SET!$C$15</f>
        <v>11</v>
      </c>
      <c r="BB44" s="501">
        <f t="shared" ref="BB44:BB45" si="69">Y44/$AI44*$AH44+X44</f>
        <v>26.078981364934833</v>
      </c>
      <c r="BC44" s="74">
        <f>SET!$H$15</f>
        <v>3</v>
      </c>
      <c r="BD44" s="75">
        <f>SET!$K$15</f>
        <v>2</v>
      </c>
      <c r="BE44" s="73">
        <f>SET!$E$15</f>
        <v>4</v>
      </c>
      <c r="BF44" s="501">
        <f t="shared" ref="BF44:BF45" si="70">AC44/$AI44*$AH44+AB44</f>
        <v>4</v>
      </c>
      <c r="BG44" s="74">
        <f>SET!$F$15</f>
        <v>3.3776276276276271</v>
      </c>
      <c r="BH44" s="75">
        <f>SET!$I$15</f>
        <v>2.1471290728667785</v>
      </c>
      <c r="BI44" s="922">
        <f t="shared" si="10"/>
        <v>-8.6380809136699099E-6</v>
      </c>
    </row>
    <row r="45" spans="1:61" s="44" customFormat="1" x14ac:dyDescent="0.2">
      <c r="A45" s="942" t="s">
        <v>131</v>
      </c>
      <c r="B45" s="510" t="str">
        <f>hr!$A$11</f>
        <v>PM</v>
      </c>
      <c r="C45" s="839"/>
      <c r="D45" s="898"/>
      <c r="E45" s="897"/>
      <c r="F45" s="897"/>
      <c r="G45" s="899"/>
      <c r="H45" s="901"/>
      <c r="I45" s="898">
        <f>MAX(H14:I14,S14:T14)</f>
        <v>0.1712762591018645</v>
      </c>
      <c r="J45" s="897">
        <f t="shared" si="33"/>
        <v>17.789961313969105</v>
      </c>
      <c r="K45" s="899">
        <f t="shared" si="38"/>
        <v>0</v>
      </c>
      <c r="L45" s="900">
        <f t="shared" si="2"/>
        <v>17.789961313969105</v>
      </c>
      <c r="M45" s="898">
        <f>MAX(L14,W14)</f>
        <v>9.2712098536624113E-2</v>
      </c>
      <c r="N45" s="897">
        <f>M45/$AD45*$AG45</f>
        <v>9.6297330111729433</v>
      </c>
      <c r="O45" s="899">
        <f>IF(N45&gt;AS45,0,AS45)</f>
        <v>0</v>
      </c>
      <c r="P45" s="900">
        <f t="shared" si="65"/>
        <v>9.6297330111729433</v>
      </c>
      <c r="Q45" s="898"/>
      <c r="R45" s="897"/>
      <c r="S45" s="897"/>
      <c r="T45" s="899"/>
      <c r="U45" s="901"/>
      <c r="V45" s="898">
        <f>MAX(AD14:AE14,AO14:AP14)</f>
        <v>0.31233766716400257</v>
      </c>
      <c r="W45" s="897">
        <f t="shared" si="3"/>
        <v>32.441594911518457</v>
      </c>
      <c r="X45" s="899">
        <f t="shared" si="11"/>
        <v>0</v>
      </c>
      <c r="Y45" s="900">
        <f t="shared" si="4"/>
        <v>32.441594911518457</v>
      </c>
      <c r="Z45" s="898">
        <f>MAX(AH14,AS14)</f>
        <v>8.547088790069407E-2</v>
      </c>
      <c r="AA45" s="897">
        <f t="shared" si="66"/>
        <v>8.8776097586275782</v>
      </c>
      <c r="AB45" s="899">
        <f t="shared" si="67"/>
        <v>0</v>
      </c>
      <c r="AC45" s="900">
        <f t="shared" si="68"/>
        <v>8.8776097586275782</v>
      </c>
      <c r="AD45" s="913">
        <f t="shared" si="5"/>
        <v>0.66179791270318533</v>
      </c>
      <c r="AE45" s="905">
        <f>SET!I25</f>
        <v>90</v>
      </c>
      <c r="AF45" s="899">
        <f t="shared" si="6"/>
        <v>21.260997137652875</v>
      </c>
      <c r="AG45" s="900">
        <f t="shared" si="12"/>
        <v>68.739002862347121</v>
      </c>
      <c r="AH45" s="891">
        <f t="shared" si="7"/>
        <v>68.739002862347121</v>
      </c>
      <c r="AI45" s="891">
        <f t="shared" si="8"/>
        <v>68.738908995288085</v>
      </c>
      <c r="AJ45" s="920"/>
      <c r="AK45" s="150"/>
      <c r="AL45" s="60"/>
      <c r="AM45" s="60"/>
      <c r="AN45" s="60"/>
      <c r="AO45" s="76">
        <f>SET!$C$12</f>
        <v>14</v>
      </c>
      <c r="AP45" s="502">
        <f t="shared" si="9"/>
        <v>17.789985607216895</v>
      </c>
      <c r="AQ45" s="77">
        <f>SET!$H$12</f>
        <v>3</v>
      </c>
      <c r="AR45" s="78">
        <f>SET!$K$12</f>
        <v>2</v>
      </c>
      <c r="AS45" s="76">
        <f>SET!$E$12</f>
        <v>4</v>
      </c>
      <c r="AT45" s="502">
        <f>P45/$AI45*$AH45+O45</f>
        <v>9.6297461611447766</v>
      </c>
      <c r="AU45" s="77">
        <f>SET!$F$12</f>
        <v>3.0022522522522523</v>
      </c>
      <c r="AV45" s="78">
        <f>SET!$I$12</f>
        <v>2.7339881849062175</v>
      </c>
      <c r="AW45" s="64"/>
      <c r="AX45" s="60"/>
      <c r="AY45" s="60"/>
      <c r="AZ45" s="60"/>
      <c r="BA45" s="76">
        <f>SET!$C$15</f>
        <v>11</v>
      </c>
      <c r="BB45" s="502">
        <f t="shared" si="69"/>
        <v>32.441639212441316</v>
      </c>
      <c r="BC45" s="77">
        <f>SET!$H$15</f>
        <v>3</v>
      </c>
      <c r="BD45" s="78">
        <f>SET!$K$15</f>
        <v>2</v>
      </c>
      <c r="BE45" s="76">
        <f>SET!$E$15</f>
        <v>4</v>
      </c>
      <c r="BF45" s="502">
        <f t="shared" si="70"/>
        <v>8.8776218815304802</v>
      </c>
      <c r="BG45" s="77">
        <f>SET!$F$15</f>
        <v>3.3776276276276271</v>
      </c>
      <c r="BH45" s="78">
        <f>SET!$I$15</f>
        <v>2.1471290728667785</v>
      </c>
      <c r="BI45" s="923">
        <f t="shared" si="10"/>
        <v>-1.0000013645594663E-5</v>
      </c>
    </row>
    <row r="46" spans="1:61" s="44" customFormat="1" x14ac:dyDescent="0.2">
      <c r="A46" s="941" t="s">
        <v>132</v>
      </c>
      <c r="B46" s="45" t="str">
        <f>hr!$A$9</f>
        <v>AM</v>
      </c>
      <c r="C46" s="839">
        <f>MAX(H12:J12)+V12</f>
        <v>0.18165232980340021</v>
      </c>
      <c r="D46" s="892">
        <f>K8/C46*E46</f>
        <v>0</v>
      </c>
      <c r="E46" s="839">
        <f>MAX($C46,$H12:$I12)</f>
        <v>0.18165232980340021</v>
      </c>
      <c r="F46" s="839">
        <f>D46/$AD46*$AG46</f>
        <v>0</v>
      </c>
      <c r="G46" s="893">
        <f t="shared" ref="G46:G51" si="71">IF(F46&gt;AK46,0,AK46)</f>
        <v>7</v>
      </c>
      <c r="H46" s="894">
        <f t="shared" ref="H46:H51" si="72">IF(G46=0,F46,0)</f>
        <v>0</v>
      </c>
      <c r="I46" s="892">
        <f>MAX(S12:U12)/C46*E46</f>
        <v>1.1034654513214104</v>
      </c>
      <c r="J46" s="839">
        <f t="shared" si="33"/>
        <v>50.458306775329561</v>
      </c>
      <c r="K46" s="893">
        <f t="shared" si="38"/>
        <v>0</v>
      </c>
      <c r="L46" s="894">
        <f t="shared" si="2"/>
        <v>50.458306775329561</v>
      </c>
      <c r="M46" s="892"/>
      <c r="N46" s="839"/>
      <c r="O46" s="893"/>
      <c r="P46" s="895"/>
      <c r="Q46" s="892"/>
      <c r="R46" s="839"/>
      <c r="S46" s="839"/>
      <c r="T46" s="893"/>
      <c r="U46" s="895"/>
      <c r="V46" s="892">
        <f>MAX(AD12:AE12,AO12:AP12)</f>
        <v>0.30005857209900094</v>
      </c>
      <c r="W46" s="839">
        <f t="shared" si="3"/>
        <v>13.720816962060663</v>
      </c>
      <c r="X46" s="893">
        <f t="shared" si="11"/>
        <v>0</v>
      </c>
      <c r="Y46" s="894">
        <f t="shared" si="4"/>
        <v>13.720816962060663</v>
      </c>
      <c r="Z46" s="892">
        <f>MAX(AH12,AS12)</f>
        <v>0.10553571465635769</v>
      </c>
      <c r="AA46" s="839">
        <f t="shared" si="66"/>
        <v>4.8258452129219078</v>
      </c>
      <c r="AB46" s="893">
        <f t="shared" si="67"/>
        <v>0</v>
      </c>
      <c r="AC46" s="894">
        <f t="shared" si="68"/>
        <v>4.8258452129219078</v>
      </c>
      <c r="AD46" s="912">
        <f t="shared" si="5"/>
        <v>1.5090607380767691</v>
      </c>
      <c r="AE46" s="903">
        <f>$AE$43</f>
        <v>90</v>
      </c>
      <c r="AF46" s="893">
        <f t="shared" si="6"/>
        <v>20.994985322559096</v>
      </c>
      <c r="AG46" s="894">
        <f t="shared" si="12"/>
        <v>69.005014677440897</v>
      </c>
      <c r="AH46" s="891">
        <f t="shared" si="7"/>
        <v>62.005014677440897</v>
      </c>
      <c r="AI46" s="891">
        <f t="shared" si="8"/>
        <v>69.004978950312136</v>
      </c>
      <c r="AJ46" s="920"/>
      <c r="AK46" s="69">
        <f>SET!$D$10</f>
        <v>7</v>
      </c>
      <c r="AL46" s="70">
        <f t="shared" ref="AL46:AL51" si="73">H46/$AI46*$AH46+G46</f>
        <v>7</v>
      </c>
      <c r="AM46" s="71">
        <f>SET!$G$10</f>
        <v>3</v>
      </c>
      <c r="AN46" s="72">
        <f>SET!$J$10</f>
        <v>1.7339881849062175</v>
      </c>
      <c r="AO46" s="69">
        <f>SET!$C$12</f>
        <v>14</v>
      </c>
      <c r="AP46" s="70">
        <f t="shared" si="9"/>
        <v>45.339743592356719</v>
      </c>
      <c r="AQ46" s="71">
        <f>SET!$F$12</f>
        <v>3.0022522522522523</v>
      </c>
      <c r="AR46" s="72">
        <f>SET!$I$12</f>
        <v>2.7339881849062175</v>
      </c>
      <c r="AS46" s="63"/>
      <c r="AT46" s="56"/>
      <c r="AU46" s="56"/>
      <c r="AV46" s="56"/>
      <c r="AW46" s="63"/>
      <c r="AX46" s="56"/>
      <c r="AY46" s="56"/>
      <c r="AZ46" s="56"/>
      <c r="BA46" s="69">
        <f>SET!$C$15</f>
        <v>11</v>
      </c>
      <c r="BB46" s="70">
        <f>Y46/$AI46*$AH46+X46</f>
        <v>12.328957563071659</v>
      </c>
      <c r="BC46" s="71">
        <f>SET!$H$15</f>
        <v>3</v>
      </c>
      <c r="BD46" s="72">
        <f>SET!$K$15</f>
        <v>2</v>
      </c>
      <c r="BE46" s="69">
        <f>SET!$E$15</f>
        <v>4</v>
      </c>
      <c r="BF46" s="70">
        <f>AC46/$AI46*$AH46+AB46</f>
        <v>4.3363045364268933</v>
      </c>
      <c r="BG46" s="71">
        <f>SET!$F$15</f>
        <v>3.3776276276276271</v>
      </c>
      <c r="BH46" s="72">
        <f>SET!$I$15</f>
        <v>2.1471290728667785</v>
      </c>
      <c r="BI46" s="921">
        <f t="shared" si="10"/>
        <v>-8.9855856373333154E-6</v>
      </c>
    </row>
    <row r="47" spans="1:61" s="44" customFormat="1" x14ac:dyDescent="0.2">
      <c r="A47" s="941" t="s">
        <v>132</v>
      </c>
      <c r="B47" s="45" t="str">
        <f>hr!$A$10</f>
        <v>off</v>
      </c>
      <c r="C47" s="839">
        <f>MAX(H13:J13)+V13</f>
        <v>7.8507689709586451E-2</v>
      </c>
      <c r="D47" s="892">
        <f t="shared" ref="D47:D48" si="74">K9/C47*E47</f>
        <v>0</v>
      </c>
      <c r="E47" s="839">
        <f>MAX($C47,$H13:$I13)</f>
        <v>7.8507689709586451E-2</v>
      </c>
      <c r="F47" s="839">
        <f>D47/$AD47*$AG47</f>
        <v>0</v>
      </c>
      <c r="G47" s="893">
        <f t="shared" si="71"/>
        <v>7</v>
      </c>
      <c r="H47" s="894">
        <f t="shared" si="72"/>
        <v>0</v>
      </c>
      <c r="I47" s="892">
        <f t="shared" ref="I47:I48" si="75">MAX(S13:U13)/C47*E47</f>
        <v>0.10644158453528439</v>
      </c>
      <c r="J47" s="839">
        <f t="shared" si="33"/>
        <v>28.677308234002822</v>
      </c>
      <c r="K47" s="893">
        <f t="shared" si="38"/>
        <v>0</v>
      </c>
      <c r="L47" s="894">
        <f t="shared" si="2"/>
        <v>28.677308234002822</v>
      </c>
      <c r="M47" s="892"/>
      <c r="N47" s="839"/>
      <c r="O47" s="893"/>
      <c r="P47" s="895"/>
      <c r="Q47" s="892"/>
      <c r="R47" s="839"/>
      <c r="S47" s="839"/>
      <c r="T47" s="893"/>
      <c r="U47" s="895"/>
      <c r="V47" s="892">
        <f>MAX(AD13:AE13,AO13:AP13)</f>
        <v>0.1125663686951168</v>
      </c>
      <c r="W47" s="839">
        <f t="shared" si="3"/>
        <v>30.327437025161768</v>
      </c>
      <c r="X47" s="893">
        <f t="shared" si="11"/>
        <v>0</v>
      </c>
      <c r="Y47" s="894">
        <f t="shared" si="4"/>
        <v>30.327437025161768</v>
      </c>
      <c r="Z47" s="892">
        <f>MAX(AH13,AS13)</f>
        <v>0</v>
      </c>
      <c r="AA47" s="839">
        <f t="shared" si="66"/>
        <v>0</v>
      </c>
      <c r="AB47" s="893">
        <f t="shared" si="67"/>
        <v>4</v>
      </c>
      <c r="AC47" s="894">
        <f t="shared" si="68"/>
        <v>0</v>
      </c>
      <c r="AD47" s="912">
        <f t="shared" si="5"/>
        <v>0.21900895323040118</v>
      </c>
      <c r="AE47" s="904">
        <f>$AE$44</f>
        <v>80</v>
      </c>
      <c r="AF47" s="893">
        <f t="shared" si="6"/>
        <v>20.994985322559096</v>
      </c>
      <c r="AG47" s="894">
        <f t="shared" si="12"/>
        <v>59.005014677440904</v>
      </c>
      <c r="AH47" s="891">
        <f t="shared" si="7"/>
        <v>48.005014677440904</v>
      </c>
      <c r="AI47" s="891">
        <f t="shared" si="8"/>
        <v>59.004755259164597</v>
      </c>
      <c r="AJ47" s="920"/>
      <c r="AK47" s="73">
        <f>SET!$D$10</f>
        <v>7</v>
      </c>
      <c r="AL47" s="501">
        <f t="shared" si="73"/>
        <v>7</v>
      </c>
      <c r="AM47" s="74">
        <f>SET!$G$10</f>
        <v>3</v>
      </c>
      <c r="AN47" s="75">
        <f>SET!$J$10</f>
        <v>1.7339881849062175</v>
      </c>
      <c r="AO47" s="73">
        <f>SET!$C$12</f>
        <v>14</v>
      </c>
      <c r="AP47" s="501">
        <f t="shared" si="9"/>
        <v>23.331248416100852</v>
      </c>
      <c r="AQ47" s="74">
        <f>SET!$F$12</f>
        <v>3.0022522522522523</v>
      </c>
      <c r="AR47" s="75">
        <f>SET!$I$12</f>
        <v>2.7339881849062175</v>
      </c>
      <c r="AS47" s="63"/>
      <c r="AT47" s="56"/>
      <c r="AU47" s="56"/>
      <c r="AV47" s="56"/>
      <c r="AW47" s="63"/>
      <c r="AX47" s="56"/>
      <c r="AY47" s="56"/>
      <c r="AZ47" s="56"/>
      <c r="BA47" s="73">
        <f>SET!$C$15</f>
        <v>11</v>
      </c>
      <c r="BB47" s="501">
        <f t="shared" ref="BB47:BB48" si="76">Y47/$AI47*$AH47+X47</f>
        <v>24.673758125552609</v>
      </c>
      <c r="BC47" s="74">
        <f>SET!$H$15</f>
        <v>3</v>
      </c>
      <c r="BD47" s="75">
        <f>SET!$K$15</f>
        <v>2</v>
      </c>
      <c r="BE47" s="73">
        <f>SET!$E$15</f>
        <v>4</v>
      </c>
      <c r="BF47" s="501">
        <f t="shared" ref="BF47:BF48" si="77">AC47/$AI47*$AH47+AB47</f>
        <v>4</v>
      </c>
      <c r="BG47" s="74">
        <f>SET!$F$15</f>
        <v>3.3776276276276271</v>
      </c>
      <c r="BH47" s="75">
        <f>SET!$I$15</f>
        <v>2.1471290728667785</v>
      </c>
      <c r="BI47" s="922">
        <f t="shared" si="10"/>
        <v>-8.1357874393006568E-6</v>
      </c>
    </row>
    <row r="48" spans="1:61" s="44" customFormat="1" x14ac:dyDescent="0.2">
      <c r="A48" s="942" t="s">
        <v>132</v>
      </c>
      <c r="B48" s="510" t="str">
        <f>hr!$A$11</f>
        <v>PM</v>
      </c>
      <c r="C48" s="839">
        <f t="shared" ref="C48" si="78">MAX(H14:J14)+V14</f>
        <v>0.26668510344750729</v>
      </c>
      <c r="D48" s="892">
        <f t="shared" si="74"/>
        <v>0</v>
      </c>
      <c r="E48" s="839">
        <f t="shared" ref="E48" si="79">MAX($C48,$H14:$I14)</f>
        <v>0.26668510344750729</v>
      </c>
      <c r="F48" s="897">
        <f>D48/$AD48*$AG48</f>
        <v>0</v>
      </c>
      <c r="G48" s="899">
        <f t="shared" si="71"/>
        <v>7</v>
      </c>
      <c r="H48" s="900">
        <f t="shared" si="72"/>
        <v>0</v>
      </c>
      <c r="I48" s="892">
        <f t="shared" si="75"/>
        <v>4.4642507569986964</v>
      </c>
      <c r="J48" s="897">
        <f t="shared" si="33"/>
        <v>63.359084264369599</v>
      </c>
      <c r="K48" s="899">
        <f t="shared" si="38"/>
        <v>0</v>
      </c>
      <c r="L48" s="900">
        <f t="shared" si="2"/>
        <v>63.359084264369599</v>
      </c>
      <c r="M48" s="898"/>
      <c r="N48" s="897"/>
      <c r="O48" s="899"/>
      <c r="P48" s="901"/>
      <c r="Q48" s="898"/>
      <c r="R48" s="897"/>
      <c r="S48" s="897"/>
      <c r="T48" s="899"/>
      <c r="U48" s="901"/>
      <c r="V48" s="898">
        <f>MAX(AD14:AE14,AO14:AP14)</f>
        <v>0.31233766716400257</v>
      </c>
      <c r="W48" s="897">
        <f t="shared" si="3"/>
        <v>4.4328667115655129</v>
      </c>
      <c r="X48" s="899">
        <f t="shared" si="11"/>
        <v>11</v>
      </c>
      <c r="Y48" s="900">
        <f t="shared" si="4"/>
        <v>1.0000000000000001E-5</v>
      </c>
      <c r="Z48" s="898">
        <f>MAX(AH14,AS14)</f>
        <v>8.547088790069407E-2</v>
      </c>
      <c r="AA48" s="897">
        <f t="shared" si="66"/>
        <v>1.2130495089597728</v>
      </c>
      <c r="AB48" s="899">
        <f t="shared" si="67"/>
        <v>4</v>
      </c>
      <c r="AC48" s="900">
        <f t="shared" si="68"/>
        <v>0</v>
      </c>
      <c r="AD48" s="913">
        <f t="shared" si="5"/>
        <v>4.8620603120633934</v>
      </c>
      <c r="AE48" s="905">
        <f>$AE$45</f>
        <v>90</v>
      </c>
      <c r="AF48" s="899">
        <f t="shared" si="6"/>
        <v>20.994985322559096</v>
      </c>
      <c r="AG48" s="900">
        <f t="shared" si="12"/>
        <v>69.005014677440897</v>
      </c>
      <c r="AH48" s="891">
        <f t="shared" si="7"/>
        <v>47.005014677440897</v>
      </c>
      <c r="AI48" s="891">
        <f t="shared" si="8"/>
        <v>63.359104264369606</v>
      </c>
      <c r="AJ48" s="920"/>
      <c r="AK48" s="76">
        <f>SET!$D$10</f>
        <v>7</v>
      </c>
      <c r="AL48" s="502">
        <f t="shared" si="73"/>
        <v>7</v>
      </c>
      <c r="AM48" s="77">
        <f>SET!$G$10</f>
        <v>3</v>
      </c>
      <c r="AN48" s="78">
        <f>SET!$J$10</f>
        <v>1.7339881849062175</v>
      </c>
      <c r="AO48" s="76">
        <f>SET!$C$12</f>
        <v>14</v>
      </c>
      <c r="AP48" s="502">
        <f t="shared" si="9"/>
        <v>47.004999839789626</v>
      </c>
      <c r="AQ48" s="77">
        <f>SET!$F$12</f>
        <v>3.0022522522522523</v>
      </c>
      <c r="AR48" s="78">
        <f>SET!$I$12</f>
        <v>2.7339881849062175</v>
      </c>
      <c r="AS48" s="64"/>
      <c r="AT48" s="60"/>
      <c r="AU48" s="60"/>
      <c r="AV48" s="60"/>
      <c r="AW48" s="64"/>
      <c r="AX48" s="60"/>
      <c r="AY48" s="60"/>
      <c r="AZ48" s="60"/>
      <c r="BA48" s="76">
        <f>SET!$C$15</f>
        <v>11</v>
      </c>
      <c r="BB48" s="502">
        <f t="shared" si="76"/>
        <v>11.000007418825632</v>
      </c>
      <c r="BC48" s="77">
        <f>SET!$H$15</f>
        <v>3</v>
      </c>
      <c r="BD48" s="78">
        <f>SET!$K$15</f>
        <v>2</v>
      </c>
      <c r="BE48" s="76">
        <f>SET!$E$15</f>
        <v>4</v>
      </c>
      <c r="BF48" s="502">
        <f t="shared" si="77"/>
        <v>4</v>
      </c>
      <c r="BG48" s="77">
        <f>SET!$F$15</f>
        <v>3.3776276276276271</v>
      </c>
      <c r="BH48" s="78">
        <f>SET!$I$15</f>
        <v>2.1471290728667785</v>
      </c>
      <c r="BI48" s="923">
        <f t="shared" si="10"/>
        <v>-7.4188256462548452E-6</v>
      </c>
    </row>
    <row r="49" spans="1:61" s="44" customFormat="1" x14ac:dyDescent="0.2">
      <c r="A49" s="941" t="s">
        <v>133</v>
      </c>
      <c r="B49" s="45" t="str">
        <f>hr!$A$9</f>
        <v>AM</v>
      </c>
      <c r="C49" s="839">
        <f>MAX(AO12:AQ12)+AG12</f>
        <v>4.9321570635281384</v>
      </c>
      <c r="D49" s="892">
        <f>V12/C49*E49</f>
        <v>5.8835193623023349E-2</v>
      </c>
      <c r="E49" s="839">
        <f>MAX(C49,S12:T12)</f>
        <v>4.9321570635281384</v>
      </c>
      <c r="F49" s="839">
        <f>D49/$AD49*$AG49</f>
        <v>6.9134778669647865</v>
      </c>
      <c r="G49" s="893">
        <f t="shared" si="71"/>
        <v>7</v>
      </c>
      <c r="H49" s="894">
        <f t="shared" si="72"/>
        <v>0</v>
      </c>
      <c r="I49" s="892">
        <f>MAX(H12:J12)/C49*E49</f>
        <v>0.12281713618037686</v>
      </c>
      <c r="J49" s="839">
        <f t="shared" si="33"/>
        <v>14.431728704888103</v>
      </c>
      <c r="K49" s="893">
        <f t="shared" si="38"/>
        <v>0</v>
      </c>
      <c r="L49" s="894">
        <f t="shared" si="2"/>
        <v>14.431728704888103</v>
      </c>
      <c r="M49" s="892"/>
      <c r="N49" s="839"/>
      <c r="O49" s="893"/>
      <c r="P49" s="895"/>
      <c r="Q49" s="892"/>
      <c r="R49" s="839"/>
      <c r="S49" s="839"/>
      <c r="T49" s="893"/>
      <c r="U49" s="895"/>
      <c r="V49" s="892">
        <f>MAX(AD12:AE12,AO12:AP12)</f>
        <v>0.30005857209900094</v>
      </c>
      <c r="W49" s="839">
        <f t="shared" si="3"/>
        <v>35.258629559225739</v>
      </c>
      <c r="X49" s="893">
        <f t="shared" si="11"/>
        <v>0</v>
      </c>
      <c r="Y49" s="894">
        <f t="shared" si="4"/>
        <v>35.258629559225739</v>
      </c>
      <c r="Z49" s="892">
        <f>MAX(AH12,AS12)</f>
        <v>0.10553571465635769</v>
      </c>
      <c r="AA49" s="839">
        <f t="shared" si="66"/>
        <v>12.401061040538943</v>
      </c>
      <c r="AB49" s="893">
        <f t="shared" si="67"/>
        <v>0</v>
      </c>
      <c r="AC49" s="894">
        <f t="shared" si="68"/>
        <v>12.401061040538943</v>
      </c>
      <c r="AD49" s="912">
        <f t="shared" si="5"/>
        <v>0.5872476165587589</v>
      </c>
      <c r="AE49" s="903">
        <f>$AE$43</f>
        <v>90</v>
      </c>
      <c r="AF49" s="893">
        <f t="shared" si="6"/>
        <v>20.994985322559096</v>
      </c>
      <c r="AG49" s="894">
        <f t="shared" si="12"/>
        <v>69.005014677440897</v>
      </c>
      <c r="AH49" s="891">
        <f t="shared" si="7"/>
        <v>62.005014677440897</v>
      </c>
      <c r="AI49" s="891">
        <f t="shared" si="8"/>
        <v>62.091429304652785</v>
      </c>
      <c r="AJ49" s="920"/>
      <c r="AK49" s="69">
        <f>SET!$D$11</f>
        <v>7</v>
      </c>
      <c r="AL49" s="70">
        <f t="shared" si="73"/>
        <v>7</v>
      </c>
      <c r="AM49" s="71">
        <f>SET!$G$11</f>
        <v>3</v>
      </c>
      <c r="AN49" s="72">
        <f>SET!$J$11</f>
        <v>1.7339881849062175</v>
      </c>
      <c r="AO49" s="69">
        <f>SET!$C$12</f>
        <v>14</v>
      </c>
      <c r="AP49" s="70">
        <f t="shared" si="9"/>
        <v>14.41164360667049</v>
      </c>
      <c r="AQ49" s="71">
        <f>SET!$F$12</f>
        <v>3.0022522522522523</v>
      </c>
      <c r="AR49" s="72">
        <f>SET!$I$12</f>
        <v>2.7339881849062175</v>
      </c>
      <c r="AS49" s="63"/>
      <c r="AT49" s="56"/>
      <c r="AU49" s="56"/>
      <c r="AV49" s="56"/>
      <c r="AW49" s="63"/>
      <c r="AX49" s="56"/>
      <c r="AY49" s="56"/>
      <c r="AZ49" s="56"/>
      <c r="BA49" s="69">
        <f>SET!$C$15</f>
        <v>11</v>
      </c>
      <c r="BB49" s="70">
        <f>Y49/$AI49*$AH49+X49</f>
        <v>35.20955899725795</v>
      </c>
      <c r="BC49" s="71">
        <f>SET!$H$15</f>
        <v>3</v>
      </c>
      <c r="BD49" s="72">
        <f>SET!$K$15</f>
        <v>2</v>
      </c>
      <c r="BE49" s="69">
        <f>SET!$E$15</f>
        <v>4</v>
      </c>
      <c r="BF49" s="70">
        <f>AC49/$AI49*$AH49+AB49</f>
        <v>12.383802087429778</v>
      </c>
      <c r="BG49" s="71">
        <f>SET!$F$15</f>
        <v>3.3776276276276271</v>
      </c>
      <c r="BH49" s="72">
        <f>SET!$I$15</f>
        <v>2.1471290728667785</v>
      </c>
      <c r="BI49" s="921">
        <f t="shared" si="10"/>
        <v>-9.9860826878739317E-6</v>
      </c>
    </row>
    <row r="50" spans="1:61" s="44" customFormat="1" x14ac:dyDescent="0.2">
      <c r="A50" s="941" t="s">
        <v>133</v>
      </c>
      <c r="B50" s="45" t="str">
        <f>hr!$A$10</f>
        <v>off</v>
      </c>
      <c r="C50" s="839">
        <f>MAX(AO13:AQ13)+AG13</f>
        <v>0.10958151082995241</v>
      </c>
      <c r="D50" s="892">
        <f t="shared" ref="D50:D51" si="80">V13/C50*E50</f>
        <v>0</v>
      </c>
      <c r="E50" s="839">
        <f>MAX(C50,S13:T13)</f>
        <v>0.10958151082995241</v>
      </c>
      <c r="F50" s="839">
        <f t="shared" ref="F50" si="81">D50/$AD50*$AG50</f>
        <v>0</v>
      </c>
      <c r="G50" s="893">
        <f t="shared" si="71"/>
        <v>7</v>
      </c>
      <c r="H50" s="894">
        <f t="shared" si="72"/>
        <v>0</v>
      </c>
      <c r="I50" s="892">
        <f t="shared" ref="I50:I51" si="82">MAX(H13:J13)/C50*E50</f>
        <v>7.8507689709586451E-2</v>
      </c>
      <c r="J50" s="839">
        <f t="shared" si="33"/>
        <v>24.24360051113872</v>
      </c>
      <c r="K50" s="893">
        <f t="shared" si="38"/>
        <v>0</v>
      </c>
      <c r="L50" s="894">
        <f t="shared" si="2"/>
        <v>24.24360051113872</v>
      </c>
      <c r="M50" s="892"/>
      <c r="N50" s="839"/>
      <c r="O50" s="893"/>
      <c r="P50" s="895"/>
      <c r="Q50" s="892"/>
      <c r="R50" s="839"/>
      <c r="S50" s="839"/>
      <c r="T50" s="893"/>
      <c r="U50" s="895"/>
      <c r="V50" s="892">
        <f>MAX(AD13:AE13,AO13:AP13)</f>
        <v>0.1125663686951168</v>
      </c>
      <c r="W50" s="839">
        <f t="shared" si="3"/>
        <v>34.761105360876861</v>
      </c>
      <c r="X50" s="893">
        <f t="shared" si="11"/>
        <v>0</v>
      </c>
      <c r="Y50" s="894">
        <f t="shared" si="4"/>
        <v>34.761105360876861</v>
      </c>
      <c r="Z50" s="892">
        <f>MAX(AH13,AS13)</f>
        <v>0</v>
      </c>
      <c r="AA50" s="839">
        <f t="shared" si="66"/>
        <v>0</v>
      </c>
      <c r="AB50" s="893">
        <f t="shared" si="67"/>
        <v>4</v>
      </c>
      <c r="AC50" s="894">
        <f t="shared" si="68"/>
        <v>0</v>
      </c>
      <c r="AD50" s="912">
        <f t="shared" si="5"/>
        <v>0.19107505840470326</v>
      </c>
      <c r="AE50" s="904">
        <f>$AE$44</f>
        <v>80</v>
      </c>
      <c r="AF50" s="893">
        <f t="shared" si="6"/>
        <v>20.994985322559096</v>
      </c>
      <c r="AG50" s="894">
        <f t="shared" si="12"/>
        <v>59.005014677440904</v>
      </c>
      <c r="AH50" s="891">
        <f t="shared" si="7"/>
        <v>48.005014677440904</v>
      </c>
      <c r="AI50" s="891">
        <f t="shared" si="8"/>
        <v>59.004715872015581</v>
      </c>
      <c r="AJ50" s="920"/>
      <c r="AK50" s="73">
        <f>SET!$D$11</f>
        <v>7</v>
      </c>
      <c r="AL50" s="501">
        <f t="shared" si="73"/>
        <v>7</v>
      </c>
      <c r="AM50" s="74">
        <f>SET!$G$11</f>
        <v>3</v>
      </c>
      <c r="AN50" s="75">
        <f>SET!$J$11</f>
        <v>1.7339881849062175</v>
      </c>
      <c r="AO50" s="73">
        <f>SET!$C$12</f>
        <v>14</v>
      </c>
      <c r="AP50" s="501">
        <f t="shared" si="9"/>
        <v>19.724091221718691</v>
      </c>
      <c r="AQ50" s="74">
        <f>SET!$F$12</f>
        <v>3.0022522522522523</v>
      </c>
      <c r="AR50" s="75">
        <f>SET!$I$12</f>
        <v>2.7339881849062175</v>
      </c>
      <c r="AS50" s="63"/>
      <c r="AT50" s="56"/>
      <c r="AU50" s="56"/>
      <c r="AV50" s="56"/>
      <c r="AW50" s="63"/>
      <c r="AX50" s="56"/>
      <c r="AY50" s="56"/>
      <c r="AZ50" s="56"/>
      <c r="BA50" s="73">
        <f>SET!$C$15</f>
        <v>11</v>
      </c>
      <c r="BB50" s="501">
        <f t="shared" ref="BB50:BB51" si="83">Y50/$AI50*$AH50+X50</f>
        <v>28.280915319929342</v>
      </c>
      <c r="BC50" s="74">
        <f>SET!$H$15</f>
        <v>3</v>
      </c>
      <c r="BD50" s="75">
        <f>SET!$K$15</f>
        <v>2</v>
      </c>
      <c r="BE50" s="73">
        <f>SET!$E$15</f>
        <v>4</v>
      </c>
      <c r="BF50" s="501">
        <f t="shared" ref="BF50:BF51" si="84">AC50/$AI50*$AH50+AB50</f>
        <v>4</v>
      </c>
      <c r="BG50" s="74">
        <f>SET!$F$15</f>
        <v>3.3776276276276271</v>
      </c>
      <c r="BH50" s="75">
        <f>SET!$I$15</f>
        <v>2.1471290728667785</v>
      </c>
      <c r="BI50" s="922">
        <f t="shared" si="10"/>
        <v>-8.1357928820580128E-6</v>
      </c>
    </row>
    <row r="51" spans="1:61" s="44" customFormat="1" x14ac:dyDescent="0.2">
      <c r="A51" s="942" t="s">
        <v>133</v>
      </c>
      <c r="B51" s="510" t="str">
        <f>hr!$A$11</f>
        <v>PM</v>
      </c>
      <c r="C51" s="839">
        <f t="shared" ref="C51" si="85">MAX(AO14:AQ14)+AG14</f>
        <v>1.5051782225695733</v>
      </c>
      <c r="D51" s="892">
        <f t="shared" si="80"/>
        <v>9.5408844345642757E-2</v>
      </c>
      <c r="E51" s="839">
        <f t="shared" ref="E51" si="86">MAX(C51,S14:T14)</f>
        <v>1.5051782225695733</v>
      </c>
      <c r="F51" s="897">
        <f>D51/$AD51*$AG51</f>
        <v>9.9078128320392498</v>
      </c>
      <c r="G51" s="899">
        <f t="shared" si="71"/>
        <v>0</v>
      </c>
      <c r="H51" s="900">
        <f t="shared" si="72"/>
        <v>9.9078128320392498</v>
      </c>
      <c r="I51" s="892">
        <f t="shared" si="82"/>
        <v>0.1712762591018645</v>
      </c>
      <c r="J51" s="897">
        <f t="shared" si="33"/>
        <v>17.786329238046491</v>
      </c>
      <c r="K51" s="899">
        <f t="shared" si="38"/>
        <v>0</v>
      </c>
      <c r="L51" s="900">
        <f t="shared" si="2"/>
        <v>17.786329238046491</v>
      </c>
      <c r="M51" s="898"/>
      <c r="N51" s="897"/>
      <c r="O51" s="899"/>
      <c r="P51" s="901"/>
      <c r="Q51" s="898"/>
      <c r="R51" s="897"/>
      <c r="S51" s="897"/>
      <c r="T51" s="899"/>
      <c r="U51" s="901"/>
      <c r="V51" s="898">
        <f>MAX(AD14:AE14,AO14:AP14)</f>
        <v>0.31233766716400257</v>
      </c>
      <c r="W51" s="897">
        <f t="shared" si="3"/>
        <v>32.434971494317608</v>
      </c>
      <c r="X51" s="899">
        <f t="shared" si="11"/>
        <v>0</v>
      </c>
      <c r="Y51" s="900">
        <f t="shared" si="4"/>
        <v>32.434971494317608</v>
      </c>
      <c r="Z51" s="898">
        <f>MAX(AH14,AS14)</f>
        <v>8.547088790069407E-2</v>
      </c>
      <c r="AA51" s="897">
        <f t="shared" si="66"/>
        <v>8.875797267184474</v>
      </c>
      <c r="AB51" s="899">
        <f t="shared" si="67"/>
        <v>0</v>
      </c>
      <c r="AC51" s="900">
        <f t="shared" si="68"/>
        <v>8.875797267184474</v>
      </c>
      <c r="AD51" s="913">
        <f t="shared" si="5"/>
        <v>0.66449465851220391</v>
      </c>
      <c r="AE51" s="905">
        <f>$AE$45</f>
        <v>90</v>
      </c>
      <c r="AF51" s="899">
        <f t="shared" si="6"/>
        <v>20.994985322559096</v>
      </c>
      <c r="AG51" s="900">
        <f t="shared" si="12"/>
        <v>69.005014677440897</v>
      </c>
      <c r="AH51" s="891">
        <f t="shared" si="7"/>
        <v>69.005014677440897</v>
      </c>
      <c r="AI51" s="891">
        <f t="shared" si="8"/>
        <v>69.004920831587825</v>
      </c>
      <c r="AJ51" s="920"/>
      <c r="AK51" s="76">
        <f>SET!$D$11</f>
        <v>7</v>
      </c>
      <c r="AL51" s="502">
        <f t="shared" si="73"/>
        <v>9.9078263065441998</v>
      </c>
      <c r="AM51" s="77">
        <f>SET!$G$11</f>
        <v>3</v>
      </c>
      <c r="AN51" s="78">
        <f>SET!$J$11</f>
        <v>1.7339881849062175</v>
      </c>
      <c r="AO51" s="76">
        <f>SET!$C$12</f>
        <v>14</v>
      </c>
      <c r="AP51" s="502">
        <f t="shared" si="9"/>
        <v>17.786353427237934</v>
      </c>
      <c r="AQ51" s="77">
        <f>SET!$F$12</f>
        <v>3.0022522522522523</v>
      </c>
      <c r="AR51" s="78">
        <f>SET!$I$12</f>
        <v>2.7339881849062175</v>
      </c>
      <c r="AS51" s="64"/>
      <c r="AT51" s="60"/>
      <c r="AU51" s="60"/>
      <c r="AV51" s="60"/>
      <c r="AW51" s="64"/>
      <c r="AX51" s="60"/>
      <c r="AY51" s="60"/>
      <c r="AZ51" s="60"/>
      <c r="BA51" s="76">
        <f>SET!$C$15</f>
        <v>11</v>
      </c>
      <c r="BB51" s="502">
        <f t="shared" si="83"/>
        <v>32.435015605484352</v>
      </c>
      <c r="BC51" s="77">
        <f>SET!$H$15</f>
        <v>3</v>
      </c>
      <c r="BD51" s="78">
        <f>SET!$K$15</f>
        <v>2</v>
      </c>
      <c r="BE51" s="76">
        <f>SET!$E$15</f>
        <v>4</v>
      </c>
      <c r="BF51" s="502">
        <f t="shared" si="84"/>
        <v>8.8758093381608081</v>
      </c>
      <c r="BG51" s="77">
        <f>SET!$F$15</f>
        <v>3.3776276276276271</v>
      </c>
      <c r="BH51" s="78">
        <f>SET!$I$15</f>
        <v>2.1471290728667785</v>
      </c>
      <c r="BI51" s="923">
        <f t="shared" si="10"/>
        <v>-1.0000013602962099E-5</v>
      </c>
    </row>
    <row r="52" spans="1:61" s="44" customFormat="1" x14ac:dyDescent="0.2">
      <c r="A52" s="941" t="s">
        <v>134</v>
      </c>
      <c r="B52" s="45" t="str">
        <f>hr!$A$9</f>
        <v>AM</v>
      </c>
      <c r="C52" s="839">
        <f>MAX(AD12:AF12)+AR12</f>
        <v>0.34375484265363798</v>
      </c>
      <c r="D52" s="892"/>
      <c r="E52" s="839"/>
      <c r="F52" s="893"/>
      <c r="G52" s="893"/>
      <c r="H52" s="894"/>
      <c r="I52" s="892">
        <f>MAX(H12:I12,S12:T12)</f>
        <v>0.2093598646916105</v>
      </c>
      <c r="J52" s="839">
        <f t="shared" si="33"/>
        <v>2.8087182989930466</v>
      </c>
      <c r="K52" s="893">
        <f t="shared" si="38"/>
        <v>14</v>
      </c>
      <c r="L52" s="894">
        <f t="shared" si="2"/>
        <v>1.0000000000000001E-5</v>
      </c>
      <c r="M52" s="892">
        <f>MAX(L12,W12)</f>
        <v>4.5810856380913895E-2</v>
      </c>
      <c r="N52" s="893">
        <f>M52/$AD52*$AG52</f>
        <v>0.61458671077738469</v>
      </c>
      <c r="O52" s="893">
        <f t="shared" ref="O52:O57" si="87">IF(N52&gt;AS52,0,AS52)</f>
        <v>4</v>
      </c>
      <c r="P52" s="894">
        <f t="shared" ref="P52:P57" si="88">IF(O52=0,N52,0)</f>
        <v>0</v>
      </c>
      <c r="Q52" s="892">
        <f>AG12/C52*R52</f>
        <v>0</v>
      </c>
      <c r="R52" s="839">
        <f>MAX(C52,AD12:AE12)</f>
        <v>0.34375484265363798</v>
      </c>
      <c r="S52" s="839">
        <f>Q52/$AD52*$AG52</f>
        <v>0</v>
      </c>
      <c r="T52" s="893">
        <f t="shared" ref="T52:T69" si="89">IF(S52&gt;AW52,0,AW52)</f>
        <v>7</v>
      </c>
      <c r="U52" s="894">
        <f t="shared" ref="U52:U69" si="90">IF(T52=0,S52,0)</f>
        <v>0</v>
      </c>
      <c r="V52" s="892">
        <f>MAX(AO12:AQ12)/C52*R52</f>
        <v>4.9321570635281384</v>
      </c>
      <c r="W52" s="839">
        <f>V52/$AD52*$AG52</f>
        <v>66.168555363966149</v>
      </c>
      <c r="X52" s="893">
        <f t="shared" si="11"/>
        <v>0</v>
      </c>
      <c r="Y52" s="894">
        <f t="shared" si="4"/>
        <v>66.168555363966149</v>
      </c>
      <c r="Z52" s="892"/>
      <c r="AA52" s="893"/>
      <c r="AB52" s="893"/>
      <c r="AC52" s="894"/>
      <c r="AD52" s="912">
        <f t="shared" si="5"/>
        <v>5.1873287846006626</v>
      </c>
      <c r="AE52" s="903">
        <f>$AE$43</f>
        <v>90</v>
      </c>
      <c r="AF52" s="893">
        <f t="shared" si="6"/>
        <v>20.408126210519654</v>
      </c>
      <c r="AG52" s="894">
        <f t="shared" si="12"/>
        <v>69.591873789480346</v>
      </c>
      <c r="AH52" s="891">
        <f t="shared" si="7"/>
        <v>44.591873789480346</v>
      </c>
      <c r="AI52" s="891">
        <f t="shared" si="8"/>
        <v>66.168575363966156</v>
      </c>
      <c r="AJ52" s="920"/>
      <c r="AK52" s="149"/>
      <c r="AL52" s="56"/>
      <c r="AM52" s="56"/>
      <c r="AN52" s="56"/>
      <c r="AO52" s="69">
        <f>SET!$C$12</f>
        <v>14</v>
      </c>
      <c r="AP52" s="70">
        <f t="shared" si="9"/>
        <v>14.000006739131612</v>
      </c>
      <c r="AQ52" s="71">
        <f>SET!$H$12</f>
        <v>3</v>
      </c>
      <c r="AR52" s="72">
        <f>SET!$K$12</f>
        <v>2</v>
      </c>
      <c r="AS52" s="69">
        <f>SET!$E$12</f>
        <v>4</v>
      </c>
      <c r="AT52" s="70">
        <f t="shared" ref="AT52:AT57" si="91">P52/$AI52*$AH52+O52</f>
        <v>4</v>
      </c>
      <c r="AU52" s="71">
        <f>SET!$F$12</f>
        <v>3.0022522522522523</v>
      </c>
      <c r="AV52" s="72">
        <f>SET!$I$12</f>
        <v>2.7339881849062175</v>
      </c>
      <c r="AW52" s="69">
        <f>SET!$D$13</f>
        <v>7</v>
      </c>
      <c r="AX52" s="70">
        <f>U52/$AI52*$AH52+T52</f>
        <v>7</v>
      </c>
      <c r="AY52" s="71">
        <f>SET!$G$13</f>
        <v>3</v>
      </c>
      <c r="AZ52" s="72">
        <f>SET!$J$13</f>
        <v>1.1471290728667785</v>
      </c>
      <c r="BA52" s="69">
        <f>SET!$C$15</f>
        <v>11</v>
      </c>
      <c r="BB52" s="70">
        <f>Y52/$AI52*$AH52+X52</f>
        <v>44.591860311217118</v>
      </c>
      <c r="BC52" s="71">
        <f>SET!$F$15</f>
        <v>3.3776276276276271</v>
      </c>
      <c r="BD52" s="72">
        <f>SET!$I$15</f>
        <v>2.1471290728667785</v>
      </c>
      <c r="BE52" s="63"/>
      <c r="BF52" s="56"/>
      <c r="BG52" s="56"/>
      <c r="BH52" s="57"/>
      <c r="BI52" s="921">
        <f t="shared" si="10"/>
        <v>-6.7391316065368301E-6</v>
      </c>
    </row>
    <row r="53" spans="1:61" s="44" customFormat="1" x14ac:dyDescent="0.2">
      <c r="A53" s="941" t="s">
        <v>134</v>
      </c>
      <c r="B53" s="45" t="str">
        <f>hr!$A$10</f>
        <v>off</v>
      </c>
      <c r="C53" s="839">
        <f>MAX(AD13:AF13)+AR13</f>
        <v>0.1125663686951168</v>
      </c>
      <c r="D53" s="892"/>
      <c r="E53" s="839"/>
      <c r="F53" s="893"/>
      <c r="G53" s="893"/>
      <c r="H53" s="894"/>
      <c r="I53" s="892">
        <f>MAX(H13:I13,S13:T13)</f>
        <v>0.10644158453528439</v>
      </c>
      <c r="J53" s="839">
        <f t="shared" si="33"/>
        <v>29.362712806896045</v>
      </c>
      <c r="K53" s="893">
        <f t="shared" si="38"/>
        <v>0</v>
      </c>
      <c r="L53" s="894">
        <f t="shared" si="2"/>
        <v>29.362712806896045</v>
      </c>
      <c r="M53" s="892">
        <f>MAX(L13,W13)</f>
        <v>0</v>
      </c>
      <c r="N53" s="893">
        <f t="shared" ref="N53:N57" si="92">M53/$AD53*$AG53</f>
        <v>0</v>
      </c>
      <c r="O53" s="893">
        <f t="shared" si="87"/>
        <v>4</v>
      </c>
      <c r="P53" s="894">
        <f t="shared" si="88"/>
        <v>0</v>
      </c>
      <c r="Q53" s="892">
        <f t="shared" ref="Q53:Q54" si="93">AG13/C53*R53</f>
        <v>0</v>
      </c>
      <c r="R53" s="839">
        <f t="shared" ref="R53:R54" si="94">MAX(C53,AD13:AE13)</f>
        <v>0.1125663686951168</v>
      </c>
      <c r="S53" s="839">
        <f t="shared" ref="S53:S54" si="95">Q53/$AD53*$AG53</f>
        <v>0</v>
      </c>
      <c r="T53" s="893">
        <f t="shared" si="89"/>
        <v>7</v>
      </c>
      <c r="U53" s="894">
        <f t="shared" si="90"/>
        <v>0</v>
      </c>
      <c r="V53" s="892">
        <f t="shared" ref="V53:V54" si="96">MAX(AO13:AQ13)/C53*R53</f>
        <v>0.10958151082995241</v>
      </c>
      <c r="W53" s="839">
        <f t="shared" si="3"/>
        <v>30.228885125052354</v>
      </c>
      <c r="X53" s="893">
        <f t="shared" si="11"/>
        <v>0</v>
      </c>
      <c r="Y53" s="894">
        <f t="shared" si="4"/>
        <v>30.228885125052354</v>
      </c>
      <c r="Z53" s="892"/>
      <c r="AA53" s="893"/>
      <c r="AB53" s="893"/>
      <c r="AC53" s="894"/>
      <c r="AD53" s="912">
        <f t="shared" si="5"/>
        <v>0.21602409536523678</v>
      </c>
      <c r="AE53" s="904">
        <f>$AE$44</f>
        <v>80</v>
      </c>
      <c r="AF53" s="893">
        <f t="shared" si="6"/>
        <v>20.408126210519654</v>
      </c>
      <c r="AG53" s="894">
        <f t="shared" si="12"/>
        <v>59.591873789480346</v>
      </c>
      <c r="AH53" s="891">
        <f t="shared" si="7"/>
        <v>48.591873789480346</v>
      </c>
      <c r="AI53" s="891">
        <f t="shared" si="8"/>
        <v>59.591607931948403</v>
      </c>
      <c r="AJ53" s="920"/>
      <c r="AK53" s="149"/>
      <c r="AL53" s="56"/>
      <c r="AM53" s="56"/>
      <c r="AN53" s="56"/>
      <c r="AO53" s="73">
        <f>SET!$C$12</f>
        <v>14</v>
      </c>
      <c r="AP53" s="501">
        <f t="shared" si="9"/>
        <v>23.942787992208498</v>
      </c>
      <c r="AQ53" s="74">
        <f>SET!$H$12</f>
        <v>3</v>
      </c>
      <c r="AR53" s="75">
        <f>SET!$K$12</f>
        <v>2</v>
      </c>
      <c r="AS53" s="73">
        <f>SET!$E$12</f>
        <v>4</v>
      </c>
      <c r="AT53" s="501">
        <f t="shared" si="91"/>
        <v>4</v>
      </c>
      <c r="AU53" s="74">
        <f>SET!$F$12</f>
        <v>3.0022522522522523</v>
      </c>
      <c r="AV53" s="75">
        <f>SET!$I$12</f>
        <v>2.7339881849062175</v>
      </c>
      <c r="AW53" s="73">
        <f>SET!$D$13</f>
        <v>7</v>
      </c>
      <c r="AX53" s="501">
        <f t="shared" ref="AX53:AX54" si="97">U53/$AI53*$AH53+T53</f>
        <v>7</v>
      </c>
      <c r="AY53" s="74">
        <f>SET!$G$13</f>
        <v>3</v>
      </c>
      <c r="AZ53" s="75">
        <f>SET!$J$13</f>
        <v>1.1471290728667785</v>
      </c>
      <c r="BA53" s="73">
        <f>SET!$C$15</f>
        <v>11</v>
      </c>
      <c r="BB53" s="501">
        <f t="shared" ref="BB53:BB54" si="98">Y53/$AI53*$AH53+X53</f>
        <v>24.64907764312473</v>
      </c>
      <c r="BC53" s="74">
        <f>SET!$F$15</f>
        <v>3.3776276276276271</v>
      </c>
      <c r="BD53" s="75">
        <f>SET!$I$15</f>
        <v>2.1471290728667785</v>
      </c>
      <c r="BE53" s="63"/>
      <c r="BF53" s="56"/>
      <c r="BG53" s="56"/>
      <c r="BH53" s="57"/>
      <c r="BI53" s="922">
        <f t="shared" si="10"/>
        <v>-8.1541471246282526E-6</v>
      </c>
    </row>
    <row r="54" spans="1:61" s="44" customFormat="1" x14ac:dyDescent="0.2">
      <c r="A54" s="942" t="s">
        <v>134</v>
      </c>
      <c r="B54" s="510" t="str">
        <f>hr!$A$11</f>
        <v>PM</v>
      </c>
      <c r="C54" s="839">
        <f>MAX(AD14:AF14)+AR14</f>
        <v>4.1968327564066783</v>
      </c>
      <c r="D54" s="898"/>
      <c r="E54" s="897"/>
      <c r="F54" s="899"/>
      <c r="G54" s="899"/>
      <c r="H54" s="900"/>
      <c r="I54" s="898">
        <f>MAX(H14:I14,S14:T14)</f>
        <v>0.1712762591018645</v>
      </c>
      <c r="J54" s="897">
        <f t="shared" si="33"/>
        <v>6.737313039135338</v>
      </c>
      <c r="K54" s="899">
        <f t="shared" si="38"/>
        <v>14</v>
      </c>
      <c r="L54" s="900">
        <f t="shared" si="2"/>
        <v>1.0000000000000001E-5</v>
      </c>
      <c r="M54" s="898">
        <f>MAX(L14,W14)</f>
        <v>9.2712098536624113E-2</v>
      </c>
      <c r="N54" s="899">
        <f t="shared" si="92"/>
        <v>3.6469177551624732</v>
      </c>
      <c r="O54" s="899">
        <f t="shared" si="87"/>
        <v>4</v>
      </c>
      <c r="P54" s="900">
        <f t="shared" si="88"/>
        <v>0</v>
      </c>
      <c r="Q54" s="892">
        <f t="shared" si="93"/>
        <v>8.8510834725536378E-2</v>
      </c>
      <c r="R54" s="839">
        <f t="shared" si="94"/>
        <v>4.1968327564066783</v>
      </c>
      <c r="S54" s="839">
        <f t="shared" si="95"/>
        <v>3.4816570844558892</v>
      </c>
      <c r="T54" s="899">
        <f t="shared" si="89"/>
        <v>7</v>
      </c>
      <c r="U54" s="900">
        <f t="shared" si="90"/>
        <v>0</v>
      </c>
      <c r="V54" s="892">
        <f t="shared" si="96"/>
        <v>1.416667387844037</v>
      </c>
      <c r="W54" s="897">
        <f t="shared" ref="W54:W72" si="99">V54/$AD54*$AG54</f>
        <v>55.725946574784381</v>
      </c>
      <c r="X54" s="899">
        <f t="shared" si="11"/>
        <v>0</v>
      </c>
      <c r="Y54" s="900">
        <f t="shared" ref="Y54:Y72" si="100">IF(X54=0,W54,0.00001)</f>
        <v>55.725946574784381</v>
      </c>
      <c r="Z54" s="898"/>
      <c r="AA54" s="899"/>
      <c r="AB54" s="899"/>
      <c r="AC54" s="900"/>
      <c r="AD54" s="913">
        <f t="shared" ref="AD54:AD84" si="101">D54+I54+M54+Q54+V54+Z54+0.000001</f>
        <v>1.769167580208062</v>
      </c>
      <c r="AE54" s="905">
        <f>$AE$45</f>
        <v>90</v>
      </c>
      <c r="AF54" s="899">
        <f t="shared" ref="AF54:AF84" si="102">AM54+AN54+AQ54+AR54+AU54+AV54+AY54+AZ54+BC54+BD54+BG54+BH54</f>
        <v>20.408126210519654</v>
      </c>
      <c r="AG54" s="900">
        <f t="shared" ref="AG54:AG84" si="103">AE54-AF54</f>
        <v>69.591873789480346</v>
      </c>
      <c r="AH54" s="891">
        <f t="shared" ref="AH54:AH84" si="104">AG54-G54-K54-O54-T54-X54-AB54</f>
        <v>44.591873789480346</v>
      </c>
      <c r="AI54" s="891">
        <f t="shared" ref="AI54:AI84" si="105">H54+L54+P54+U54+Y54+AC54+0.00001</f>
        <v>55.725966574784387</v>
      </c>
      <c r="AJ54" s="920"/>
      <c r="AK54" s="150"/>
      <c r="AL54" s="60"/>
      <c r="AM54" s="60"/>
      <c r="AN54" s="60"/>
      <c r="AO54" s="76">
        <f>SET!$C$12</f>
        <v>14</v>
      </c>
      <c r="AP54" s="502">
        <f t="shared" si="9"/>
        <v>14.000008001991985</v>
      </c>
      <c r="AQ54" s="77">
        <f>SET!$H$12</f>
        <v>3</v>
      </c>
      <c r="AR54" s="78">
        <f>SET!$K$12</f>
        <v>2</v>
      </c>
      <c r="AS54" s="76">
        <f>SET!$E$12</f>
        <v>4</v>
      </c>
      <c r="AT54" s="502">
        <f t="shared" si="91"/>
        <v>4</v>
      </c>
      <c r="AU54" s="77">
        <f>SET!$F$12</f>
        <v>3.0022522522522523</v>
      </c>
      <c r="AV54" s="78">
        <f>SET!$I$12</f>
        <v>2.7339881849062175</v>
      </c>
      <c r="AW54" s="76">
        <f>SET!$D$13</f>
        <v>7</v>
      </c>
      <c r="AX54" s="502">
        <f t="shared" si="97"/>
        <v>7</v>
      </c>
      <c r="AY54" s="77">
        <f>SET!$G$13</f>
        <v>3</v>
      </c>
      <c r="AZ54" s="78">
        <f>SET!$J$13</f>
        <v>1.1471290728667785</v>
      </c>
      <c r="BA54" s="76">
        <f>SET!$C$15</f>
        <v>11</v>
      </c>
      <c r="BB54" s="502">
        <f t="shared" si="98"/>
        <v>44.591857785496373</v>
      </c>
      <c r="BC54" s="77">
        <f>SET!$F$15</f>
        <v>3.3776276276276271</v>
      </c>
      <c r="BD54" s="78">
        <f>SET!$I$15</f>
        <v>2.1471290728667785</v>
      </c>
      <c r="BE54" s="64"/>
      <c r="BF54" s="60"/>
      <c r="BG54" s="60"/>
      <c r="BH54" s="61"/>
      <c r="BI54" s="923">
        <f t="shared" ref="BI54:BI84" si="106">AF54+AL54+AP54+AT54+AX54+BB54+BF54-AE54</f>
        <v>-8.0019919863616451E-6</v>
      </c>
    </row>
    <row r="55" spans="1:61" s="44" customFormat="1" x14ac:dyDescent="0.2">
      <c r="A55" s="941" t="s">
        <v>135</v>
      </c>
      <c r="B55" s="45" t="str">
        <f>hr!$A$9</f>
        <v>AM</v>
      </c>
      <c r="C55" s="839">
        <f>MAX(AD12:AF12)+AR12</f>
        <v>0.34375484265363798</v>
      </c>
      <c r="D55" s="892"/>
      <c r="E55" s="839"/>
      <c r="F55" s="893"/>
      <c r="G55" s="893"/>
      <c r="H55" s="894"/>
      <c r="I55" s="892">
        <f>MAX(H12:I12,S12:T12)</f>
        <v>0.2093598646916105</v>
      </c>
      <c r="J55" s="839">
        <f t="shared" si="33"/>
        <v>24.32643025474945</v>
      </c>
      <c r="K55" s="893">
        <f t="shared" si="38"/>
        <v>0</v>
      </c>
      <c r="L55" s="894">
        <f t="shared" si="2"/>
        <v>24.32643025474945</v>
      </c>
      <c r="M55" s="892">
        <f>MAX(L12,W12)</f>
        <v>4.5810856380913895E-2</v>
      </c>
      <c r="N55" s="893">
        <f t="shared" si="92"/>
        <v>5.322961993227266</v>
      </c>
      <c r="O55" s="893">
        <f t="shared" si="87"/>
        <v>0</v>
      </c>
      <c r="P55" s="894">
        <f t="shared" si="88"/>
        <v>5.322961993227266</v>
      </c>
      <c r="Q55" s="892">
        <f>AR12/C55*R55</f>
        <v>0.1069619657902017</v>
      </c>
      <c r="R55" s="839">
        <f>MAX(C55,AO12:AP12)</f>
        <v>0.34375484265363798</v>
      </c>
      <c r="S55" s="839">
        <f>Q55/$AD55*$AG55</f>
        <v>12.428374485907403</v>
      </c>
      <c r="T55" s="893">
        <f t="shared" si="89"/>
        <v>0</v>
      </c>
      <c r="U55" s="894">
        <f t="shared" si="90"/>
        <v>12.428374485907403</v>
      </c>
      <c r="V55" s="892">
        <f>MAX(AD12:AF12)/C55*R55</f>
        <v>0.23679287686343634</v>
      </c>
      <c r="W55" s="839">
        <f t="shared" si="99"/>
        <v>27.513990861261227</v>
      </c>
      <c r="X55" s="893">
        <f t="shared" si="11"/>
        <v>0</v>
      </c>
      <c r="Y55" s="894">
        <f t="shared" si="100"/>
        <v>27.513990861261227</v>
      </c>
      <c r="Z55" s="892"/>
      <c r="AA55" s="893"/>
      <c r="AB55" s="893"/>
      <c r="AC55" s="894"/>
      <c r="AD55" s="912">
        <f t="shared" si="101"/>
        <v>0.59892656372616238</v>
      </c>
      <c r="AE55" s="903">
        <f>$AE$43</f>
        <v>90</v>
      </c>
      <c r="AF55" s="893">
        <f t="shared" si="102"/>
        <v>20.408126210519654</v>
      </c>
      <c r="AG55" s="894">
        <f t="shared" si="103"/>
        <v>69.591873789480346</v>
      </c>
      <c r="AH55" s="891">
        <f t="shared" si="104"/>
        <v>69.591873789480346</v>
      </c>
      <c r="AI55" s="891">
        <f t="shared" si="105"/>
        <v>69.591767595145342</v>
      </c>
      <c r="AJ55" s="920"/>
      <c r="AK55" s="149"/>
      <c r="AL55" s="56"/>
      <c r="AM55" s="56"/>
      <c r="AN55" s="56"/>
      <c r="AO55" s="69">
        <f>SET!$C$12</f>
        <v>14</v>
      </c>
      <c r="AP55" s="70">
        <f t="shared" si="9"/>
        <v>24.326467375937391</v>
      </c>
      <c r="AQ55" s="71">
        <f>SET!$H$12</f>
        <v>3</v>
      </c>
      <c r="AR55" s="72">
        <f>SET!$K$12</f>
        <v>2</v>
      </c>
      <c r="AS55" s="69">
        <f>SET!$E$12</f>
        <v>4</v>
      </c>
      <c r="AT55" s="70">
        <f t="shared" si="91"/>
        <v>5.3229701158605698</v>
      </c>
      <c r="AU55" s="71">
        <f>SET!$F$12</f>
        <v>3.0022522522522523</v>
      </c>
      <c r="AV55" s="72">
        <f>SET!$I$12</f>
        <v>2.7339881849062175</v>
      </c>
      <c r="AW55" s="69">
        <f>SET!$D$14</f>
        <v>7</v>
      </c>
      <c r="AX55" s="70">
        <f>U55/$AI55*$AH55+T55</f>
        <v>12.428393451124258</v>
      </c>
      <c r="AY55" s="71">
        <f>SET!$G$14</f>
        <v>3</v>
      </c>
      <c r="AZ55" s="72">
        <f>SET!$J$14</f>
        <v>1.1471290728667785</v>
      </c>
      <c r="BA55" s="69">
        <f>SET!$C$15</f>
        <v>11</v>
      </c>
      <c r="BB55" s="70">
        <f>Y55/$AI55*$AH55+X55</f>
        <v>27.514032846542875</v>
      </c>
      <c r="BC55" s="71">
        <f>SET!$F$15</f>
        <v>3.3776276276276271</v>
      </c>
      <c r="BD55" s="72">
        <f>SET!$I$15</f>
        <v>2.1471290728667785</v>
      </c>
      <c r="BE55" s="63"/>
      <c r="BF55" s="56"/>
      <c r="BG55" s="56"/>
      <c r="BH55" s="57"/>
      <c r="BI55" s="921">
        <f t="shared" si="106"/>
        <v>-1.0000015251421246E-5</v>
      </c>
    </row>
    <row r="56" spans="1:61" s="44" customFormat="1" x14ac:dyDescent="0.2">
      <c r="A56" s="941" t="s">
        <v>135</v>
      </c>
      <c r="B56" s="45" t="str">
        <f>hr!$A$10</f>
        <v>off</v>
      </c>
      <c r="C56" s="839">
        <f t="shared" ref="C56:C57" si="107">MAX(AD13:AF13)+AR13</f>
        <v>0.1125663686951168</v>
      </c>
      <c r="D56" s="892"/>
      <c r="E56" s="839"/>
      <c r="F56" s="893"/>
      <c r="G56" s="893"/>
      <c r="H56" s="894"/>
      <c r="I56" s="892">
        <f>MAX(H13:I13,S13:T13)</f>
        <v>0.10644158453528439</v>
      </c>
      <c r="J56" s="839">
        <f t="shared" si="33"/>
        <v>28.962530426351883</v>
      </c>
      <c r="K56" s="893">
        <f t="shared" si="38"/>
        <v>0</v>
      </c>
      <c r="L56" s="894">
        <f t="shared" si="2"/>
        <v>28.962530426351883</v>
      </c>
      <c r="M56" s="892">
        <f>MAX(L13,W13)</f>
        <v>0</v>
      </c>
      <c r="N56" s="893">
        <f t="shared" si="92"/>
        <v>0</v>
      </c>
      <c r="O56" s="893">
        <f t="shared" si="87"/>
        <v>4</v>
      </c>
      <c r="P56" s="894">
        <f t="shared" si="88"/>
        <v>0</v>
      </c>
      <c r="Q56" s="892">
        <f t="shared" ref="Q56:Q57" si="108">AR13/C56*R56</f>
        <v>0</v>
      </c>
      <c r="R56" s="839">
        <f t="shared" ref="R56:R57" si="109">MAX(C56,AO13:AP13)</f>
        <v>0.1125663686951168</v>
      </c>
      <c r="S56" s="839">
        <f t="shared" ref="S56:S57" si="110">Q56/$AD56*$AG56</f>
        <v>0</v>
      </c>
      <c r="T56" s="893">
        <f t="shared" si="89"/>
        <v>7</v>
      </c>
      <c r="U56" s="894">
        <f t="shared" si="90"/>
        <v>0</v>
      </c>
      <c r="V56" s="892">
        <f t="shared" ref="V56:V57" si="111">MAX(AD13:AF13)/C56*R56</f>
        <v>0.1125663686951168</v>
      </c>
      <c r="W56" s="839">
        <f t="shared" si="99"/>
        <v>30.629071265239723</v>
      </c>
      <c r="X56" s="893">
        <f t="shared" si="11"/>
        <v>0</v>
      </c>
      <c r="Y56" s="894">
        <f t="shared" si="100"/>
        <v>30.629071265239723</v>
      </c>
      <c r="Z56" s="892"/>
      <c r="AA56" s="893"/>
      <c r="AB56" s="893"/>
      <c r="AC56" s="894"/>
      <c r="AD56" s="912">
        <f t="shared" si="101"/>
        <v>0.21900895323040118</v>
      </c>
      <c r="AE56" s="904">
        <f>$AE$44</f>
        <v>80</v>
      </c>
      <c r="AF56" s="893">
        <f t="shared" si="102"/>
        <v>20.408126210519654</v>
      </c>
      <c r="AG56" s="894">
        <f t="shared" si="103"/>
        <v>59.591873789480346</v>
      </c>
      <c r="AH56" s="891">
        <f t="shared" si="104"/>
        <v>48.591873789480346</v>
      </c>
      <c r="AI56" s="891">
        <f t="shared" si="105"/>
        <v>59.591611691591609</v>
      </c>
      <c r="AJ56" s="920"/>
      <c r="AK56" s="149"/>
      <c r="AL56" s="56"/>
      <c r="AM56" s="56"/>
      <c r="AN56" s="56"/>
      <c r="AO56" s="73">
        <f>SET!$C$12</f>
        <v>14</v>
      </c>
      <c r="AP56" s="501">
        <f t="shared" si="9"/>
        <v>23.616471901864195</v>
      </c>
      <c r="AQ56" s="74">
        <f>SET!$H$12</f>
        <v>3</v>
      </c>
      <c r="AR56" s="75">
        <f>SET!$K$12</f>
        <v>2</v>
      </c>
      <c r="AS56" s="73">
        <f>SET!$E$12</f>
        <v>4</v>
      </c>
      <c r="AT56" s="501">
        <f t="shared" si="91"/>
        <v>4</v>
      </c>
      <c r="AU56" s="74">
        <f>SET!$F$12</f>
        <v>3.0022522522522523</v>
      </c>
      <c r="AV56" s="75">
        <f>SET!$I$12</f>
        <v>2.7339881849062175</v>
      </c>
      <c r="AW56" s="73">
        <f>SET!$D$14</f>
        <v>7</v>
      </c>
      <c r="AX56" s="501">
        <f t="shared" ref="AX56:AX57" si="112">U56/$AI56*$AH56+T56</f>
        <v>7</v>
      </c>
      <c r="AY56" s="74">
        <f>SET!$G$14</f>
        <v>3</v>
      </c>
      <c r="AZ56" s="75">
        <f>SET!$J$14</f>
        <v>1.1471290728667785</v>
      </c>
      <c r="BA56" s="73">
        <f>SET!$C$15</f>
        <v>11</v>
      </c>
      <c r="BB56" s="501">
        <f t="shared" ref="BB56:BB57" si="113">Y56/$AI56*$AH56+X56</f>
        <v>24.975393733469549</v>
      </c>
      <c r="BC56" s="74">
        <f>SET!$F$15</f>
        <v>3.3776276276276271</v>
      </c>
      <c r="BD56" s="75">
        <f>SET!$I$15</f>
        <v>2.1471290728667785</v>
      </c>
      <c r="BE56" s="63"/>
      <c r="BF56" s="56"/>
      <c r="BG56" s="56"/>
      <c r="BH56" s="57"/>
      <c r="BI56" s="922">
        <f t="shared" si="106"/>
        <v>-8.1541465988266282E-6</v>
      </c>
    </row>
    <row r="57" spans="1:61" s="44" customFormat="1" x14ac:dyDescent="0.2">
      <c r="A57" s="942" t="s">
        <v>135</v>
      </c>
      <c r="B57" s="510" t="str">
        <f>hr!$A$11</f>
        <v>PM</v>
      </c>
      <c r="C57" s="839">
        <f t="shared" si="107"/>
        <v>4.1968327564066783</v>
      </c>
      <c r="D57" s="898"/>
      <c r="E57" s="897"/>
      <c r="F57" s="899"/>
      <c r="G57" s="899"/>
      <c r="H57" s="900"/>
      <c r="I57" s="898">
        <f>MAX(H14:I14,S14:T14)</f>
        <v>0.1712762591018645</v>
      </c>
      <c r="J57" s="897">
        <f t="shared" si="33"/>
        <v>2.672026703109776</v>
      </c>
      <c r="K57" s="899">
        <f t="shared" si="38"/>
        <v>14</v>
      </c>
      <c r="L57" s="900">
        <f t="shared" si="2"/>
        <v>1.0000000000000001E-5</v>
      </c>
      <c r="M57" s="898">
        <f>MAX(L14,W14)</f>
        <v>9.2712098536624113E-2</v>
      </c>
      <c r="N57" s="899">
        <f t="shared" si="92"/>
        <v>1.4463721025333138</v>
      </c>
      <c r="O57" s="899">
        <f t="shared" si="87"/>
        <v>4</v>
      </c>
      <c r="P57" s="900">
        <f t="shared" si="88"/>
        <v>0</v>
      </c>
      <c r="Q57" s="892">
        <f t="shared" si="108"/>
        <v>3.0855616920697375E-2</v>
      </c>
      <c r="R57" s="839">
        <f t="shared" si="109"/>
        <v>4.1968327564066783</v>
      </c>
      <c r="S57" s="839">
        <f t="shared" si="110"/>
        <v>0.48136871265967357</v>
      </c>
      <c r="T57" s="899">
        <f t="shared" si="89"/>
        <v>7</v>
      </c>
      <c r="U57" s="900">
        <f t="shared" si="90"/>
        <v>0</v>
      </c>
      <c r="V57" s="892">
        <f t="shared" si="111"/>
        <v>4.1659771394859808</v>
      </c>
      <c r="W57" s="897">
        <f t="shared" si="99"/>
        <v>64.992090670494107</v>
      </c>
      <c r="X57" s="899">
        <f t="shared" si="11"/>
        <v>0</v>
      </c>
      <c r="Y57" s="900">
        <f t="shared" si="100"/>
        <v>64.992090670494107</v>
      </c>
      <c r="Z57" s="898"/>
      <c r="AA57" s="899"/>
      <c r="AB57" s="899"/>
      <c r="AC57" s="901"/>
      <c r="AD57" s="913">
        <f t="shared" si="101"/>
        <v>4.4608221140451674</v>
      </c>
      <c r="AE57" s="905">
        <f>$AE$45</f>
        <v>90</v>
      </c>
      <c r="AF57" s="899">
        <f t="shared" si="102"/>
        <v>20.408126210519654</v>
      </c>
      <c r="AG57" s="900">
        <f t="shared" si="103"/>
        <v>69.591873789480346</v>
      </c>
      <c r="AH57" s="891">
        <f t="shared" si="104"/>
        <v>44.591873789480346</v>
      </c>
      <c r="AI57" s="891">
        <f t="shared" si="105"/>
        <v>64.992110670494114</v>
      </c>
      <c r="AJ57" s="920"/>
      <c r="AK57" s="150"/>
      <c r="AL57" s="60"/>
      <c r="AM57" s="60"/>
      <c r="AN57" s="60"/>
      <c r="AO57" s="76">
        <f>SET!$C$12</f>
        <v>14</v>
      </c>
      <c r="AP57" s="502">
        <f t="shared" si="9"/>
        <v>14.000006861121038</v>
      </c>
      <c r="AQ57" s="77">
        <f>SET!$H$12</f>
        <v>3</v>
      </c>
      <c r="AR57" s="78">
        <f>SET!$K$12</f>
        <v>2</v>
      </c>
      <c r="AS57" s="76">
        <f>SET!$E$12</f>
        <v>4</v>
      </c>
      <c r="AT57" s="502">
        <f t="shared" si="91"/>
        <v>4</v>
      </c>
      <c r="AU57" s="77">
        <f>SET!$F$12</f>
        <v>3.0022522522522523</v>
      </c>
      <c r="AV57" s="78">
        <f>SET!$I$12</f>
        <v>2.7339881849062175</v>
      </c>
      <c r="AW57" s="76">
        <f>SET!$D$14</f>
        <v>7</v>
      </c>
      <c r="AX57" s="502">
        <f t="shared" si="112"/>
        <v>7</v>
      </c>
      <c r="AY57" s="77">
        <f>SET!$G$14</f>
        <v>3</v>
      </c>
      <c r="AZ57" s="78">
        <f>SET!$J$14</f>
        <v>1.1471290728667785</v>
      </c>
      <c r="BA57" s="76">
        <f>SET!$C$15</f>
        <v>11</v>
      </c>
      <c r="BB57" s="502">
        <f t="shared" si="113"/>
        <v>44.591860067238258</v>
      </c>
      <c r="BC57" s="77">
        <f>SET!$F$15</f>
        <v>3.3776276276276271</v>
      </c>
      <c r="BD57" s="78">
        <f>SET!$I$15</f>
        <v>2.1471290728667785</v>
      </c>
      <c r="BE57" s="64"/>
      <c r="BF57" s="60"/>
      <c r="BG57" s="60"/>
      <c r="BH57" s="61"/>
      <c r="BI57" s="923">
        <f t="shared" si="106"/>
        <v>-6.8611210508606746E-6</v>
      </c>
    </row>
    <row r="58" spans="1:61" s="44" customFormat="1" x14ac:dyDescent="0.2">
      <c r="A58" s="941" t="s">
        <v>136</v>
      </c>
      <c r="B58" s="45" t="str">
        <f>hr!$A$9</f>
        <v>AM</v>
      </c>
      <c r="C58" s="839"/>
      <c r="D58" s="839">
        <f>D46</f>
        <v>0</v>
      </c>
      <c r="E58" s="839">
        <f>E46</f>
        <v>0.18165232980340021</v>
      </c>
      <c r="F58" s="839">
        <f>D58/$AD58*$AG58</f>
        <v>0</v>
      </c>
      <c r="G58" s="893">
        <f t="shared" ref="G58:G72" si="114">IF(F58&gt;AK58,0,AK58)</f>
        <v>7</v>
      </c>
      <c r="H58" s="894">
        <f t="shared" ref="H58:H72" si="115">IF(G58=0,F58,0)</f>
        <v>0</v>
      </c>
      <c r="I58" s="839">
        <f>I46</f>
        <v>1.1034654513214104</v>
      </c>
      <c r="J58" s="839">
        <f t="shared" si="33"/>
        <v>12.771797822935014</v>
      </c>
      <c r="K58" s="893">
        <f t="shared" si="38"/>
        <v>14</v>
      </c>
      <c r="L58" s="894">
        <f t="shared" si="2"/>
        <v>1.0000000000000001E-5</v>
      </c>
      <c r="M58" s="892"/>
      <c r="N58" s="839"/>
      <c r="O58" s="893"/>
      <c r="P58" s="895"/>
      <c r="Q58" s="839">
        <f>Q52</f>
        <v>0</v>
      </c>
      <c r="R58" s="839">
        <f>R52</f>
        <v>0.34375484265363798</v>
      </c>
      <c r="S58" s="839">
        <f>Q58/$AD58*$AG58</f>
        <v>0</v>
      </c>
      <c r="T58" s="893">
        <f t="shared" si="89"/>
        <v>7</v>
      </c>
      <c r="U58" s="894">
        <f t="shared" si="90"/>
        <v>0</v>
      </c>
      <c r="V58" s="839">
        <f>V52</f>
        <v>4.9321570635281384</v>
      </c>
      <c r="W58" s="839">
        <f t="shared" si="99"/>
        <v>57.086076207377488</v>
      </c>
      <c r="X58" s="893">
        <f t="shared" si="11"/>
        <v>0</v>
      </c>
      <c r="Y58" s="894">
        <f t="shared" si="100"/>
        <v>57.086076207377488</v>
      </c>
      <c r="Z58" s="892"/>
      <c r="AA58" s="839"/>
      <c r="AB58" s="893"/>
      <c r="AC58" s="895"/>
      <c r="AD58" s="912">
        <f t="shared" si="101"/>
        <v>6.035623514849549</v>
      </c>
      <c r="AE58" s="903">
        <f>$AE$43</f>
        <v>90</v>
      </c>
      <c r="AF58" s="893">
        <f t="shared" si="102"/>
        <v>20.142114395425875</v>
      </c>
      <c r="AG58" s="894">
        <f t="shared" si="103"/>
        <v>69.857885604574122</v>
      </c>
      <c r="AH58" s="891">
        <f t="shared" si="104"/>
        <v>41.857885604574122</v>
      </c>
      <c r="AI58" s="891">
        <f t="shared" si="105"/>
        <v>57.086096207377494</v>
      </c>
      <c r="AJ58" s="920"/>
      <c r="AK58" s="69">
        <f>SET!$D$10</f>
        <v>7</v>
      </c>
      <c r="AL58" s="70">
        <f t="shared" ref="AL58:AL72" si="116">H58/$AI58*$AH58+G58</f>
        <v>7</v>
      </c>
      <c r="AM58" s="71">
        <f>SET!$G$10</f>
        <v>3</v>
      </c>
      <c r="AN58" s="72">
        <f>SET!$J$10</f>
        <v>1.7339881849062175</v>
      </c>
      <c r="AO58" s="69">
        <f>SET!$C$12</f>
        <v>14</v>
      </c>
      <c r="AP58" s="70">
        <f t="shared" si="9"/>
        <v>14.000007332413388</v>
      </c>
      <c r="AQ58" s="71">
        <f>SET!$F$12</f>
        <v>3.0022522522522523</v>
      </c>
      <c r="AR58" s="72">
        <f>SET!$I$12</f>
        <v>2.7339881849062175</v>
      </c>
      <c r="AS58" s="63"/>
      <c r="AT58" s="56"/>
      <c r="AU58" s="56"/>
      <c r="AV58" s="56"/>
      <c r="AW58" s="69">
        <f>SET!$D$13</f>
        <v>7</v>
      </c>
      <c r="AX58" s="70">
        <f>U58/$AI58*$AH58+T58</f>
        <v>7</v>
      </c>
      <c r="AY58" s="71">
        <f>SET!$G$13</f>
        <v>3</v>
      </c>
      <c r="AZ58" s="72">
        <f>SET!$J$13</f>
        <v>1.1471290728667785</v>
      </c>
      <c r="BA58" s="69">
        <f>SET!$C$15</f>
        <v>11</v>
      </c>
      <c r="BB58" s="70">
        <f>Y58/$AI58*$AH58+X58</f>
        <v>41.857870939747343</v>
      </c>
      <c r="BC58" s="71">
        <f>SET!$F$15</f>
        <v>3.3776276276276271</v>
      </c>
      <c r="BD58" s="72">
        <f>SET!$I$15</f>
        <v>2.1471290728667785</v>
      </c>
      <c r="BE58" s="63"/>
      <c r="BF58" s="56"/>
      <c r="BG58" s="56"/>
      <c r="BH58" s="57"/>
      <c r="BI58" s="921">
        <f t="shared" si="106"/>
        <v>-7.3324133893493126E-6</v>
      </c>
    </row>
    <row r="59" spans="1:61" s="44" customFormat="1" x14ac:dyDescent="0.2">
      <c r="A59" s="941" t="s">
        <v>136</v>
      </c>
      <c r="B59" s="45" t="str">
        <f>hr!$A$10</f>
        <v>off</v>
      </c>
      <c r="C59" s="839"/>
      <c r="D59" s="839">
        <f>D47</f>
        <v>0</v>
      </c>
      <c r="E59" s="839">
        <f t="shared" ref="D59:E60" si="117">E47</f>
        <v>7.8507689709586451E-2</v>
      </c>
      <c r="F59" s="839">
        <f>D59/$AD59*$AG59</f>
        <v>0</v>
      </c>
      <c r="G59" s="893">
        <f t="shared" si="114"/>
        <v>7</v>
      </c>
      <c r="H59" s="894">
        <f t="shared" si="115"/>
        <v>0</v>
      </c>
      <c r="I59" s="839">
        <f t="shared" ref="I59" si="118">I47</f>
        <v>0.10644158453528439</v>
      </c>
      <c r="J59" s="839">
        <f t="shared" si="33"/>
        <v>29.493784847983942</v>
      </c>
      <c r="K59" s="893">
        <f t="shared" si="38"/>
        <v>0</v>
      </c>
      <c r="L59" s="894">
        <f t="shared" si="2"/>
        <v>29.493784847983942</v>
      </c>
      <c r="M59" s="892"/>
      <c r="N59" s="839"/>
      <c r="O59" s="893"/>
      <c r="P59" s="895"/>
      <c r="Q59" s="839">
        <f t="shared" ref="Q59:R63" si="119">Q53</f>
        <v>0</v>
      </c>
      <c r="R59" s="839">
        <f t="shared" si="119"/>
        <v>0.1125663686951168</v>
      </c>
      <c r="S59" s="839">
        <f t="shared" ref="S59:S60" si="120">Q59/$AD59*$AG59</f>
        <v>0</v>
      </c>
      <c r="T59" s="893">
        <f t="shared" si="89"/>
        <v>7</v>
      </c>
      <c r="U59" s="894">
        <f t="shared" si="90"/>
        <v>0</v>
      </c>
      <c r="V59" s="839">
        <f t="shared" ref="V59" si="121">V53</f>
        <v>0.10958151082995241</v>
      </c>
      <c r="W59" s="839">
        <f t="shared" si="99"/>
        <v>30.363823667659414</v>
      </c>
      <c r="X59" s="893">
        <f t="shared" si="11"/>
        <v>0</v>
      </c>
      <c r="Y59" s="894">
        <f t="shared" si="100"/>
        <v>30.363823667659414</v>
      </c>
      <c r="Z59" s="892"/>
      <c r="AA59" s="839"/>
      <c r="AB59" s="893"/>
      <c r="AC59" s="895"/>
      <c r="AD59" s="912">
        <f t="shared" si="101"/>
        <v>0.21602409536523678</v>
      </c>
      <c r="AE59" s="904">
        <f>$AE$44</f>
        <v>80</v>
      </c>
      <c r="AF59" s="893">
        <f t="shared" si="102"/>
        <v>20.142114395425875</v>
      </c>
      <c r="AG59" s="894">
        <f t="shared" si="103"/>
        <v>59.857885604574122</v>
      </c>
      <c r="AH59" s="891">
        <f t="shared" si="104"/>
        <v>45.857885604574122</v>
      </c>
      <c r="AI59" s="891">
        <f t="shared" si="105"/>
        <v>59.85761851564336</v>
      </c>
      <c r="AJ59" s="920"/>
      <c r="AK59" s="73">
        <f>SET!$D$10</f>
        <v>7</v>
      </c>
      <c r="AL59" s="501">
        <f t="shared" si="116"/>
        <v>7</v>
      </c>
      <c r="AM59" s="74">
        <f>SET!$G$10</f>
        <v>3</v>
      </c>
      <c r="AN59" s="75">
        <f>SET!$J$10</f>
        <v>1.7339881849062175</v>
      </c>
      <c r="AO59" s="73">
        <f>SET!$C$12</f>
        <v>14</v>
      </c>
      <c r="AP59" s="501">
        <f t="shared" si="9"/>
        <v>22.595663595458564</v>
      </c>
      <c r="AQ59" s="74">
        <f>SET!$F$12</f>
        <v>3.0022522522522523</v>
      </c>
      <c r="AR59" s="75">
        <f>SET!$I$12</f>
        <v>2.7339881849062175</v>
      </c>
      <c r="AS59" s="63"/>
      <c r="AT59" s="56"/>
      <c r="AU59" s="56"/>
      <c r="AV59" s="56"/>
      <c r="AW59" s="73">
        <f>SET!$D$13</f>
        <v>7</v>
      </c>
      <c r="AX59" s="501">
        <f t="shared" ref="AX59:AX60" si="122">U59/$AI59*$AH59+T59</f>
        <v>7</v>
      </c>
      <c r="AY59" s="74">
        <f>SET!$G$13</f>
        <v>3</v>
      </c>
      <c r="AZ59" s="75">
        <f>SET!$J$13</f>
        <v>1.1471290728667785</v>
      </c>
      <c r="BA59" s="73">
        <f>SET!$C$15</f>
        <v>11</v>
      </c>
      <c r="BB59" s="501">
        <f t="shared" ref="BB59:BB60" si="123">Y59/$AI59*$AH59+X59</f>
        <v>23.262214347954497</v>
      </c>
      <c r="BC59" s="74">
        <f>SET!$F$15</f>
        <v>3.3776276276276271</v>
      </c>
      <c r="BD59" s="75">
        <f>SET!$I$15</f>
        <v>2.1471290728667785</v>
      </c>
      <c r="BE59" s="63"/>
      <c r="BF59" s="56"/>
      <c r="BG59" s="56"/>
      <c r="BH59" s="57"/>
      <c r="BI59" s="922">
        <f t="shared" si="106"/>
        <v>-7.6611610637655758E-6</v>
      </c>
    </row>
    <row r="60" spans="1:61" s="44" customFormat="1" x14ac:dyDescent="0.2">
      <c r="A60" s="942" t="s">
        <v>136</v>
      </c>
      <c r="B60" s="510" t="str">
        <f>hr!$A$11</f>
        <v>PM</v>
      </c>
      <c r="C60" s="897"/>
      <c r="D60" s="839">
        <f t="shared" si="117"/>
        <v>0</v>
      </c>
      <c r="E60" s="839">
        <f t="shared" si="117"/>
        <v>0.26668510344750729</v>
      </c>
      <c r="F60" s="897">
        <f>D60/$AD60*$AG60</f>
        <v>0</v>
      </c>
      <c r="G60" s="899">
        <f t="shared" si="114"/>
        <v>7</v>
      </c>
      <c r="H60" s="900">
        <f t="shared" si="115"/>
        <v>0</v>
      </c>
      <c r="I60" s="839">
        <f t="shared" ref="I60" si="124">I48</f>
        <v>4.4642507569986964</v>
      </c>
      <c r="J60" s="897">
        <f t="shared" si="33"/>
        <v>52.243366579383746</v>
      </c>
      <c r="K60" s="899">
        <f t="shared" si="38"/>
        <v>0</v>
      </c>
      <c r="L60" s="900">
        <f t="shared" si="2"/>
        <v>52.243366579383746</v>
      </c>
      <c r="M60" s="898"/>
      <c r="N60" s="897"/>
      <c r="O60" s="899"/>
      <c r="P60" s="901"/>
      <c r="Q60" s="839">
        <f t="shared" si="119"/>
        <v>8.8510834725536378E-2</v>
      </c>
      <c r="R60" s="839">
        <f t="shared" si="119"/>
        <v>4.1968327564066783</v>
      </c>
      <c r="S60" s="839">
        <f t="shared" si="120"/>
        <v>1.0358074034179519</v>
      </c>
      <c r="T60" s="899">
        <f t="shared" si="89"/>
        <v>7</v>
      </c>
      <c r="U60" s="900">
        <f t="shared" si="90"/>
        <v>0</v>
      </c>
      <c r="V60" s="839">
        <f t="shared" ref="V60" si="125">V54</f>
        <v>1.416667387844037</v>
      </c>
      <c r="W60" s="897">
        <f t="shared" si="99"/>
        <v>16.57869991916667</v>
      </c>
      <c r="X60" s="899">
        <f t="shared" si="11"/>
        <v>0</v>
      </c>
      <c r="Y60" s="900">
        <f t="shared" si="100"/>
        <v>16.57869991916667</v>
      </c>
      <c r="Z60" s="898"/>
      <c r="AA60" s="897"/>
      <c r="AB60" s="899"/>
      <c r="AC60" s="901"/>
      <c r="AD60" s="913">
        <f t="shared" si="101"/>
        <v>5.9694299795682699</v>
      </c>
      <c r="AE60" s="905">
        <f>$AE$45</f>
        <v>90</v>
      </c>
      <c r="AF60" s="899">
        <f t="shared" si="102"/>
        <v>20.142114395425875</v>
      </c>
      <c r="AG60" s="900">
        <f t="shared" si="103"/>
        <v>69.857885604574122</v>
      </c>
      <c r="AH60" s="891">
        <f t="shared" si="104"/>
        <v>55.857885604574122</v>
      </c>
      <c r="AI60" s="891">
        <f t="shared" si="105"/>
        <v>68.822076498550416</v>
      </c>
      <c r="AJ60" s="920"/>
      <c r="AK60" s="76">
        <f>SET!$D$10</f>
        <v>7</v>
      </c>
      <c r="AL60" s="502">
        <f t="shared" si="116"/>
        <v>7</v>
      </c>
      <c r="AM60" s="77">
        <f>SET!$G$10</f>
        <v>3</v>
      </c>
      <c r="AN60" s="78">
        <f>SET!$J$10</f>
        <v>1.7339881849062175</v>
      </c>
      <c r="AO60" s="76">
        <f>SET!$C$12</f>
        <v>14</v>
      </c>
      <c r="AP60" s="502">
        <f t="shared" si="9"/>
        <v>42.40214975278338</v>
      </c>
      <c r="AQ60" s="77">
        <f>SET!$F$12</f>
        <v>3.0022522522522523</v>
      </c>
      <c r="AR60" s="78">
        <f>SET!$I$12</f>
        <v>2.7339881849062175</v>
      </c>
      <c r="AS60" s="64"/>
      <c r="AT60" s="60"/>
      <c r="AU60" s="60"/>
      <c r="AV60" s="60"/>
      <c r="AW60" s="76">
        <f>SET!$D$13</f>
        <v>7</v>
      </c>
      <c r="AX60" s="502">
        <f t="shared" si="122"/>
        <v>7</v>
      </c>
      <c r="AY60" s="77">
        <f>SET!$G$13</f>
        <v>3</v>
      </c>
      <c r="AZ60" s="78">
        <f>SET!$J$13</f>
        <v>1.1471290728667785</v>
      </c>
      <c r="BA60" s="76">
        <f>SET!$C$15</f>
        <v>11</v>
      </c>
      <c r="BB60" s="502">
        <f t="shared" si="123"/>
        <v>13.455727735516369</v>
      </c>
      <c r="BC60" s="77">
        <f>SET!$F$15</f>
        <v>3.3776276276276271</v>
      </c>
      <c r="BD60" s="78">
        <f>SET!$I$15</f>
        <v>2.1471290728667785</v>
      </c>
      <c r="BE60" s="64"/>
      <c r="BF60" s="60"/>
      <c r="BG60" s="60"/>
      <c r="BH60" s="61"/>
      <c r="BI60" s="923">
        <f t="shared" si="106"/>
        <v>-8.1162743867935205E-6</v>
      </c>
    </row>
    <row r="61" spans="1:61" s="44" customFormat="1" x14ac:dyDescent="0.2">
      <c r="A61" s="941" t="s">
        <v>137</v>
      </c>
      <c r="B61" s="45" t="str">
        <f>hr!$A$9</f>
        <v>AM</v>
      </c>
      <c r="C61" s="839"/>
      <c r="D61" s="839">
        <f>D46</f>
        <v>0</v>
      </c>
      <c r="E61" s="839">
        <f>E46</f>
        <v>0.18165232980340021</v>
      </c>
      <c r="F61" s="839">
        <f>D61/$AD61*$AG61</f>
        <v>0</v>
      </c>
      <c r="G61" s="893">
        <f t="shared" si="114"/>
        <v>7</v>
      </c>
      <c r="H61" s="894">
        <f t="shared" si="115"/>
        <v>0</v>
      </c>
      <c r="I61" s="839">
        <f>I46</f>
        <v>1.1034654513214104</v>
      </c>
      <c r="J61" s="839">
        <f t="shared" si="33"/>
        <v>53.264669050910108</v>
      </c>
      <c r="K61" s="893">
        <f t="shared" si="38"/>
        <v>0</v>
      </c>
      <c r="L61" s="894">
        <f t="shared" si="2"/>
        <v>53.264669050910108</v>
      </c>
      <c r="M61" s="892"/>
      <c r="N61" s="839"/>
      <c r="O61" s="893"/>
      <c r="P61" s="895"/>
      <c r="Q61" s="839">
        <f t="shared" si="119"/>
        <v>0.1069619657902017</v>
      </c>
      <c r="R61" s="839">
        <f t="shared" si="119"/>
        <v>0.34375484265363798</v>
      </c>
      <c r="S61" s="839">
        <f>Q61/$AD61*$AG61</f>
        <v>5.163092058774744</v>
      </c>
      <c r="T61" s="893">
        <f t="shared" si="89"/>
        <v>7</v>
      </c>
      <c r="U61" s="894">
        <f t="shared" si="90"/>
        <v>0</v>
      </c>
      <c r="V61" s="839">
        <f t="shared" ref="V61" si="126">V55</f>
        <v>0.23679287686343634</v>
      </c>
      <c r="W61" s="839">
        <f t="shared" si="99"/>
        <v>11.430076224534284</v>
      </c>
      <c r="X61" s="893">
        <f t="shared" si="11"/>
        <v>0</v>
      </c>
      <c r="Y61" s="894">
        <f t="shared" si="100"/>
        <v>11.430076224534284</v>
      </c>
      <c r="Z61" s="892"/>
      <c r="AA61" s="839"/>
      <c r="AB61" s="893"/>
      <c r="AC61" s="895"/>
      <c r="AD61" s="912">
        <f t="shared" si="101"/>
        <v>1.4472212939750484</v>
      </c>
      <c r="AE61" s="903">
        <f>$AE$43</f>
        <v>90</v>
      </c>
      <c r="AF61" s="893">
        <f t="shared" si="102"/>
        <v>20.142114395425875</v>
      </c>
      <c r="AG61" s="894">
        <f t="shared" si="103"/>
        <v>69.857885604574122</v>
      </c>
      <c r="AH61" s="891">
        <f t="shared" si="104"/>
        <v>55.857885604574122</v>
      </c>
      <c r="AI61" s="891">
        <f t="shared" si="105"/>
        <v>64.694755275444393</v>
      </c>
      <c r="AJ61" s="920"/>
      <c r="AK61" s="69">
        <f>SET!$D$10</f>
        <v>7</v>
      </c>
      <c r="AL61" s="70">
        <f t="shared" si="116"/>
        <v>7</v>
      </c>
      <c r="AM61" s="71">
        <f>SET!$G$10</f>
        <v>3</v>
      </c>
      <c r="AN61" s="72">
        <f>SET!$J$10</f>
        <v>1.7339881849062175</v>
      </c>
      <c r="AO61" s="69">
        <f>SET!$C$12</f>
        <v>14</v>
      </c>
      <c r="AP61" s="70">
        <f t="shared" si="9"/>
        <v>45.98907249813071</v>
      </c>
      <c r="AQ61" s="71">
        <f>SET!$F$12</f>
        <v>3.0022522522522523</v>
      </c>
      <c r="AR61" s="72">
        <f>SET!$I$12</f>
        <v>2.7339881849062175</v>
      </c>
      <c r="AS61" s="63"/>
      <c r="AT61" s="56"/>
      <c r="AU61" s="56"/>
      <c r="AV61" s="56"/>
      <c r="AW61" s="69">
        <f>SET!$D$14</f>
        <v>7</v>
      </c>
      <c r="AX61" s="70">
        <f>U61/$AI61*$AH61+T61</f>
        <v>7</v>
      </c>
      <c r="AY61" s="71">
        <f>SET!$G$14</f>
        <v>3</v>
      </c>
      <c r="AZ61" s="72">
        <f>SET!$J$14</f>
        <v>1.1471290728667785</v>
      </c>
      <c r="BA61" s="69">
        <f>SET!$C$15</f>
        <v>11</v>
      </c>
      <c r="BB61" s="70">
        <f>Y61/$AI61*$AH61+X61</f>
        <v>9.8688044723763415</v>
      </c>
      <c r="BC61" s="71">
        <f>SET!$F$15</f>
        <v>3.3776276276276271</v>
      </c>
      <c r="BD61" s="72">
        <f>SET!$I$15</f>
        <v>2.1471290728667785</v>
      </c>
      <c r="BE61" s="63"/>
      <c r="BF61" s="56"/>
      <c r="BG61" s="56"/>
      <c r="BH61" s="57"/>
      <c r="BI61" s="921">
        <f t="shared" si="106"/>
        <v>-8.6340670719664558E-6</v>
      </c>
    </row>
    <row r="62" spans="1:61" s="44" customFormat="1" x14ac:dyDescent="0.2">
      <c r="A62" s="941" t="s">
        <v>137</v>
      </c>
      <c r="B62" s="45" t="str">
        <f>hr!$A$10</f>
        <v>off</v>
      </c>
      <c r="C62" s="839"/>
      <c r="D62" s="839">
        <f t="shared" ref="D62:E63" si="127">D47</f>
        <v>0</v>
      </c>
      <c r="E62" s="839">
        <f t="shared" si="127"/>
        <v>7.8507689709586451E-2</v>
      </c>
      <c r="F62" s="839">
        <f t="shared" ref="F62" si="128">D62/$AD62*$AG62</f>
        <v>0</v>
      </c>
      <c r="G62" s="893">
        <f t="shared" si="114"/>
        <v>7</v>
      </c>
      <c r="H62" s="894">
        <f t="shared" si="115"/>
        <v>0</v>
      </c>
      <c r="I62" s="839">
        <f t="shared" ref="I62" si="129">I47</f>
        <v>0.10644158453528439</v>
      </c>
      <c r="J62" s="839">
        <f t="shared" si="33"/>
        <v>29.091816095663773</v>
      </c>
      <c r="K62" s="893">
        <f t="shared" si="38"/>
        <v>0</v>
      </c>
      <c r="L62" s="894">
        <f t="shared" si="2"/>
        <v>29.091816095663773</v>
      </c>
      <c r="M62" s="892"/>
      <c r="N62" s="839"/>
      <c r="O62" s="893"/>
      <c r="P62" s="895"/>
      <c r="Q62" s="839">
        <f t="shared" si="119"/>
        <v>0</v>
      </c>
      <c r="R62" s="839">
        <f t="shared" si="119"/>
        <v>0.1125663686951168</v>
      </c>
      <c r="S62" s="839">
        <f t="shared" ref="S62:S63" si="130">Q62/$AD62*$AG62</f>
        <v>0</v>
      </c>
      <c r="T62" s="893">
        <f t="shared" si="89"/>
        <v>7</v>
      </c>
      <c r="U62" s="894">
        <f t="shared" si="90"/>
        <v>0</v>
      </c>
      <c r="V62" s="839">
        <f>V56</f>
        <v>0.1125663686951168</v>
      </c>
      <c r="W62" s="839">
        <f t="shared" si="99"/>
        <v>30.765796196405443</v>
      </c>
      <c r="X62" s="893">
        <f t="shared" si="11"/>
        <v>0</v>
      </c>
      <c r="Y62" s="894">
        <f t="shared" si="100"/>
        <v>30.765796196405443</v>
      </c>
      <c r="Z62" s="892"/>
      <c r="AA62" s="839"/>
      <c r="AB62" s="893"/>
      <c r="AC62" s="895"/>
      <c r="AD62" s="912">
        <f t="shared" si="101"/>
        <v>0.21900895323040118</v>
      </c>
      <c r="AE62" s="904">
        <f>$AE$44</f>
        <v>80</v>
      </c>
      <c r="AF62" s="893">
        <f t="shared" si="102"/>
        <v>20.142114395425875</v>
      </c>
      <c r="AG62" s="894">
        <f t="shared" si="103"/>
        <v>59.857885604574122</v>
      </c>
      <c r="AH62" s="891">
        <f t="shared" si="104"/>
        <v>45.857885604574122</v>
      </c>
      <c r="AI62" s="891">
        <f t="shared" si="105"/>
        <v>59.857622292069223</v>
      </c>
      <c r="AJ62" s="920"/>
      <c r="AK62" s="73">
        <f>SET!$D$10</f>
        <v>7</v>
      </c>
      <c r="AL62" s="501">
        <f t="shared" si="116"/>
        <v>7</v>
      </c>
      <c r="AM62" s="74">
        <f>SET!$G$10</f>
        <v>3</v>
      </c>
      <c r="AN62" s="75">
        <f>SET!$J$10</f>
        <v>1.7339881849062175</v>
      </c>
      <c r="AO62" s="73">
        <f>SET!$C$12</f>
        <v>14</v>
      </c>
      <c r="AP62" s="501">
        <f t="shared" si="9"/>
        <v>22.287707454110091</v>
      </c>
      <c r="AQ62" s="74">
        <f>SET!$F$12</f>
        <v>3.0022522522522523</v>
      </c>
      <c r="AR62" s="75">
        <f>SET!$I$12</f>
        <v>2.7339881849062175</v>
      </c>
      <c r="AS62" s="63"/>
      <c r="AT62" s="56"/>
      <c r="AU62" s="56"/>
      <c r="AV62" s="56"/>
      <c r="AW62" s="73">
        <f>SET!$D$14</f>
        <v>7</v>
      </c>
      <c r="AX62" s="501">
        <f t="shared" ref="AX62:AX63" si="131">U62/$AI62*$AH62+T62</f>
        <v>7</v>
      </c>
      <c r="AY62" s="74">
        <f>SET!$G$14</f>
        <v>3</v>
      </c>
      <c r="AZ62" s="75">
        <f>SET!$J$14</f>
        <v>1.1471290728667785</v>
      </c>
      <c r="BA62" s="73">
        <f>SET!$C$15</f>
        <v>11</v>
      </c>
      <c r="BB62" s="501">
        <f t="shared" ref="BB62:BB63" si="132">Y62/$AI62*$AH62+X62</f>
        <v>23.57017048930345</v>
      </c>
      <c r="BC62" s="74">
        <f>SET!$F$15</f>
        <v>3.3776276276276271</v>
      </c>
      <c r="BD62" s="75">
        <f>SET!$I$15</f>
        <v>2.1471290728667785</v>
      </c>
      <c r="BE62" s="63"/>
      <c r="BF62" s="56"/>
      <c r="BG62" s="56"/>
      <c r="BH62" s="57"/>
      <c r="BI62" s="922">
        <f t="shared" si="106"/>
        <v>-7.6611605805965155E-6</v>
      </c>
    </row>
    <row r="63" spans="1:61" s="44" customFormat="1" x14ac:dyDescent="0.2">
      <c r="A63" s="942" t="s">
        <v>137</v>
      </c>
      <c r="B63" s="510" t="str">
        <f>hr!$A$11</f>
        <v>PM</v>
      </c>
      <c r="C63" s="897"/>
      <c r="D63" s="839">
        <f t="shared" si="127"/>
        <v>0</v>
      </c>
      <c r="E63" s="839">
        <f t="shared" si="127"/>
        <v>0.26668510344750729</v>
      </c>
      <c r="F63" s="897">
        <f>D63/$AD63*$AG63</f>
        <v>0</v>
      </c>
      <c r="G63" s="899">
        <f t="shared" si="114"/>
        <v>7</v>
      </c>
      <c r="H63" s="900">
        <f t="shared" si="115"/>
        <v>0</v>
      </c>
      <c r="I63" s="839">
        <f t="shared" ref="I63" si="133">I48</f>
        <v>4.4642507569986964</v>
      </c>
      <c r="J63" s="897">
        <f t="shared" si="33"/>
        <v>36.007398173964901</v>
      </c>
      <c r="K63" s="899">
        <f t="shared" si="38"/>
        <v>0</v>
      </c>
      <c r="L63" s="900">
        <f t="shared" si="2"/>
        <v>36.007398173964901</v>
      </c>
      <c r="M63" s="898"/>
      <c r="N63" s="897"/>
      <c r="O63" s="899"/>
      <c r="P63" s="901"/>
      <c r="Q63" s="839">
        <f t="shared" si="119"/>
        <v>3.0855616920697375E-2</v>
      </c>
      <c r="R63" s="839">
        <f t="shared" si="119"/>
        <v>4.1968327564066783</v>
      </c>
      <c r="S63" s="839">
        <f t="shared" si="130"/>
        <v>0.24887277727961277</v>
      </c>
      <c r="T63" s="899">
        <f t="shared" si="89"/>
        <v>7</v>
      </c>
      <c r="U63" s="900">
        <f t="shared" si="90"/>
        <v>0</v>
      </c>
      <c r="V63" s="839">
        <f t="shared" ref="V63" si="134">V57</f>
        <v>4.1659771394859808</v>
      </c>
      <c r="W63" s="897">
        <f t="shared" si="99"/>
        <v>33.601606587609261</v>
      </c>
      <c r="X63" s="899">
        <f t="shared" si="11"/>
        <v>0</v>
      </c>
      <c r="Y63" s="900">
        <f t="shared" si="100"/>
        <v>33.601606587609261</v>
      </c>
      <c r="Z63" s="898"/>
      <c r="AA63" s="897"/>
      <c r="AB63" s="899"/>
      <c r="AC63" s="901"/>
      <c r="AD63" s="913">
        <f t="shared" si="101"/>
        <v>8.661084513405374</v>
      </c>
      <c r="AE63" s="905">
        <f>$AE$45</f>
        <v>90</v>
      </c>
      <c r="AF63" s="899">
        <f t="shared" si="102"/>
        <v>20.142114395425875</v>
      </c>
      <c r="AG63" s="900">
        <f t="shared" si="103"/>
        <v>69.857885604574122</v>
      </c>
      <c r="AH63" s="891">
        <f t="shared" si="104"/>
        <v>55.857885604574122</v>
      </c>
      <c r="AI63" s="891">
        <f t="shared" si="105"/>
        <v>69.609014761574173</v>
      </c>
      <c r="AJ63" s="920"/>
      <c r="AK63" s="76">
        <f>SET!$D$10</f>
        <v>7</v>
      </c>
      <c r="AL63" s="502">
        <f t="shared" si="116"/>
        <v>7</v>
      </c>
      <c r="AM63" s="77">
        <f>SET!$G$10</f>
        <v>3</v>
      </c>
      <c r="AN63" s="78">
        <f>SET!$J$10</f>
        <v>1.7339881849062175</v>
      </c>
      <c r="AO63" s="76">
        <f>SET!$C$12</f>
        <v>14</v>
      </c>
      <c r="AP63" s="502">
        <f t="shared" si="9"/>
        <v>28.894204795295657</v>
      </c>
      <c r="AQ63" s="77">
        <f>SET!$F$12</f>
        <v>3.0022522522522523</v>
      </c>
      <c r="AR63" s="78">
        <f>SET!$I$12</f>
        <v>2.7339881849062175</v>
      </c>
      <c r="AS63" s="64"/>
      <c r="AT63" s="60"/>
      <c r="AU63" s="60"/>
      <c r="AV63" s="60"/>
      <c r="AW63" s="76">
        <f>SET!$D$14</f>
        <v>7</v>
      </c>
      <c r="AX63" s="502">
        <f t="shared" si="131"/>
        <v>7</v>
      </c>
      <c r="AY63" s="77">
        <f>SET!$G$14</f>
        <v>3</v>
      </c>
      <c r="AZ63" s="78">
        <f>SET!$J$14</f>
        <v>1.1471290728667785</v>
      </c>
      <c r="BA63" s="76">
        <f>SET!$C$15</f>
        <v>11</v>
      </c>
      <c r="BB63" s="502">
        <f t="shared" si="132"/>
        <v>26.963672784759535</v>
      </c>
      <c r="BC63" s="77">
        <f>SET!$F$15</f>
        <v>3.3776276276276271</v>
      </c>
      <c r="BD63" s="78">
        <f>SET!$I$15</f>
        <v>2.1471290728667785</v>
      </c>
      <c r="BE63" s="64"/>
      <c r="BF63" s="60"/>
      <c r="BG63" s="60"/>
      <c r="BH63" s="61"/>
      <c r="BI63" s="923">
        <f t="shared" si="106"/>
        <v>-8.0245189337802003E-6</v>
      </c>
    </row>
    <row r="64" spans="1:61" s="44" customFormat="1" x14ac:dyDescent="0.2">
      <c r="A64" s="941" t="s">
        <v>138</v>
      </c>
      <c r="B64" s="45" t="str">
        <f>hr!$A$9</f>
        <v>AM</v>
      </c>
      <c r="C64" s="839"/>
      <c r="D64" s="839">
        <f>D49</f>
        <v>5.8835193623023349E-2</v>
      </c>
      <c r="E64" s="839">
        <f>E49</f>
        <v>4.9321570635281384</v>
      </c>
      <c r="F64" s="839">
        <f>D64/$AD64*$AG64</f>
        <v>0.80372597134218138</v>
      </c>
      <c r="G64" s="893">
        <f t="shared" si="114"/>
        <v>7</v>
      </c>
      <c r="H64" s="894">
        <f t="shared" si="115"/>
        <v>0</v>
      </c>
      <c r="I64" s="839">
        <f>I49</f>
        <v>0.12281713618037686</v>
      </c>
      <c r="J64" s="839">
        <f t="shared" si="33"/>
        <v>1.6777597895999907</v>
      </c>
      <c r="K64" s="893">
        <f t="shared" si="38"/>
        <v>14</v>
      </c>
      <c r="L64" s="894">
        <f t="shared" si="2"/>
        <v>1.0000000000000001E-5</v>
      </c>
      <c r="M64" s="892"/>
      <c r="N64" s="839"/>
      <c r="O64" s="893"/>
      <c r="P64" s="895"/>
      <c r="Q64" s="839">
        <f>Q52</f>
        <v>0</v>
      </c>
      <c r="R64" s="839">
        <f>R52</f>
        <v>0.34375484265363798</v>
      </c>
      <c r="S64" s="839">
        <f>Q64/$AD64*$AG64</f>
        <v>0</v>
      </c>
      <c r="T64" s="893">
        <f t="shared" si="89"/>
        <v>7</v>
      </c>
      <c r="U64" s="894">
        <f t="shared" si="90"/>
        <v>0</v>
      </c>
      <c r="V64" s="839">
        <f>V52</f>
        <v>4.9321570635281384</v>
      </c>
      <c r="W64" s="839">
        <f>V64/$AD64*$AG64</f>
        <v>67.376386182999227</v>
      </c>
      <c r="X64" s="893">
        <f t="shared" si="11"/>
        <v>0</v>
      </c>
      <c r="Y64" s="894">
        <f t="shared" si="100"/>
        <v>67.376386182999227</v>
      </c>
      <c r="Z64" s="892"/>
      <c r="AA64" s="839"/>
      <c r="AB64" s="893"/>
      <c r="AC64" s="895"/>
      <c r="AD64" s="912">
        <f t="shared" si="101"/>
        <v>5.1138103933315389</v>
      </c>
      <c r="AE64" s="903">
        <f>$AE$43</f>
        <v>90</v>
      </c>
      <c r="AF64" s="893">
        <f t="shared" si="102"/>
        <v>20.142114395425875</v>
      </c>
      <c r="AG64" s="894">
        <f t="shared" si="103"/>
        <v>69.857885604574122</v>
      </c>
      <c r="AH64" s="891">
        <f t="shared" si="104"/>
        <v>41.857885604574122</v>
      </c>
      <c r="AI64" s="891">
        <f t="shared" si="105"/>
        <v>67.376406182999233</v>
      </c>
      <c r="AJ64" s="920"/>
      <c r="AK64" s="69">
        <f>SET!$D$11</f>
        <v>7</v>
      </c>
      <c r="AL64" s="70">
        <f t="shared" si="116"/>
        <v>7</v>
      </c>
      <c r="AM64" s="71">
        <f>SET!$G$11</f>
        <v>3</v>
      </c>
      <c r="AN64" s="72">
        <f>SET!$J$11</f>
        <v>1.7339881849062175</v>
      </c>
      <c r="AO64" s="69">
        <f>SET!$C$12</f>
        <v>14</v>
      </c>
      <c r="AP64" s="70">
        <f t="shared" si="9"/>
        <v>14.000006212543527</v>
      </c>
      <c r="AQ64" s="71">
        <f>SET!$F$12</f>
        <v>3.0022522522522523</v>
      </c>
      <c r="AR64" s="72">
        <f>SET!$I$12</f>
        <v>2.7339881849062175</v>
      </c>
      <c r="AS64" s="63"/>
      <c r="AT64" s="56"/>
      <c r="AU64" s="56"/>
      <c r="AV64" s="56"/>
      <c r="AW64" s="69">
        <f>SET!$D$13</f>
        <v>7</v>
      </c>
      <c r="AX64" s="70">
        <f>U64/$AI64*$AH64+T64</f>
        <v>7</v>
      </c>
      <c r="AY64" s="71">
        <f>SET!$G$13</f>
        <v>3</v>
      </c>
      <c r="AZ64" s="72">
        <f>SET!$J$13</f>
        <v>1.1471290728667785</v>
      </c>
      <c r="BA64" s="69">
        <f>SET!$C$15</f>
        <v>11</v>
      </c>
      <c r="BB64" s="70">
        <f>Y64/$AI64*$AH64+X64</f>
        <v>41.857873179487065</v>
      </c>
      <c r="BC64" s="71">
        <f>SET!$F$15</f>
        <v>3.3776276276276271</v>
      </c>
      <c r="BD64" s="72">
        <f>SET!$I$15</f>
        <v>2.1471290728667785</v>
      </c>
      <c r="BE64" s="63"/>
      <c r="BF64" s="56"/>
      <c r="BG64" s="56"/>
      <c r="BH64" s="57"/>
      <c r="BI64" s="921">
        <f t="shared" si="106"/>
        <v>-6.2125435249527072E-6</v>
      </c>
    </row>
    <row r="65" spans="1:61" s="44" customFormat="1" x14ac:dyDescent="0.2">
      <c r="A65" s="941" t="s">
        <v>138</v>
      </c>
      <c r="B65" s="45" t="str">
        <f>hr!$A$10</f>
        <v>off</v>
      </c>
      <c r="C65" s="839"/>
      <c r="D65" s="839">
        <f t="shared" ref="D65:E66" si="135">D50</f>
        <v>0</v>
      </c>
      <c r="E65" s="839">
        <f t="shared" si="135"/>
        <v>0.10958151082995241</v>
      </c>
      <c r="F65" s="839">
        <f>D65/$AD65*$AG65</f>
        <v>0</v>
      </c>
      <c r="G65" s="893">
        <f t="shared" si="114"/>
        <v>7</v>
      </c>
      <c r="H65" s="894">
        <f t="shared" si="115"/>
        <v>0</v>
      </c>
      <c r="I65" s="839">
        <f t="shared" ref="I65" si="136">I50</f>
        <v>7.8507689709586451E-2</v>
      </c>
      <c r="J65" s="839">
        <f t="shared" si="33"/>
        <v>24.984312293972888</v>
      </c>
      <c r="K65" s="893">
        <f t="shared" si="38"/>
        <v>0</v>
      </c>
      <c r="L65" s="894">
        <f t="shared" si="2"/>
        <v>24.984312293972888</v>
      </c>
      <c r="M65" s="892"/>
      <c r="N65" s="839"/>
      <c r="O65" s="893"/>
      <c r="P65" s="895"/>
      <c r="Q65" s="839">
        <f t="shared" ref="Q65:R69" si="137">Q53</f>
        <v>0</v>
      </c>
      <c r="R65" s="839">
        <f t="shared" si="137"/>
        <v>0.1125663686951168</v>
      </c>
      <c r="S65" s="839">
        <f t="shared" ref="S65:S66" si="138">Q65/$AD65*$AG65</f>
        <v>0</v>
      </c>
      <c r="T65" s="893">
        <f t="shared" si="89"/>
        <v>7</v>
      </c>
      <c r="U65" s="894">
        <f t="shared" si="90"/>
        <v>0</v>
      </c>
      <c r="V65" s="839">
        <f>V53</f>
        <v>0.10958151082995241</v>
      </c>
      <c r="W65" s="839">
        <f t="shared" si="99"/>
        <v>34.873255070281253</v>
      </c>
      <c r="X65" s="893">
        <f t="shared" si="11"/>
        <v>0</v>
      </c>
      <c r="Y65" s="894">
        <f t="shared" si="100"/>
        <v>34.873255070281253</v>
      </c>
      <c r="Z65" s="892"/>
      <c r="AA65" s="839"/>
      <c r="AB65" s="893"/>
      <c r="AC65" s="895"/>
      <c r="AD65" s="912">
        <f t="shared" si="101"/>
        <v>0.18809020053953887</v>
      </c>
      <c r="AE65" s="904">
        <f>$AE$44</f>
        <v>80</v>
      </c>
      <c r="AF65" s="893">
        <f t="shared" si="102"/>
        <v>20.142114395425875</v>
      </c>
      <c r="AG65" s="894">
        <f t="shared" si="103"/>
        <v>59.857885604574122</v>
      </c>
      <c r="AH65" s="891">
        <f t="shared" si="104"/>
        <v>45.857885604574122</v>
      </c>
      <c r="AI65" s="891">
        <f t="shared" si="105"/>
        <v>59.857577364254141</v>
      </c>
      <c r="AJ65" s="920"/>
      <c r="AK65" s="73">
        <f>SET!$D$11</f>
        <v>7</v>
      </c>
      <c r="AL65" s="501">
        <f t="shared" si="116"/>
        <v>7</v>
      </c>
      <c r="AM65" s="74">
        <f>SET!$G$11</f>
        <v>3</v>
      </c>
      <c r="AN65" s="75">
        <f>SET!$J$11</f>
        <v>1.7339881849062175</v>
      </c>
      <c r="AO65" s="73">
        <f>SET!$C$12</f>
        <v>14</v>
      </c>
      <c r="AP65" s="501">
        <f t="shared" si="9"/>
        <v>19.140897201933392</v>
      </c>
      <c r="AQ65" s="74">
        <f>SET!$F$12</f>
        <v>3.0022522522522523</v>
      </c>
      <c r="AR65" s="75">
        <f>SET!$I$12</f>
        <v>2.7339881849062175</v>
      </c>
      <c r="AS65" s="63"/>
      <c r="AT65" s="56"/>
      <c r="AU65" s="56"/>
      <c r="AV65" s="56"/>
      <c r="AW65" s="73">
        <f>SET!$D$13</f>
        <v>7</v>
      </c>
      <c r="AX65" s="501">
        <f t="shared" ref="AX65:AX66" si="139">U65/$AI65*$AH65+T65</f>
        <v>7</v>
      </c>
      <c r="AY65" s="74">
        <f>SET!$G$13</f>
        <v>3</v>
      </c>
      <c r="AZ65" s="75">
        <f>SET!$J$13</f>
        <v>1.1471290728667785</v>
      </c>
      <c r="BA65" s="73">
        <f>SET!$C$15</f>
        <v>11</v>
      </c>
      <c r="BB65" s="501">
        <f t="shared" ref="BB65:BB66" si="140">Y65/$AI65*$AH65+X65</f>
        <v>26.716980741474405</v>
      </c>
      <c r="BC65" s="74">
        <f>SET!$F$15</f>
        <v>3.3776276276276271</v>
      </c>
      <c r="BD65" s="75">
        <f>SET!$I$15</f>
        <v>2.1471290728667785</v>
      </c>
      <c r="BE65" s="63"/>
      <c r="BF65" s="56"/>
      <c r="BG65" s="56"/>
      <c r="BH65" s="57"/>
      <c r="BI65" s="922">
        <f t="shared" si="106"/>
        <v>-7.6611663359926752E-6</v>
      </c>
    </row>
    <row r="66" spans="1:61" s="44" customFormat="1" x14ac:dyDescent="0.2">
      <c r="A66" s="942" t="s">
        <v>138</v>
      </c>
      <c r="B66" s="510" t="str">
        <f>hr!$A$11</f>
        <v>PM</v>
      </c>
      <c r="C66" s="897"/>
      <c r="D66" s="839">
        <f t="shared" si="135"/>
        <v>9.5408844345642757E-2</v>
      </c>
      <c r="E66" s="839">
        <f t="shared" si="135"/>
        <v>1.5051782225695733</v>
      </c>
      <c r="F66" s="897">
        <f>D66/$AD66*$AG66</f>
        <v>3.7616086266292825</v>
      </c>
      <c r="G66" s="899">
        <f t="shared" si="114"/>
        <v>7</v>
      </c>
      <c r="H66" s="900">
        <f t="shared" si="115"/>
        <v>0</v>
      </c>
      <c r="I66" s="839">
        <f t="shared" ref="I66" si="141">I51</f>
        <v>0.1712762591018645</v>
      </c>
      <c r="J66" s="897">
        <f t="shared" si="33"/>
        <v>6.7527728502854387</v>
      </c>
      <c r="K66" s="899">
        <f t="shared" si="38"/>
        <v>14</v>
      </c>
      <c r="L66" s="900">
        <f t="shared" si="2"/>
        <v>1.0000000000000001E-5</v>
      </c>
      <c r="M66" s="898"/>
      <c r="N66" s="897"/>
      <c r="O66" s="899"/>
      <c r="P66" s="901"/>
      <c r="Q66" s="839">
        <f t="shared" si="137"/>
        <v>8.8510834725536378E-2</v>
      </c>
      <c r="R66" s="839">
        <f t="shared" si="137"/>
        <v>4.1968327564066783</v>
      </c>
      <c r="S66" s="839">
        <f t="shared" si="138"/>
        <v>3.4896462873773562</v>
      </c>
      <c r="T66" s="899">
        <f t="shared" si="89"/>
        <v>7</v>
      </c>
      <c r="U66" s="900">
        <f t="shared" si="90"/>
        <v>0</v>
      </c>
      <c r="V66" s="839">
        <f t="shared" ref="V66" si="142">V54</f>
        <v>1.416667387844037</v>
      </c>
      <c r="W66" s="897">
        <f t="shared" si="99"/>
        <v>55.853818414077359</v>
      </c>
      <c r="X66" s="899">
        <f t="shared" si="11"/>
        <v>0</v>
      </c>
      <c r="Y66" s="900">
        <f t="shared" si="100"/>
        <v>55.853818414077359</v>
      </c>
      <c r="Z66" s="898"/>
      <c r="AA66" s="897"/>
      <c r="AB66" s="899"/>
      <c r="AC66" s="901"/>
      <c r="AD66" s="913">
        <f t="shared" si="101"/>
        <v>1.7718643260170805</v>
      </c>
      <c r="AE66" s="905">
        <f>$AE$45</f>
        <v>90</v>
      </c>
      <c r="AF66" s="899">
        <f t="shared" si="102"/>
        <v>20.142114395425875</v>
      </c>
      <c r="AG66" s="900">
        <f t="shared" si="103"/>
        <v>69.857885604574122</v>
      </c>
      <c r="AH66" s="891">
        <f t="shared" si="104"/>
        <v>41.857885604574122</v>
      </c>
      <c r="AI66" s="891">
        <f t="shared" si="105"/>
        <v>55.853838414077366</v>
      </c>
      <c r="AJ66" s="920"/>
      <c r="AK66" s="76">
        <f>SET!$D$11</f>
        <v>7</v>
      </c>
      <c r="AL66" s="502">
        <f t="shared" si="116"/>
        <v>7</v>
      </c>
      <c r="AM66" s="77">
        <f>SET!$G$11</f>
        <v>3</v>
      </c>
      <c r="AN66" s="78">
        <f>SET!$J$11</f>
        <v>1.7339881849062175</v>
      </c>
      <c r="AO66" s="76">
        <f>SET!$C$12</f>
        <v>14</v>
      </c>
      <c r="AP66" s="502">
        <f t="shared" si="9"/>
        <v>14.000007494182459</v>
      </c>
      <c r="AQ66" s="77">
        <f>SET!$F$12</f>
        <v>3.0022522522522523</v>
      </c>
      <c r="AR66" s="78">
        <f>SET!$I$12</f>
        <v>2.7339881849062175</v>
      </c>
      <c r="AS66" s="64"/>
      <c r="AT66" s="60"/>
      <c r="AU66" s="60"/>
      <c r="AV66" s="60"/>
      <c r="AW66" s="76">
        <f>SET!$D$13</f>
        <v>7</v>
      </c>
      <c r="AX66" s="502">
        <f t="shared" si="139"/>
        <v>7</v>
      </c>
      <c r="AY66" s="77">
        <f>SET!$G$13</f>
        <v>3</v>
      </c>
      <c r="AZ66" s="78">
        <f>SET!$J$13</f>
        <v>1.1471290728667785</v>
      </c>
      <c r="BA66" s="76">
        <f>SET!$C$15</f>
        <v>11</v>
      </c>
      <c r="BB66" s="502">
        <f t="shared" si="140"/>
        <v>41.857870616209198</v>
      </c>
      <c r="BC66" s="77">
        <f>SET!$F$15</f>
        <v>3.3776276276276271</v>
      </c>
      <c r="BD66" s="78">
        <f>SET!$I$15</f>
        <v>2.1471290728667785</v>
      </c>
      <c r="BE66" s="64"/>
      <c r="BF66" s="60"/>
      <c r="BG66" s="60"/>
      <c r="BH66" s="61"/>
      <c r="BI66" s="923">
        <f t="shared" si="106"/>
        <v>-7.4941824692587033E-6</v>
      </c>
    </row>
    <row r="67" spans="1:61" s="44" customFormat="1" x14ac:dyDescent="0.2">
      <c r="A67" s="941" t="s">
        <v>139</v>
      </c>
      <c r="B67" s="45" t="str">
        <f>hr!$A$9</f>
        <v>AM</v>
      </c>
      <c r="C67" s="839"/>
      <c r="D67" s="839">
        <f>D49</f>
        <v>5.8835193623023349E-2</v>
      </c>
      <c r="E67" s="839">
        <f>E49</f>
        <v>4.9321570635281384</v>
      </c>
      <c r="F67" s="839">
        <f>D67/$AD67*$AG67</f>
        <v>7.8226842312320706</v>
      </c>
      <c r="G67" s="893">
        <f t="shared" si="114"/>
        <v>0</v>
      </c>
      <c r="H67" s="894">
        <f t="shared" si="115"/>
        <v>7.8226842312320706</v>
      </c>
      <c r="I67" s="839">
        <f>I49</f>
        <v>0.12281713618037686</v>
      </c>
      <c r="J67" s="839">
        <f t="shared" si="33"/>
        <v>16.329676429370192</v>
      </c>
      <c r="K67" s="893">
        <f t="shared" si="38"/>
        <v>0</v>
      </c>
      <c r="L67" s="894">
        <f t="shared" si="2"/>
        <v>16.329676429370192</v>
      </c>
      <c r="M67" s="892"/>
      <c r="N67" s="839"/>
      <c r="O67" s="893"/>
      <c r="P67" s="895"/>
      <c r="Q67" s="839">
        <f t="shared" si="137"/>
        <v>0.1069619657902017</v>
      </c>
      <c r="R67" s="839">
        <f t="shared" si="137"/>
        <v>0.34375484265363798</v>
      </c>
      <c r="S67" s="839">
        <f>Q67/$AD67*$AG67</f>
        <v>14.221584592545074</v>
      </c>
      <c r="T67" s="893">
        <f t="shared" si="89"/>
        <v>0</v>
      </c>
      <c r="U67" s="894">
        <f t="shared" si="90"/>
        <v>14.221584592545074</v>
      </c>
      <c r="V67" s="839">
        <f t="shared" ref="V67" si="143">V55</f>
        <v>0.23679287686343634</v>
      </c>
      <c r="W67" s="839">
        <f t="shared" si="99"/>
        <v>31.483807392159548</v>
      </c>
      <c r="X67" s="893">
        <f t="shared" si="11"/>
        <v>0</v>
      </c>
      <c r="Y67" s="894">
        <f t="shared" si="100"/>
        <v>31.483807392159548</v>
      </c>
      <c r="Z67" s="892"/>
      <c r="AA67" s="839"/>
      <c r="AB67" s="893"/>
      <c r="AC67" s="895"/>
      <c r="AD67" s="912">
        <f t="shared" si="101"/>
        <v>0.5254081724570383</v>
      </c>
      <c r="AE67" s="903">
        <f>$AE$43</f>
        <v>90</v>
      </c>
      <c r="AF67" s="893">
        <f t="shared" si="102"/>
        <v>20.142114395425875</v>
      </c>
      <c r="AG67" s="894">
        <f t="shared" si="103"/>
        <v>69.857885604574122</v>
      </c>
      <c r="AH67" s="891">
        <f t="shared" si="104"/>
        <v>69.857885604574122</v>
      </c>
      <c r="AI67" s="891">
        <f t="shared" si="105"/>
        <v>69.857762645306892</v>
      </c>
      <c r="AJ67" s="920"/>
      <c r="AK67" s="69">
        <f>SET!$D$11</f>
        <v>7</v>
      </c>
      <c r="AL67" s="70">
        <f t="shared" si="116"/>
        <v>7.8226980002318838</v>
      </c>
      <c r="AM67" s="71">
        <f>SET!$G$11</f>
        <v>3</v>
      </c>
      <c r="AN67" s="72">
        <f>SET!$J$11</f>
        <v>1.7339881849062175</v>
      </c>
      <c r="AO67" s="69">
        <f>SET!$C$12</f>
        <v>14</v>
      </c>
      <c r="AP67" s="70">
        <f t="shared" si="9"/>
        <v>16.32970517184593</v>
      </c>
      <c r="AQ67" s="71">
        <f>SET!$F$12</f>
        <v>3.0022522522522523</v>
      </c>
      <c r="AR67" s="72">
        <f>SET!$I$12</f>
        <v>2.7339881849062175</v>
      </c>
      <c r="AS67" s="63"/>
      <c r="AT67" s="56"/>
      <c r="AU67" s="56"/>
      <c r="AV67" s="56"/>
      <c r="AW67" s="69">
        <f>SET!$D$14</f>
        <v>7</v>
      </c>
      <c r="AX67" s="70">
        <f>U67/$AI67*$AH67+T67</f>
        <v>14.22160962448933</v>
      </c>
      <c r="AY67" s="71">
        <f>SET!$G$14</f>
        <v>3</v>
      </c>
      <c r="AZ67" s="72">
        <f>SET!$J$14</f>
        <v>1.1471290728667785</v>
      </c>
      <c r="BA67" s="69">
        <f>SET!$C$15</f>
        <v>11</v>
      </c>
      <c r="BB67" s="70">
        <f>Y67/$AI67*$AH67+X67</f>
        <v>31.483862807989372</v>
      </c>
      <c r="BC67" s="71">
        <f>SET!$F$15</f>
        <v>3.3776276276276271</v>
      </c>
      <c r="BD67" s="72">
        <f>SET!$I$15</f>
        <v>2.1471290728667785</v>
      </c>
      <c r="BE67" s="63"/>
      <c r="BF67" s="56"/>
      <c r="BG67" s="56"/>
      <c r="BH67" s="57"/>
      <c r="BI67" s="921">
        <f t="shared" si="106"/>
        <v>-1.0000017610423129E-5</v>
      </c>
    </row>
    <row r="68" spans="1:61" s="44" customFormat="1" x14ac:dyDescent="0.2">
      <c r="A68" s="941" t="s">
        <v>139</v>
      </c>
      <c r="B68" s="45" t="str">
        <f>hr!$A$10</f>
        <v>off</v>
      </c>
      <c r="C68" s="839"/>
      <c r="D68" s="839">
        <f t="shared" ref="D68:E69" si="144">D50</f>
        <v>0</v>
      </c>
      <c r="E68" s="839">
        <f t="shared" si="144"/>
        <v>0.10958151082995241</v>
      </c>
      <c r="F68" s="839">
        <f t="shared" ref="F68" si="145">D68/$AD68*$AG68</f>
        <v>0</v>
      </c>
      <c r="G68" s="893">
        <f t="shared" si="114"/>
        <v>7</v>
      </c>
      <c r="H68" s="894">
        <f t="shared" si="115"/>
        <v>0</v>
      </c>
      <c r="I68" s="839">
        <f t="shared" ref="I68" si="146">I50</f>
        <v>7.8507689709586451E-2</v>
      </c>
      <c r="J68" s="839">
        <f t="shared" si="33"/>
        <v>24.594022626242225</v>
      </c>
      <c r="K68" s="893">
        <f t="shared" si="38"/>
        <v>0</v>
      </c>
      <c r="L68" s="894">
        <f t="shared" si="2"/>
        <v>24.594022626242225</v>
      </c>
      <c r="M68" s="892"/>
      <c r="N68" s="839"/>
      <c r="O68" s="893"/>
      <c r="P68" s="895"/>
      <c r="Q68" s="839">
        <f t="shared" si="137"/>
        <v>0</v>
      </c>
      <c r="R68" s="839">
        <f t="shared" si="137"/>
        <v>0.1125663686951168</v>
      </c>
      <c r="S68" s="839">
        <f t="shared" ref="S68:S69" si="147">Q68/$AD68*$AG68</f>
        <v>0</v>
      </c>
      <c r="T68" s="893">
        <f t="shared" si="89"/>
        <v>7</v>
      </c>
      <c r="U68" s="894">
        <f t="shared" si="90"/>
        <v>0</v>
      </c>
      <c r="V68" s="839">
        <f>V56</f>
        <v>0.1125663686951168</v>
      </c>
      <c r="W68" s="839">
        <f t="shared" si="99"/>
        <v>35.26354970936783</v>
      </c>
      <c r="X68" s="893">
        <f t="shared" si="11"/>
        <v>0</v>
      </c>
      <c r="Y68" s="894">
        <f t="shared" si="100"/>
        <v>35.26354970936783</v>
      </c>
      <c r="Z68" s="892"/>
      <c r="AA68" s="839"/>
      <c r="AB68" s="893"/>
      <c r="AC68" s="895"/>
      <c r="AD68" s="912">
        <f t="shared" si="101"/>
        <v>0.19107505840470326</v>
      </c>
      <c r="AE68" s="904">
        <f>$AE$44</f>
        <v>80</v>
      </c>
      <c r="AF68" s="893">
        <f t="shared" si="102"/>
        <v>20.142114395425875</v>
      </c>
      <c r="AG68" s="894">
        <f t="shared" si="103"/>
        <v>59.857885604574122</v>
      </c>
      <c r="AH68" s="891">
        <f t="shared" si="104"/>
        <v>45.857885604574122</v>
      </c>
      <c r="AI68" s="891">
        <f t="shared" si="105"/>
        <v>59.857582335610061</v>
      </c>
      <c r="AJ68" s="920"/>
      <c r="AK68" s="73">
        <f>SET!$D$11</f>
        <v>7</v>
      </c>
      <c r="AL68" s="501">
        <f t="shared" si="116"/>
        <v>7</v>
      </c>
      <c r="AM68" s="74">
        <f>SET!$G$11</f>
        <v>3</v>
      </c>
      <c r="AN68" s="75">
        <f>SET!$J$11</f>
        <v>1.7339881849062175</v>
      </c>
      <c r="AO68" s="73">
        <f>SET!$C$12</f>
        <v>14</v>
      </c>
      <c r="AP68" s="501">
        <f t="shared" si="9"/>
        <v>18.841888231084848</v>
      </c>
      <c r="AQ68" s="74">
        <f>SET!$F$12</f>
        <v>3.0022522522522523</v>
      </c>
      <c r="AR68" s="75">
        <f>SET!$I$12</f>
        <v>2.7339881849062175</v>
      </c>
      <c r="AS68" s="63"/>
      <c r="AT68" s="56"/>
      <c r="AU68" s="56"/>
      <c r="AV68" s="56"/>
      <c r="AW68" s="73">
        <f>SET!$D$14</f>
        <v>7</v>
      </c>
      <c r="AX68" s="501">
        <f t="shared" ref="AX68:AX69" si="148">U68/$AI68*$AH68+T68</f>
        <v>7</v>
      </c>
      <c r="AY68" s="74">
        <f>SET!$G$14</f>
        <v>3</v>
      </c>
      <c r="AZ68" s="75">
        <f>SET!$J$14</f>
        <v>1.1471290728667785</v>
      </c>
      <c r="BA68" s="73">
        <f>SET!$C$15</f>
        <v>11</v>
      </c>
      <c r="BB68" s="501">
        <f t="shared" ref="BB68:BB69" si="149">Y68/$AI68*$AH68+X68</f>
        <v>27.015989712323577</v>
      </c>
      <c r="BC68" s="74">
        <f>SET!$F$15</f>
        <v>3.3776276276276271</v>
      </c>
      <c r="BD68" s="75">
        <f>SET!$I$15</f>
        <v>2.1471290728667785</v>
      </c>
      <c r="BE68" s="63"/>
      <c r="BF68" s="56"/>
      <c r="BG68" s="56"/>
      <c r="BH68" s="57"/>
      <c r="BI68" s="922">
        <f t="shared" si="106"/>
        <v>-7.661165696504213E-6</v>
      </c>
    </row>
    <row r="69" spans="1:61" s="44" customFormat="1" x14ac:dyDescent="0.2">
      <c r="A69" s="942" t="s">
        <v>139</v>
      </c>
      <c r="B69" s="510" t="str">
        <f>hr!$A$11</f>
        <v>PM</v>
      </c>
      <c r="C69" s="897"/>
      <c r="D69" s="839">
        <f t="shared" si="144"/>
        <v>9.5408844345642757E-2</v>
      </c>
      <c r="E69" s="839">
        <f t="shared" si="144"/>
        <v>1.5051782225695733</v>
      </c>
      <c r="F69" s="897">
        <f>D69/$AD69*$AG69</f>
        <v>1.4932299701720684</v>
      </c>
      <c r="G69" s="899">
        <f t="shared" si="114"/>
        <v>7</v>
      </c>
      <c r="H69" s="900">
        <f t="shared" si="115"/>
        <v>0</v>
      </c>
      <c r="I69" s="839">
        <f t="shared" ref="I69" si="150">I51</f>
        <v>0.1712762591018645</v>
      </c>
      <c r="J69" s="897">
        <f t="shared" si="33"/>
        <v>2.680619863115874</v>
      </c>
      <c r="K69" s="899">
        <f t="shared" si="38"/>
        <v>14</v>
      </c>
      <c r="L69" s="900">
        <f t="shared" si="2"/>
        <v>1.0000000000000001E-5</v>
      </c>
      <c r="M69" s="898"/>
      <c r="N69" s="897"/>
      <c r="O69" s="899"/>
      <c r="P69" s="901"/>
      <c r="Q69" s="839">
        <f t="shared" si="137"/>
        <v>3.0855616920697375E-2</v>
      </c>
      <c r="R69" s="839">
        <f t="shared" si="137"/>
        <v>4.1968327564066783</v>
      </c>
      <c r="S69" s="839">
        <f t="shared" si="147"/>
        <v>0.48291678041101749</v>
      </c>
      <c r="T69" s="899">
        <f t="shared" si="89"/>
        <v>7</v>
      </c>
      <c r="U69" s="900">
        <f t="shared" si="90"/>
        <v>0</v>
      </c>
      <c r="V69" s="839">
        <f t="shared" ref="V69" si="151">V57</f>
        <v>4.1659771394859808</v>
      </c>
      <c r="W69" s="897">
        <f t="shared" si="99"/>
        <v>65.201103340020353</v>
      </c>
      <c r="X69" s="899">
        <f t="shared" si="11"/>
        <v>0</v>
      </c>
      <c r="Y69" s="900">
        <f t="shared" si="100"/>
        <v>65.201103340020353</v>
      </c>
      <c r="Z69" s="898"/>
      <c r="AA69" s="897"/>
      <c r="AB69" s="899"/>
      <c r="AC69" s="901"/>
      <c r="AD69" s="913">
        <f t="shared" si="101"/>
        <v>4.4635188598541857</v>
      </c>
      <c r="AE69" s="905">
        <f>$AE$45</f>
        <v>90</v>
      </c>
      <c r="AF69" s="899">
        <f t="shared" si="102"/>
        <v>20.142114395425875</v>
      </c>
      <c r="AG69" s="900">
        <f t="shared" si="103"/>
        <v>69.857885604574122</v>
      </c>
      <c r="AH69" s="891">
        <f t="shared" si="104"/>
        <v>41.857885604574122</v>
      </c>
      <c r="AI69" s="891">
        <f t="shared" si="105"/>
        <v>65.201123340020359</v>
      </c>
      <c r="AJ69" s="920"/>
      <c r="AK69" s="76">
        <f>SET!$D$11</f>
        <v>7</v>
      </c>
      <c r="AL69" s="502">
        <f t="shared" si="116"/>
        <v>7</v>
      </c>
      <c r="AM69" s="77">
        <f>SET!$G$11</f>
        <v>3</v>
      </c>
      <c r="AN69" s="78">
        <f>SET!$J$11</f>
        <v>1.7339881849062175</v>
      </c>
      <c r="AO69" s="76">
        <f>SET!$C$12</f>
        <v>14</v>
      </c>
      <c r="AP69" s="502">
        <f t="shared" si="9"/>
        <v>14.000006419810497</v>
      </c>
      <c r="AQ69" s="77">
        <f>SET!$F$12</f>
        <v>3.0022522522522523</v>
      </c>
      <c r="AR69" s="78">
        <f>SET!$I$12</f>
        <v>2.7339881849062175</v>
      </c>
      <c r="AS69" s="64"/>
      <c r="AT69" s="60"/>
      <c r="AU69" s="60"/>
      <c r="AV69" s="60"/>
      <c r="AW69" s="76">
        <f>SET!$D$14</f>
        <v>7</v>
      </c>
      <c r="AX69" s="502">
        <f t="shared" si="148"/>
        <v>7</v>
      </c>
      <c r="AY69" s="77">
        <f>SET!$G$14</f>
        <v>3</v>
      </c>
      <c r="AZ69" s="78">
        <f>SET!$J$14</f>
        <v>1.1471290728667785</v>
      </c>
      <c r="BA69" s="76">
        <f>SET!$C$15</f>
        <v>11</v>
      </c>
      <c r="BB69" s="502">
        <f t="shared" si="149"/>
        <v>41.857872764953122</v>
      </c>
      <c r="BC69" s="77">
        <f>SET!$F$15</f>
        <v>3.3776276276276271</v>
      </c>
      <c r="BD69" s="78">
        <f>SET!$I$15</f>
        <v>2.1471290728667785</v>
      </c>
      <c r="BE69" s="64"/>
      <c r="BF69" s="60"/>
      <c r="BG69" s="60"/>
      <c r="BH69" s="61"/>
      <c r="BI69" s="923">
        <f t="shared" si="106"/>
        <v>-6.4198105178547848E-6</v>
      </c>
    </row>
    <row r="70" spans="1:61" s="44" customFormat="1" x14ac:dyDescent="0.2">
      <c r="A70" s="934" t="s">
        <v>140</v>
      </c>
      <c r="B70" s="45" t="str">
        <f>hr!$A$9</f>
        <v>AM</v>
      </c>
      <c r="C70" s="839"/>
      <c r="D70" s="892">
        <f>MAX(H16:K16)</f>
        <v>0.12281713618037686</v>
      </c>
      <c r="E70" s="839"/>
      <c r="F70" s="839">
        <f>D70/$AD70*$AG70</f>
        <v>2.031763371125912</v>
      </c>
      <c r="G70" s="893">
        <f t="shared" si="114"/>
        <v>14</v>
      </c>
      <c r="H70" s="894">
        <f t="shared" si="115"/>
        <v>0</v>
      </c>
      <c r="I70" s="892"/>
      <c r="J70" s="839"/>
      <c r="K70" s="893"/>
      <c r="L70" s="895"/>
      <c r="M70" s="892">
        <f>MAX(S16:V16)</f>
        <v>0.20968697370143205</v>
      </c>
      <c r="N70" s="839">
        <f>M70/$AD70*$AG70</f>
        <v>3.4688507305943985</v>
      </c>
      <c r="O70" s="893">
        <f>IF(N70&gt;AS70,0,AS70)</f>
        <v>14</v>
      </c>
      <c r="P70" s="894">
        <f t="shared" ref="P70:P72" si="152">IF(O70=0,N70,0)</f>
        <v>0</v>
      </c>
      <c r="Q70" s="892"/>
      <c r="R70" s="839"/>
      <c r="S70" s="839"/>
      <c r="T70" s="893"/>
      <c r="U70" s="895"/>
      <c r="V70" s="892">
        <f>MAX(AD8:AF8,AO8:AQ8)</f>
        <v>4.0804055379509379</v>
      </c>
      <c r="W70" s="839">
        <f t="shared" si="99"/>
        <v>67.502131780472524</v>
      </c>
      <c r="X70" s="893">
        <f t="shared" si="11"/>
        <v>0</v>
      </c>
      <c r="Y70" s="894">
        <f t="shared" si="100"/>
        <v>67.502131780472524</v>
      </c>
      <c r="Z70" s="892"/>
      <c r="AA70" s="839"/>
      <c r="AB70" s="893"/>
      <c r="AC70" s="895"/>
      <c r="AD70" s="912">
        <f t="shared" si="101"/>
        <v>4.4129106478327467</v>
      </c>
      <c r="AE70" s="903">
        <f>$AE$25+10</f>
        <v>90</v>
      </c>
      <c r="AF70" s="893">
        <f t="shared" si="102"/>
        <v>16.997237574811344</v>
      </c>
      <c r="AG70" s="894">
        <f t="shared" si="103"/>
        <v>73.002762425188649</v>
      </c>
      <c r="AH70" s="891">
        <f t="shared" si="104"/>
        <v>45.002762425188649</v>
      </c>
      <c r="AI70" s="891">
        <f t="shared" si="105"/>
        <v>67.502141780472527</v>
      </c>
      <c r="AJ70" s="920"/>
      <c r="AK70" s="69">
        <f>SET!$C$10+1</f>
        <v>14</v>
      </c>
      <c r="AL70" s="70">
        <f t="shared" si="116"/>
        <v>14</v>
      </c>
      <c r="AM70" s="71">
        <f>SET!$F$10</f>
        <v>3.0022522522522523</v>
      </c>
      <c r="AN70" s="72">
        <f>SET!$I$10</f>
        <v>2.7339881849062175</v>
      </c>
      <c r="AO70" s="56"/>
      <c r="AP70" s="56"/>
      <c r="AQ70" s="56"/>
      <c r="AR70" s="56"/>
      <c r="AS70" s="69">
        <f>SET!$C$11+1</f>
        <v>14</v>
      </c>
      <c r="AT70" s="70">
        <f>P70/$AI70*$AH70+O70</f>
        <v>14</v>
      </c>
      <c r="AU70" s="71">
        <f>SET!$F$11</f>
        <v>3.0022522522522523</v>
      </c>
      <c r="AV70" s="72">
        <f>SET!$I$11</f>
        <v>2.7339881849062175</v>
      </c>
      <c r="AW70" s="63"/>
      <c r="AX70" s="56"/>
      <c r="AY70" s="56"/>
      <c r="AZ70" s="56"/>
      <c r="BA70" s="69">
        <f>SET!$C$15</f>
        <v>11</v>
      </c>
      <c r="BB70" s="70">
        <f>Y70/$AI70*$AH70+X70</f>
        <v>45.00275575832427</v>
      </c>
      <c r="BC70" s="71">
        <f>SET!$F$15</f>
        <v>3.3776276276276271</v>
      </c>
      <c r="BD70" s="72">
        <f>SET!$I$15</f>
        <v>2.1471290728667785</v>
      </c>
      <c r="BE70" s="63"/>
      <c r="BF70" s="56"/>
      <c r="BG70" s="56"/>
      <c r="BH70" s="57"/>
      <c r="BI70" s="921">
        <f t="shared" si="106"/>
        <v>-6.6668643796674587E-6</v>
      </c>
    </row>
    <row r="71" spans="1:61" s="44" customFormat="1" x14ac:dyDescent="0.2">
      <c r="A71" s="934" t="s">
        <v>140</v>
      </c>
      <c r="B71" s="45" t="str">
        <f>hr!$A$10</f>
        <v>off</v>
      </c>
      <c r="C71" s="839"/>
      <c r="D71" s="892">
        <f>MAX(H17:K17)</f>
        <v>7.8507689709586451E-2</v>
      </c>
      <c r="E71" s="839"/>
      <c r="F71" s="839">
        <f>D71/$AD71*$AG71</f>
        <v>16.608443997382583</v>
      </c>
      <c r="G71" s="893">
        <f t="shared" si="114"/>
        <v>0</v>
      </c>
      <c r="H71" s="894">
        <f t="shared" si="115"/>
        <v>16.608443997382583</v>
      </c>
      <c r="I71" s="892"/>
      <c r="J71" s="839"/>
      <c r="K71" s="893"/>
      <c r="L71" s="895"/>
      <c r="M71" s="892">
        <f>MAX(S17:V17)</f>
        <v>0.10676423594533963</v>
      </c>
      <c r="N71" s="839">
        <f>M71/$AD71*$AG71</f>
        <v>22.586167548438151</v>
      </c>
      <c r="O71" s="893">
        <f>IF(N71&gt;AS71,0,AS71)</f>
        <v>0</v>
      </c>
      <c r="P71" s="894">
        <f t="shared" si="152"/>
        <v>22.586167548438151</v>
      </c>
      <c r="Q71" s="892"/>
      <c r="R71" s="839"/>
      <c r="S71" s="839"/>
      <c r="T71" s="893"/>
      <c r="U71" s="895"/>
      <c r="V71" s="892">
        <f>MAX(AD9:AF9,AO9:AQ9)</f>
        <v>0.11253951987597399</v>
      </c>
      <c r="W71" s="839">
        <f t="shared" si="99"/>
        <v>23.807939327556142</v>
      </c>
      <c r="X71" s="893">
        <f t="shared" si="11"/>
        <v>0</v>
      </c>
      <c r="Y71" s="894">
        <f t="shared" si="100"/>
        <v>23.807939327556142</v>
      </c>
      <c r="Z71" s="892"/>
      <c r="AA71" s="839"/>
      <c r="AB71" s="893"/>
      <c r="AC71" s="895"/>
      <c r="AD71" s="912">
        <f t="shared" si="101"/>
        <v>0.29781244553090003</v>
      </c>
      <c r="AE71" s="904">
        <f>$AE$26+10</f>
        <v>80</v>
      </c>
      <c r="AF71" s="893">
        <f t="shared" si="102"/>
        <v>16.997237574811344</v>
      </c>
      <c r="AG71" s="894">
        <f t="shared" si="103"/>
        <v>63.002762425188656</v>
      </c>
      <c r="AH71" s="891">
        <f t="shared" si="104"/>
        <v>63.002762425188656</v>
      </c>
      <c r="AI71" s="891">
        <f t="shared" si="105"/>
        <v>63.002560873376879</v>
      </c>
      <c r="AJ71" s="920"/>
      <c r="AK71" s="69">
        <f>SET!$C$10+1</f>
        <v>14</v>
      </c>
      <c r="AL71" s="501">
        <f t="shared" si="116"/>
        <v>16.608497129539945</v>
      </c>
      <c r="AM71" s="74">
        <f>SET!$F$10</f>
        <v>3.0022522522522523</v>
      </c>
      <c r="AN71" s="75">
        <f>SET!$I$10</f>
        <v>2.7339881849062175</v>
      </c>
      <c r="AO71" s="56"/>
      <c r="AP71" s="56"/>
      <c r="AQ71" s="56"/>
      <c r="AR71" s="56"/>
      <c r="AS71" s="69">
        <f>SET!$C$11+1</f>
        <v>14</v>
      </c>
      <c r="AT71" s="501">
        <f>P71/$AI71*$AH71+O71</f>
        <v>22.586239803961217</v>
      </c>
      <c r="AU71" s="74">
        <f>SET!$F$11</f>
        <v>3.0022522522522523</v>
      </c>
      <c r="AV71" s="75">
        <f>SET!$I$11</f>
        <v>2.7339881849062175</v>
      </c>
      <c r="AW71" s="63"/>
      <c r="AX71" s="56"/>
      <c r="AY71" s="56"/>
      <c r="AZ71" s="56"/>
      <c r="BA71" s="73">
        <f>SET!$C$15</f>
        <v>11</v>
      </c>
      <c r="BB71" s="501">
        <f t="shared" ref="BB71:BB72" si="153">Y71/$AI71*$AH71+X71</f>
        <v>23.8080154916555</v>
      </c>
      <c r="BC71" s="74">
        <f>SET!$F$15</f>
        <v>3.3776276276276271</v>
      </c>
      <c r="BD71" s="75">
        <f>SET!$I$15</f>
        <v>2.1471290728667785</v>
      </c>
      <c r="BE71" s="63"/>
      <c r="BF71" s="56"/>
      <c r="BG71" s="56"/>
      <c r="BH71" s="57"/>
      <c r="BI71" s="922">
        <f t="shared" si="106"/>
        <v>-1.00000319918081E-5</v>
      </c>
    </row>
    <row r="72" spans="1:61" s="44" customFormat="1" x14ac:dyDescent="0.2">
      <c r="A72" s="935" t="s">
        <v>140</v>
      </c>
      <c r="B72" s="510" t="str">
        <f>hr!$A$11</f>
        <v>PM</v>
      </c>
      <c r="C72" s="897"/>
      <c r="D72" s="898">
        <f>MAX(H18:K18)</f>
        <v>0.1712762591018645</v>
      </c>
      <c r="E72" s="897"/>
      <c r="F72" s="897">
        <f>D72/$AD72*$AG72</f>
        <v>3.3520502730870319</v>
      </c>
      <c r="G72" s="899">
        <f t="shared" si="114"/>
        <v>14</v>
      </c>
      <c r="H72" s="900">
        <f t="shared" si="115"/>
        <v>0</v>
      </c>
      <c r="I72" s="898"/>
      <c r="J72" s="897"/>
      <c r="K72" s="899"/>
      <c r="L72" s="901"/>
      <c r="M72" s="898">
        <f>MAX(S18:V18)</f>
        <v>0.15951295936781371</v>
      </c>
      <c r="N72" s="897">
        <f>M72/$AD72*$AG72</f>
        <v>3.121830554997099</v>
      </c>
      <c r="O72" s="899">
        <f>IF(N72&gt;AS72,0,AS72)</f>
        <v>14</v>
      </c>
      <c r="P72" s="900">
        <f t="shared" si="152"/>
        <v>0</v>
      </c>
      <c r="Q72" s="898"/>
      <c r="R72" s="897"/>
      <c r="S72" s="897"/>
      <c r="T72" s="899"/>
      <c r="U72" s="901"/>
      <c r="V72" s="898">
        <f>MAX(AD10:AF10,AO10:AQ10)</f>
        <v>3.3993567165801313</v>
      </c>
      <c r="W72" s="897">
        <f t="shared" si="99"/>
        <v>66.5288620260893</v>
      </c>
      <c r="X72" s="899">
        <f t="shared" si="11"/>
        <v>0</v>
      </c>
      <c r="Y72" s="900">
        <f t="shared" si="100"/>
        <v>66.5288620260893</v>
      </c>
      <c r="Z72" s="898"/>
      <c r="AA72" s="897"/>
      <c r="AB72" s="899"/>
      <c r="AC72" s="900"/>
      <c r="AD72" s="913">
        <f t="shared" si="101"/>
        <v>3.7301469350498095</v>
      </c>
      <c r="AE72" s="905">
        <f>$AE$27+10</f>
        <v>90</v>
      </c>
      <c r="AF72" s="899">
        <f t="shared" si="102"/>
        <v>16.997237574811344</v>
      </c>
      <c r="AG72" s="900">
        <f t="shared" si="103"/>
        <v>73.002762425188649</v>
      </c>
      <c r="AH72" s="906">
        <f t="shared" si="104"/>
        <v>45.002762425188649</v>
      </c>
      <c r="AI72" s="891">
        <f t="shared" si="105"/>
        <v>66.528872026089303</v>
      </c>
      <c r="AJ72" s="920"/>
      <c r="AK72" s="69">
        <f>SET!$C$10+1</f>
        <v>14</v>
      </c>
      <c r="AL72" s="502">
        <f t="shared" si="116"/>
        <v>14</v>
      </c>
      <c r="AM72" s="77">
        <f>SET!$F$10</f>
        <v>3.0022522522522523</v>
      </c>
      <c r="AN72" s="78">
        <f>SET!$I$10</f>
        <v>2.7339881849062175</v>
      </c>
      <c r="AO72" s="60"/>
      <c r="AP72" s="60"/>
      <c r="AQ72" s="60"/>
      <c r="AR72" s="60"/>
      <c r="AS72" s="69">
        <f>SET!$C$11+1</f>
        <v>14</v>
      </c>
      <c r="AT72" s="502">
        <f>P72/$AI72*$AH72+O72</f>
        <v>14</v>
      </c>
      <c r="AU72" s="77">
        <f>SET!$F$11</f>
        <v>3.0022522522522523</v>
      </c>
      <c r="AV72" s="78">
        <f>SET!$I$11</f>
        <v>2.7339881849062175</v>
      </c>
      <c r="AW72" s="64"/>
      <c r="AX72" s="60"/>
      <c r="AY72" s="60"/>
      <c r="AZ72" s="60"/>
      <c r="BA72" s="76">
        <f>SET!$C$15</f>
        <v>11</v>
      </c>
      <c r="BB72" s="502">
        <f t="shared" si="153"/>
        <v>45.002755660792822</v>
      </c>
      <c r="BC72" s="77">
        <f>SET!$F$15</f>
        <v>3.3776276276276271</v>
      </c>
      <c r="BD72" s="78">
        <f>SET!$I$15</f>
        <v>2.1471290728667785</v>
      </c>
      <c r="BE72" s="64"/>
      <c r="BF72" s="60"/>
      <c r="BG72" s="60"/>
      <c r="BH72" s="61"/>
      <c r="BI72" s="923">
        <f t="shared" si="106"/>
        <v>-6.7643958345797728E-6</v>
      </c>
    </row>
    <row r="73" spans="1:61" s="44" customFormat="1" x14ac:dyDescent="0.2">
      <c r="A73" s="934" t="s">
        <v>141</v>
      </c>
      <c r="B73" s="45" t="str">
        <f>hr!$A$9</f>
        <v>AM</v>
      </c>
      <c r="C73" s="839"/>
      <c r="D73" s="892"/>
      <c r="E73" s="839"/>
      <c r="F73" s="893"/>
      <c r="G73" s="893"/>
      <c r="H73" s="894"/>
      <c r="I73" s="892">
        <f>MAX(H8:J8,S8:U8)</f>
        <v>0.76817548052035123</v>
      </c>
      <c r="J73" s="839">
        <f>I73/$AD73*$AG73</f>
        <v>43.076957984761712</v>
      </c>
      <c r="K73" s="893">
        <f>IF(J73&gt;AO73,0,AO73)</f>
        <v>0</v>
      </c>
      <c r="L73" s="894">
        <f>IF(K73=0,J73,0.00001)</f>
        <v>43.076957984761712</v>
      </c>
      <c r="M73" s="892"/>
      <c r="N73" s="893"/>
      <c r="O73" s="893"/>
      <c r="P73" s="894"/>
      <c r="Q73" s="892">
        <f>MAX(AD16:AG16)</f>
        <v>0.23736755623273167</v>
      </c>
      <c r="R73" s="839"/>
      <c r="S73" s="893">
        <f>Q73/$AD73*$AG73</f>
        <v>13.310854753990098</v>
      </c>
      <c r="T73" s="893">
        <f t="shared" ref="T73:T75" si="154">IF(S73&gt;AW73,0,AW73)</f>
        <v>0</v>
      </c>
      <c r="U73" s="894">
        <f t="shared" ref="U73:U75" si="155">IF(T73=0,S73,0)</f>
        <v>13.310854753990098</v>
      </c>
      <c r="V73" s="892"/>
      <c r="W73" s="839"/>
      <c r="X73" s="893"/>
      <c r="Y73" s="894"/>
      <c r="Z73" s="892">
        <f>MAX(AO16:AR16)</f>
        <v>0.30005857209900094</v>
      </c>
      <c r="AA73" s="893">
        <f t="shared" ref="AA73:AA84" si="156">Z73/$AD73*$AG73</f>
        <v>16.826377346124911</v>
      </c>
      <c r="AB73" s="893">
        <f t="shared" ref="AB73:AB84" si="157">IF(AA73&gt;BE73,0,BE73)</f>
        <v>0</v>
      </c>
      <c r="AC73" s="894">
        <f t="shared" ref="AC73:AC84" si="158">IF(AB73=0,AA73,0)</f>
        <v>16.826377346124911</v>
      </c>
      <c r="AD73" s="912">
        <f t="shared" si="101"/>
        <v>1.3056026088520838</v>
      </c>
      <c r="AE73" s="904">
        <f>$AE$25+10</f>
        <v>90</v>
      </c>
      <c r="AF73" s="893">
        <f t="shared" si="102"/>
        <v>16.785753838147279</v>
      </c>
      <c r="AG73" s="894">
        <f t="shared" si="103"/>
        <v>73.214246161852714</v>
      </c>
      <c r="AH73" s="928">
        <f t="shared" si="104"/>
        <v>73.214246161852714</v>
      </c>
      <c r="AI73" s="891">
        <f t="shared" si="105"/>
        <v>73.214200084876722</v>
      </c>
      <c r="AJ73" s="920"/>
      <c r="AK73" s="149"/>
      <c r="AL73" s="56"/>
      <c r="AM73" s="56"/>
      <c r="AN73" s="56"/>
      <c r="AO73" s="69">
        <f>SET!$C$12</f>
        <v>14</v>
      </c>
      <c r="AP73" s="70">
        <f>L73/$AI73*$AH73+K73</f>
        <v>43.076985095021151</v>
      </c>
      <c r="AQ73" s="71">
        <f>SET!$F$12</f>
        <v>3.0022522522522523</v>
      </c>
      <c r="AR73" s="72">
        <f>SET!$I$12</f>
        <v>2.7339881849062175</v>
      </c>
      <c r="AS73" s="63"/>
      <c r="AT73" s="56"/>
      <c r="AU73" s="56"/>
      <c r="AV73" s="56"/>
      <c r="AW73" s="69">
        <f>SET!$C$13+1</f>
        <v>11</v>
      </c>
      <c r="AX73" s="70">
        <f>U73/$AI73*$AH73+T73</f>
        <v>13.3108631311073</v>
      </c>
      <c r="AY73" s="71">
        <f>SET!$F$13</f>
        <v>3.3776276276276271</v>
      </c>
      <c r="AZ73" s="72">
        <f>SET!$I$13</f>
        <v>2.1471290728667785</v>
      </c>
      <c r="BA73" s="63"/>
      <c r="BB73" s="56"/>
      <c r="BC73" s="56"/>
      <c r="BD73" s="56"/>
      <c r="BE73" s="69">
        <f>SET!$C$14+1</f>
        <v>11</v>
      </c>
      <c r="BF73" s="70">
        <f>AC73/$AI73*$AH73+AB73</f>
        <v>16.826387935717971</v>
      </c>
      <c r="BG73" s="71">
        <f>SET!$F$14</f>
        <v>3.3776276276276271</v>
      </c>
      <c r="BH73" s="72">
        <f>SET!$I$14</f>
        <v>2.1471290728667785</v>
      </c>
      <c r="BI73" s="921">
        <f t="shared" si="106"/>
        <v>-1.0000006298582775E-5</v>
      </c>
    </row>
    <row r="74" spans="1:61" s="44" customFormat="1" x14ac:dyDescent="0.2">
      <c r="A74" s="934" t="s">
        <v>141</v>
      </c>
      <c r="B74" s="45" t="str">
        <f>hr!$A$10</f>
        <v>off</v>
      </c>
      <c r="C74" s="839"/>
      <c r="D74" s="892"/>
      <c r="E74" s="839"/>
      <c r="F74" s="893"/>
      <c r="G74" s="893"/>
      <c r="H74" s="894"/>
      <c r="I74" s="892">
        <f>MAX(H9:J9,S9:U9)</f>
        <v>0.10640149755932501</v>
      </c>
      <c r="J74" s="839">
        <f>I74/$AD74*$AG74</f>
        <v>20.458134682260354</v>
      </c>
      <c r="K74" s="893">
        <f>IF(J74&gt;AO74,0,AO74)</f>
        <v>0</v>
      </c>
      <c r="L74" s="894">
        <f>IF(K74=0,J74,0.00001)</f>
        <v>20.458134682260354</v>
      </c>
      <c r="M74" s="892"/>
      <c r="N74" s="893"/>
      <c r="O74" s="893"/>
      <c r="P74" s="894"/>
      <c r="Q74" s="892">
        <f>MAX(AD17:AG17)</f>
        <v>0.11278938973177743</v>
      </c>
      <c r="R74" s="839"/>
      <c r="S74" s="893">
        <f>Q74/$AD74*$AG74</f>
        <v>21.68635384644011</v>
      </c>
      <c r="T74" s="893">
        <f t="shared" si="154"/>
        <v>0</v>
      </c>
      <c r="U74" s="894">
        <f t="shared" si="155"/>
        <v>21.68635384644011</v>
      </c>
      <c r="V74" s="892"/>
      <c r="W74" s="839"/>
      <c r="X74" s="893"/>
      <c r="Y74" s="894"/>
      <c r="Z74" s="892">
        <f>MAX(AO17:AR17)</f>
        <v>0.10958151082995241</v>
      </c>
      <c r="AA74" s="893">
        <f t="shared" si="156"/>
        <v>21.069565360156567</v>
      </c>
      <c r="AB74" s="893">
        <f t="shared" si="157"/>
        <v>0</v>
      </c>
      <c r="AC74" s="894">
        <f t="shared" si="158"/>
        <v>21.069565360156567</v>
      </c>
      <c r="AD74" s="912">
        <f t="shared" si="101"/>
        <v>0.32877339812105483</v>
      </c>
      <c r="AE74" s="904">
        <f>$AE$26+10</f>
        <v>80</v>
      </c>
      <c r="AF74" s="893">
        <f t="shared" si="102"/>
        <v>16.785753838147279</v>
      </c>
      <c r="AG74" s="894">
        <f t="shared" si="103"/>
        <v>63.214246161852721</v>
      </c>
      <c r="AH74" s="891">
        <f t="shared" si="104"/>
        <v>63.214246161852721</v>
      </c>
      <c r="AI74" s="891">
        <f t="shared" si="105"/>
        <v>63.214063888857034</v>
      </c>
      <c r="AJ74" s="920"/>
      <c r="AK74" s="149"/>
      <c r="AL74" s="56"/>
      <c r="AM74" s="56"/>
      <c r="AN74" s="56"/>
      <c r="AO74" s="73">
        <f>SET!$C$12</f>
        <v>14</v>
      </c>
      <c r="AP74" s="501">
        <f>L74/$AI74*$AH74+K74</f>
        <v>20.458193671752017</v>
      </c>
      <c r="AQ74" s="74">
        <f>SET!$F$12</f>
        <v>3.0022522522522523</v>
      </c>
      <c r="AR74" s="75">
        <f>SET!$I$12</f>
        <v>2.7339881849062175</v>
      </c>
      <c r="AS74" s="63"/>
      <c r="AT74" s="56"/>
      <c r="AU74" s="56"/>
      <c r="AV74" s="56"/>
      <c r="AW74" s="69">
        <f>SET!$C$13+1</f>
        <v>11</v>
      </c>
      <c r="AX74" s="501">
        <f t="shared" ref="AX74:AX75" si="159">U74/$AI74*$AH74+T74</f>
        <v>21.686416377409294</v>
      </c>
      <c r="AY74" s="74">
        <f>SET!$F$13</f>
        <v>3.3776276276276271</v>
      </c>
      <c r="AZ74" s="75">
        <f>SET!$I$13</f>
        <v>2.1471290728667785</v>
      </c>
      <c r="BA74" s="63"/>
      <c r="BB74" s="56"/>
      <c r="BC74" s="56"/>
      <c r="BD74" s="56"/>
      <c r="BE74" s="69">
        <f>SET!$C$14+1</f>
        <v>11</v>
      </c>
      <c r="BF74" s="501">
        <f t="shared" ref="BF74:BF75" si="160">AC74/$AI74*$AH74+AB74</f>
        <v>21.069626112662572</v>
      </c>
      <c r="BG74" s="74">
        <f>SET!$F$14</f>
        <v>3.3776276276276271</v>
      </c>
      <c r="BH74" s="75">
        <f>SET!$I$14</f>
        <v>2.1471290728667785</v>
      </c>
      <c r="BI74" s="922">
        <f t="shared" si="106"/>
        <v>-1.0000028836998354E-5</v>
      </c>
    </row>
    <row r="75" spans="1:61" s="44" customFormat="1" x14ac:dyDescent="0.2">
      <c r="A75" s="935" t="s">
        <v>141</v>
      </c>
      <c r="B75" s="510" t="str">
        <f>hr!$A$11</f>
        <v>PM</v>
      </c>
      <c r="C75" s="897"/>
      <c r="D75" s="898"/>
      <c r="E75" s="897"/>
      <c r="F75" s="899"/>
      <c r="G75" s="899"/>
      <c r="H75" s="900"/>
      <c r="I75" s="898">
        <f>MAX(H10:J10,S10:U10)</f>
        <v>3.6096685247395817</v>
      </c>
      <c r="J75" s="897">
        <f>I75/$AD75*$AG75</f>
        <v>64.445850733526342</v>
      </c>
      <c r="K75" s="899">
        <f>IF(J75&gt;AO75,0,AO75)</f>
        <v>0</v>
      </c>
      <c r="L75" s="900">
        <f>IF(K75=0,J75,0.00001)</f>
        <v>64.445850733526342</v>
      </c>
      <c r="M75" s="898"/>
      <c r="N75" s="899"/>
      <c r="O75" s="899"/>
      <c r="P75" s="900"/>
      <c r="Q75" s="898">
        <f>MAX(AD18:AG18)</f>
        <v>0.31266331644195205</v>
      </c>
      <c r="R75" s="897"/>
      <c r="S75" s="899">
        <f>Q75/$AD75*$AG75</f>
        <v>5.5821894124533387</v>
      </c>
      <c r="T75" s="899">
        <f t="shared" si="154"/>
        <v>11</v>
      </c>
      <c r="U75" s="900">
        <f t="shared" si="155"/>
        <v>0</v>
      </c>
      <c r="V75" s="898"/>
      <c r="W75" s="897"/>
      <c r="X75" s="899"/>
      <c r="Y75" s="900"/>
      <c r="Z75" s="898">
        <f>MAX(AO18:AR18)</f>
        <v>0.17846118861146334</v>
      </c>
      <c r="AA75" s="899">
        <f t="shared" si="156"/>
        <v>3.1861881621974693</v>
      </c>
      <c r="AB75" s="899">
        <f t="shared" si="157"/>
        <v>11</v>
      </c>
      <c r="AC75" s="900">
        <f t="shared" si="158"/>
        <v>0</v>
      </c>
      <c r="AD75" s="913">
        <f t="shared" si="101"/>
        <v>4.100794029792997</v>
      </c>
      <c r="AE75" s="905">
        <f>$AE$27+10</f>
        <v>90</v>
      </c>
      <c r="AF75" s="899">
        <f t="shared" si="102"/>
        <v>16.785753838147279</v>
      </c>
      <c r="AG75" s="900">
        <f t="shared" si="103"/>
        <v>73.214246161852714</v>
      </c>
      <c r="AH75" s="891">
        <f t="shared" si="104"/>
        <v>51.214246161852714</v>
      </c>
      <c r="AI75" s="891">
        <f t="shared" si="105"/>
        <v>64.445860733526345</v>
      </c>
      <c r="AJ75" s="920"/>
      <c r="AK75" s="150"/>
      <c r="AL75" s="60"/>
      <c r="AM75" s="60"/>
      <c r="AN75" s="60"/>
      <c r="AO75" s="76">
        <f>SET!$C$12</f>
        <v>14</v>
      </c>
      <c r="AP75" s="502">
        <f>L75/$AI75*$AH75+K75</f>
        <v>51.214238214989159</v>
      </c>
      <c r="AQ75" s="77">
        <f>SET!$F$12</f>
        <v>3.0022522522522523</v>
      </c>
      <c r="AR75" s="78">
        <f>SET!$I$12</f>
        <v>2.7339881849062175</v>
      </c>
      <c r="AS75" s="64"/>
      <c r="AT75" s="60"/>
      <c r="AU75" s="60"/>
      <c r="AV75" s="60"/>
      <c r="AW75" s="69">
        <f>SET!$C$13+1</f>
        <v>11</v>
      </c>
      <c r="AX75" s="502">
        <f t="shared" si="159"/>
        <v>11</v>
      </c>
      <c r="AY75" s="77">
        <f>SET!$F$13</f>
        <v>3.3776276276276271</v>
      </c>
      <c r="AZ75" s="78">
        <f>SET!$I$13</f>
        <v>2.1471290728667785</v>
      </c>
      <c r="BA75" s="64"/>
      <c r="BB75" s="60"/>
      <c r="BC75" s="60"/>
      <c r="BD75" s="60"/>
      <c r="BE75" s="69">
        <f>SET!$C$14+1</f>
        <v>11</v>
      </c>
      <c r="BF75" s="502">
        <f t="shared" si="160"/>
        <v>11</v>
      </c>
      <c r="BG75" s="77">
        <f>SET!$F$14</f>
        <v>3.3776276276276271</v>
      </c>
      <c r="BH75" s="78">
        <f>SET!$I$14</f>
        <v>2.1471290728667785</v>
      </c>
      <c r="BI75" s="923">
        <f t="shared" si="106"/>
        <v>-7.9468635618695771E-6</v>
      </c>
    </row>
    <row r="76" spans="1:61" s="44" customFormat="1" x14ac:dyDescent="0.2">
      <c r="A76" s="934" t="s">
        <v>142</v>
      </c>
      <c r="B76" s="45" t="str">
        <f>hr!$A$9</f>
        <v>AM</v>
      </c>
      <c r="C76" s="839"/>
      <c r="D76" s="892">
        <f>MAX(H16:K16)</f>
        <v>0.12281713618037686</v>
      </c>
      <c r="E76" s="839"/>
      <c r="F76" s="839">
        <f>D76/$AD76*$AG76</f>
        <v>12.979384536645703</v>
      </c>
      <c r="G76" s="893">
        <f>IF(F76&gt;AK76,0,AK76)</f>
        <v>14</v>
      </c>
      <c r="H76" s="894">
        <f t="shared" ref="H76:H78" si="161">IF(G76=0,F76,0)</f>
        <v>0</v>
      </c>
      <c r="I76" s="892"/>
      <c r="J76" s="839"/>
      <c r="K76" s="893"/>
      <c r="L76" s="895"/>
      <c r="M76" s="892">
        <f>MAX(S16:V16)</f>
        <v>0.20968697370143205</v>
      </c>
      <c r="N76" s="839">
        <f t="shared" ref="N76:N84" si="162">M76/$AD76*$AG76</f>
        <v>22.159838184138081</v>
      </c>
      <c r="O76" s="893">
        <f t="shared" ref="O76:O84" si="163">IF(N76&gt;AS76,0,AS76)</f>
        <v>0</v>
      </c>
      <c r="P76" s="894">
        <f t="shared" ref="P76:P84" si="164">IF(O76=0,N76,0)</f>
        <v>22.159838184138081</v>
      </c>
      <c r="Q76" s="892"/>
      <c r="R76" s="839"/>
      <c r="S76" s="839"/>
      <c r="T76" s="893"/>
      <c r="U76" s="895"/>
      <c r="V76" s="892">
        <f>MAX(AD12:AE12,AO12:AP12)</f>
        <v>0.30005857209900094</v>
      </c>
      <c r="W76" s="839">
        <f>V76/$AD76*$AG76</f>
        <v>31.710359905070149</v>
      </c>
      <c r="X76" s="893">
        <f t="shared" ref="X76:X78" si="165">IF(W76&gt;BA76,0,BA76)</f>
        <v>0</v>
      </c>
      <c r="Y76" s="894">
        <f>IF(X76=0,W76,0.00001)</f>
        <v>31.710359905070149</v>
      </c>
      <c r="Z76" s="892">
        <f>MAX(AH12,AS12)</f>
        <v>0.10553571465635769</v>
      </c>
      <c r="AA76" s="839">
        <f t="shared" si="156"/>
        <v>11.153074118768133</v>
      </c>
      <c r="AB76" s="893">
        <f t="shared" si="157"/>
        <v>0</v>
      </c>
      <c r="AC76" s="894">
        <f t="shared" si="158"/>
        <v>11.153074118768133</v>
      </c>
      <c r="AD76" s="912">
        <f t="shared" si="101"/>
        <v>0.73809939663716762</v>
      </c>
      <c r="AE76" s="904">
        <f>$AE$43+10</f>
        <v>100</v>
      </c>
      <c r="AF76" s="893">
        <f t="shared" si="102"/>
        <v>21.997237574811347</v>
      </c>
      <c r="AG76" s="894">
        <f t="shared" si="103"/>
        <v>78.002762425188649</v>
      </c>
      <c r="AH76" s="891">
        <f t="shared" si="104"/>
        <v>64.002762425188649</v>
      </c>
      <c r="AI76" s="891">
        <f t="shared" si="105"/>
        <v>65.023282207976365</v>
      </c>
      <c r="AJ76" s="920"/>
      <c r="AK76" s="69">
        <f>SET!$C$10+1</f>
        <v>14</v>
      </c>
      <c r="AL76" s="70">
        <f>H76/$AI76*$AH76+G76</f>
        <v>14</v>
      </c>
      <c r="AM76" s="71">
        <f>SET!$F$10</f>
        <v>3.0022522522522523</v>
      </c>
      <c r="AN76" s="72">
        <f>SET!$I$10</f>
        <v>2.7339881849062175</v>
      </c>
      <c r="AO76" s="56"/>
      <c r="AP76" s="56"/>
      <c r="AQ76" s="56"/>
      <c r="AR76" s="56"/>
      <c r="AS76" s="69">
        <f>SET!$C$11+1</f>
        <v>14</v>
      </c>
      <c r="AT76" s="70">
        <f t="shared" ref="AT76:AT84" si="166">P76/$AI76*$AH76+O76</f>
        <v>21.812046555011225</v>
      </c>
      <c r="AU76" s="71">
        <f>SET!$F$11</f>
        <v>3.0022522522522523</v>
      </c>
      <c r="AV76" s="72">
        <f>SET!$I$11</f>
        <v>2.7339881849062175</v>
      </c>
      <c r="AW76" s="63"/>
      <c r="AX76" s="56"/>
      <c r="AY76" s="56"/>
      <c r="AZ76" s="56"/>
      <c r="BA76" s="69">
        <f>SET!$C$15</f>
        <v>11</v>
      </c>
      <c r="BB76" s="70">
        <f>Y76/$AI76*$AH76+X76</f>
        <v>31.212675867851974</v>
      </c>
      <c r="BC76" s="71">
        <f>SET!$H$15</f>
        <v>3</v>
      </c>
      <c r="BD76" s="72">
        <f>SET!$K$15</f>
        <v>2</v>
      </c>
      <c r="BE76" s="69">
        <f>SET!$E$15</f>
        <v>4</v>
      </c>
      <c r="BF76" s="70">
        <f>AC76/$AI76*$AH76+AB76</f>
        <v>10.978030159272278</v>
      </c>
      <c r="BG76" s="71">
        <f>SET!$F$15</f>
        <v>3.3776276276276271</v>
      </c>
      <c r="BH76" s="72">
        <f>SET!$I$15</f>
        <v>2.1471290728667785</v>
      </c>
      <c r="BI76" s="921">
        <f t="shared" si="106"/>
        <v>-9.8430531778603836E-6</v>
      </c>
    </row>
    <row r="77" spans="1:61" s="44" customFormat="1" x14ac:dyDescent="0.2">
      <c r="A77" s="934" t="s">
        <v>142</v>
      </c>
      <c r="B77" s="45" t="str">
        <f>hr!$A$10</f>
        <v>off</v>
      </c>
      <c r="C77" s="839"/>
      <c r="D77" s="892">
        <f>MAX(H17:K17)</f>
        <v>7.8507689709586451E-2</v>
      </c>
      <c r="E77" s="839"/>
      <c r="F77" s="839">
        <f>D77/$AD77*$AG77</f>
        <v>17.924900686868245</v>
      </c>
      <c r="G77" s="893">
        <f>IF(F77&gt;AK77,0,AK77)</f>
        <v>0</v>
      </c>
      <c r="H77" s="894">
        <f t="shared" si="161"/>
        <v>17.924900686868245</v>
      </c>
      <c r="I77" s="892"/>
      <c r="J77" s="839"/>
      <c r="K77" s="893"/>
      <c r="L77" s="895"/>
      <c r="M77" s="892">
        <f>MAX(S17:V17)</f>
        <v>0.10676423594533963</v>
      </c>
      <c r="N77" s="839">
        <f t="shared" si="162"/>
        <v>24.376444311491412</v>
      </c>
      <c r="O77" s="893">
        <f t="shared" si="163"/>
        <v>0</v>
      </c>
      <c r="P77" s="894">
        <f t="shared" si="164"/>
        <v>24.376444311491412</v>
      </c>
      <c r="Q77" s="892"/>
      <c r="R77" s="839"/>
      <c r="S77" s="839"/>
      <c r="T77" s="893"/>
      <c r="U77" s="895"/>
      <c r="V77" s="892">
        <f>MAX(AD13:AE13,AO13:AP13)</f>
        <v>0.1125663686951168</v>
      </c>
      <c r="W77" s="839">
        <f>V77/$AD77*$AG77</f>
        <v>25.701189106510924</v>
      </c>
      <c r="X77" s="893">
        <f t="shared" si="165"/>
        <v>0</v>
      </c>
      <c r="Y77" s="894">
        <f>IF(X77=0,W77,0.00001)</f>
        <v>25.701189106510924</v>
      </c>
      <c r="Z77" s="892">
        <f>MAX(AH13,AS13)</f>
        <v>0</v>
      </c>
      <c r="AA77" s="839">
        <f t="shared" si="156"/>
        <v>0</v>
      </c>
      <c r="AB77" s="893">
        <f t="shared" si="157"/>
        <v>4</v>
      </c>
      <c r="AC77" s="894">
        <f t="shared" si="158"/>
        <v>0</v>
      </c>
      <c r="AD77" s="912">
        <f t="shared" si="101"/>
        <v>0.2978392943500428</v>
      </c>
      <c r="AE77" s="904">
        <f>$AE$44+10</f>
        <v>90</v>
      </c>
      <c r="AF77" s="893">
        <f t="shared" si="102"/>
        <v>21.997237574811347</v>
      </c>
      <c r="AG77" s="894">
        <f t="shared" si="103"/>
        <v>68.002762425188649</v>
      </c>
      <c r="AH77" s="891">
        <f t="shared" si="104"/>
        <v>64.002762425188649</v>
      </c>
      <c r="AI77" s="891">
        <f t="shared" si="105"/>
        <v>68.00254410487058</v>
      </c>
      <c r="AJ77" s="920"/>
      <c r="AK77" s="69">
        <f>SET!$C$10+1</f>
        <v>14</v>
      </c>
      <c r="AL77" s="501">
        <f>H77/$AI77*$AH77+G77</f>
        <v>16.870591758853912</v>
      </c>
      <c r="AM77" s="74">
        <f>SET!$F$10</f>
        <v>3.0022522522522523</v>
      </c>
      <c r="AN77" s="75">
        <f>SET!$I$10</f>
        <v>2.7339881849062175</v>
      </c>
      <c r="AO77" s="56"/>
      <c r="AP77" s="56"/>
      <c r="AQ77" s="56"/>
      <c r="AR77" s="56"/>
      <c r="AS77" s="69">
        <f>SET!$C$11+1</f>
        <v>14</v>
      </c>
      <c r="AT77" s="501">
        <f t="shared" si="166"/>
        <v>22.942667727742879</v>
      </c>
      <c r="AU77" s="74">
        <f>SET!$F$11</f>
        <v>3.0022522522522523</v>
      </c>
      <c r="AV77" s="75">
        <f>SET!$I$11</f>
        <v>2.7339881849062175</v>
      </c>
      <c r="AW77" s="63"/>
      <c r="AX77" s="56"/>
      <c r="AY77" s="56"/>
      <c r="AZ77" s="56"/>
      <c r="BA77" s="73">
        <f>SET!$C$15</f>
        <v>11</v>
      </c>
      <c r="BB77" s="501">
        <f t="shared" ref="BB77:BB78" si="167">Y77/$AI77*$AH77+X77</f>
        <v>24.189493526773042</v>
      </c>
      <c r="BC77" s="74">
        <f>SET!$H$15</f>
        <v>3</v>
      </c>
      <c r="BD77" s="75">
        <f>SET!$K$15</f>
        <v>2</v>
      </c>
      <c r="BE77" s="73">
        <f>SET!$E$15</f>
        <v>4</v>
      </c>
      <c r="BF77" s="501">
        <f t="shared" ref="BF77:BF78" si="168">AC77/$AI77*$AH77+AB77</f>
        <v>4</v>
      </c>
      <c r="BG77" s="74">
        <f>SET!$F$15</f>
        <v>3.3776276276276271</v>
      </c>
      <c r="BH77" s="75">
        <f>SET!$I$15</f>
        <v>2.1471290728667785</v>
      </c>
      <c r="BI77" s="922">
        <f t="shared" si="106"/>
        <v>-9.4118188229685984E-6</v>
      </c>
    </row>
    <row r="78" spans="1:61" s="44" customFormat="1" x14ac:dyDescent="0.2">
      <c r="A78" s="935" t="s">
        <v>142</v>
      </c>
      <c r="B78" s="510" t="str">
        <f>hr!$A$11</f>
        <v>PM</v>
      </c>
      <c r="C78" s="897"/>
      <c r="D78" s="898">
        <f>MAX(H18:K18)</f>
        <v>0.1712762591018645</v>
      </c>
      <c r="E78" s="897"/>
      <c r="F78" s="897">
        <f>D78/$AD78*$AG78</f>
        <v>18.336595988199907</v>
      </c>
      <c r="G78" s="899">
        <f>IF(F78&gt;AK78,0,AK78)</f>
        <v>0</v>
      </c>
      <c r="H78" s="900">
        <f t="shared" si="161"/>
        <v>18.336595988199907</v>
      </c>
      <c r="I78" s="898"/>
      <c r="J78" s="897"/>
      <c r="K78" s="899"/>
      <c r="L78" s="901"/>
      <c r="M78" s="898">
        <f>MAX(S18:V18)</f>
        <v>0.15951295936781371</v>
      </c>
      <c r="N78" s="897">
        <f t="shared" si="162"/>
        <v>17.077233623313685</v>
      </c>
      <c r="O78" s="899">
        <f t="shared" si="163"/>
        <v>0</v>
      </c>
      <c r="P78" s="900">
        <f t="shared" si="164"/>
        <v>17.077233623313685</v>
      </c>
      <c r="Q78" s="898"/>
      <c r="R78" s="897"/>
      <c r="S78" s="897"/>
      <c r="T78" s="899"/>
      <c r="U78" s="901"/>
      <c r="V78" s="898">
        <f>MAX(AD14:AE14,AO14:AP14)</f>
        <v>0.31233766716400257</v>
      </c>
      <c r="W78" s="897">
        <f>V78/$AD78*$AG78</f>
        <v>33.438432417402218</v>
      </c>
      <c r="X78" s="899">
        <f t="shared" si="165"/>
        <v>0</v>
      </c>
      <c r="Y78" s="900">
        <f>IF(X78=0,W78,0.00001)</f>
        <v>33.438432417402218</v>
      </c>
      <c r="Z78" s="898">
        <f>MAX(AH14,AS14)</f>
        <v>8.547088790069407E-2</v>
      </c>
      <c r="AA78" s="897">
        <f t="shared" si="156"/>
        <v>9.1503933376758919</v>
      </c>
      <c r="AB78" s="899">
        <f t="shared" si="157"/>
        <v>0</v>
      </c>
      <c r="AC78" s="900">
        <f t="shared" si="158"/>
        <v>9.1503933376758919</v>
      </c>
      <c r="AD78" s="913">
        <f t="shared" si="101"/>
        <v>0.72859877353437497</v>
      </c>
      <c r="AE78" s="905">
        <f>$AE$45+10</f>
        <v>100</v>
      </c>
      <c r="AF78" s="899">
        <f t="shared" si="102"/>
        <v>21.997237574811347</v>
      </c>
      <c r="AG78" s="900">
        <f t="shared" si="103"/>
        <v>78.002762425188649</v>
      </c>
      <c r="AH78" s="891">
        <f t="shared" si="104"/>
        <v>78.002762425188649</v>
      </c>
      <c r="AI78" s="891">
        <f t="shared" si="105"/>
        <v>78.002665366591714</v>
      </c>
      <c r="AJ78" s="920"/>
      <c r="AK78" s="69">
        <f>SET!$C$10+1</f>
        <v>14</v>
      </c>
      <c r="AL78" s="502">
        <f>H78/$AI78*$AH78+G78</f>
        <v>18.336618804398185</v>
      </c>
      <c r="AM78" s="77">
        <f>SET!$F$10</f>
        <v>3.0022522522522523</v>
      </c>
      <c r="AN78" s="78">
        <f>SET!$I$10</f>
        <v>2.7339881849062175</v>
      </c>
      <c r="AO78" s="60"/>
      <c r="AP78" s="60"/>
      <c r="AQ78" s="60"/>
      <c r="AR78" s="60"/>
      <c r="AS78" s="69">
        <f>SET!$C$11+1</f>
        <v>14</v>
      </c>
      <c r="AT78" s="502">
        <f t="shared" si="166"/>
        <v>17.077254872489302</v>
      </c>
      <c r="AU78" s="77">
        <f>SET!$F$11</f>
        <v>3.0022522522522523</v>
      </c>
      <c r="AV78" s="78">
        <f>SET!$I$11</f>
        <v>2.7339881849062175</v>
      </c>
      <c r="AW78" s="64"/>
      <c r="AX78" s="60"/>
      <c r="AY78" s="60"/>
      <c r="AZ78" s="60"/>
      <c r="BA78" s="76">
        <f>SET!$C$15</f>
        <v>11</v>
      </c>
      <c r="BB78" s="502">
        <f t="shared" si="167"/>
        <v>33.438474024792413</v>
      </c>
      <c r="BC78" s="77">
        <f>SET!$H$15</f>
        <v>3</v>
      </c>
      <c r="BD78" s="78">
        <f>SET!$K$15</f>
        <v>2</v>
      </c>
      <c r="BE78" s="76">
        <f>SET!$E$15</f>
        <v>4</v>
      </c>
      <c r="BF78" s="502">
        <f t="shared" si="168"/>
        <v>9.150404723496294</v>
      </c>
      <c r="BG78" s="77">
        <f>SET!$F$15</f>
        <v>3.3776276276276271</v>
      </c>
      <c r="BH78" s="78">
        <f>SET!$I$15</f>
        <v>2.1471290728667785</v>
      </c>
      <c r="BI78" s="923">
        <f t="shared" si="106"/>
        <v>-1.0000012451882867E-5</v>
      </c>
    </row>
    <row r="79" spans="1:61" s="44" customFormat="1" x14ac:dyDescent="0.2">
      <c r="A79" s="934" t="s">
        <v>143</v>
      </c>
      <c r="B79" s="45" t="str">
        <f>hr!$A$9</f>
        <v>AM</v>
      </c>
      <c r="C79" s="839"/>
      <c r="D79" s="892"/>
      <c r="E79" s="839"/>
      <c r="F79" s="893"/>
      <c r="G79" s="893"/>
      <c r="H79" s="894"/>
      <c r="I79" s="892">
        <f>MAX(H12:I12,S12:T12)</f>
        <v>0.2093598646916105</v>
      </c>
      <c r="J79" s="839">
        <f>I79/$AD79*$AG79</f>
        <v>20.659813808111817</v>
      </c>
      <c r="K79" s="893">
        <f>IF(J79&gt;AO79,0,AO79)</f>
        <v>0</v>
      </c>
      <c r="L79" s="894">
        <f>IF(K79=0,J79,0.00001)</f>
        <v>20.659813808111817</v>
      </c>
      <c r="M79" s="892">
        <f>MAX(L12,W12)</f>
        <v>4.5810856380913895E-2</v>
      </c>
      <c r="N79" s="893">
        <f t="shared" si="162"/>
        <v>4.5206552106534597</v>
      </c>
      <c r="O79" s="893">
        <f t="shared" si="163"/>
        <v>0</v>
      </c>
      <c r="P79" s="894">
        <f t="shared" si="164"/>
        <v>4.5206552106534597</v>
      </c>
      <c r="Q79" s="892">
        <f>MAX(AD16:AG16)</f>
        <v>0.23736755623273167</v>
      </c>
      <c r="R79" s="839"/>
      <c r="S79" s="893">
        <f t="shared" ref="S79:S84" si="169">Q79/$AD79*$AG79</f>
        <v>23.42363720514604</v>
      </c>
      <c r="T79" s="893">
        <f t="shared" ref="T79:T84" si="170">IF(S79&gt;AW79,0,AW79)</f>
        <v>0</v>
      </c>
      <c r="U79" s="894">
        <f t="shared" ref="U79:U84" si="171">IF(T79=0,S79,0)</f>
        <v>23.42363720514604</v>
      </c>
      <c r="V79" s="892"/>
      <c r="W79" s="839"/>
      <c r="X79" s="893"/>
      <c r="Y79" s="894"/>
      <c r="Z79" s="892">
        <f>MAX(AO16:AR16)</f>
        <v>0.30005857209900094</v>
      </c>
      <c r="AA79" s="893">
        <f t="shared" si="156"/>
        <v>29.61004125707036</v>
      </c>
      <c r="AB79" s="893">
        <f t="shared" si="157"/>
        <v>0</v>
      </c>
      <c r="AC79" s="894">
        <f t="shared" si="158"/>
        <v>29.61004125707036</v>
      </c>
      <c r="AD79" s="912">
        <f t="shared" si="101"/>
        <v>0.79259784940425704</v>
      </c>
      <c r="AE79" s="903">
        <f>$AE$43+10</f>
        <v>100</v>
      </c>
      <c r="AF79" s="893">
        <f t="shared" si="102"/>
        <v>21.785753838147279</v>
      </c>
      <c r="AG79" s="894">
        <f t="shared" si="103"/>
        <v>78.214246161852714</v>
      </c>
      <c r="AH79" s="891">
        <f t="shared" si="104"/>
        <v>78.214246161852714</v>
      </c>
      <c r="AI79" s="891">
        <f t="shared" si="105"/>
        <v>78.214157480981683</v>
      </c>
      <c r="AJ79" s="920"/>
      <c r="AK79" s="63"/>
      <c r="AL79" s="56"/>
      <c r="AM79" s="56"/>
      <c r="AN79" s="56"/>
      <c r="AO79" s="69">
        <f>SET!$C$12</f>
        <v>14</v>
      </c>
      <c r="AP79" s="70">
        <f>L79/$AI79*$AH79+K79</f>
        <v>20.659837232647003</v>
      </c>
      <c r="AQ79" s="71">
        <f>SET!$H$12</f>
        <v>3</v>
      </c>
      <c r="AR79" s="72">
        <f>SET!$K$12</f>
        <v>2</v>
      </c>
      <c r="AS79" s="69">
        <f>SET!$E$12</f>
        <v>4</v>
      </c>
      <c r="AT79" s="70">
        <f t="shared" si="166"/>
        <v>4.5206603362682412</v>
      </c>
      <c r="AU79" s="71">
        <f>SET!$F$12</f>
        <v>3.0022522522522523</v>
      </c>
      <c r="AV79" s="72">
        <f>SET!$I$12</f>
        <v>2.7339881849062175</v>
      </c>
      <c r="AW79" s="69">
        <f>SET!$C$13+1</f>
        <v>11</v>
      </c>
      <c r="AX79" s="70">
        <f>U79/$AI79*$AH79+T79</f>
        <v>23.423663763362825</v>
      </c>
      <c r="AY79" s="71">
        <f>SET!$F$13</f>
        <v>3.3776276276276271</v>
      </c>
      <c r="AZ79" s="72">
        <f>SET!$I$13</f>
        <v>2.1471290728667785</v>
      </c>
      <c r="BA79" s="63"/>
      <c r="BB79" s="56"/>
      <c r="BC79" s="56"/>
      <c r="BD79" s="56"/>
      <c r="BE79" s="69">
        <f>SET!$C$14+1</f>
        <v>11</v>
      </c>
      <c r="BF79" s="70">
        <f>AC79/$AI79*$AH79+AB79</f>
        <v>29.610074829563299</v>
      </c>
      <c r="BG79" s="71">
        <f>SET!$F$14</f>
        <v>3.3776276276276271</v>
      </c>
      <c r="BH79" s="72">
        <f>SET!$I$14</f>
        <v>2.1471290728667785</v>
      </c>
      <c r="BI79" s="921">
        <f t="shared" si="106"/>
        <v>-1.0000011343436199E-5</v>
      </c>
    </row>
    <row r="80" spans="1:61" s="44" customFormat="1" x14ac:dyDescent="0.2">
      <c r="A80" s="934" t="s">
        <v>143</v>
      </c>
      <c r="B80" s="45" t="str">
        <f>hr!$A$10</f>
        <v>off</v>
      </c>
      <c r="C80" s="839"/>
      <c r="D80" s="892"/>
      <c r="E80" s="839"/>
      <c r="F80" s="893"/>
      <c r="G80" s="893"/>
      <c r="H80" s="894"/>
      <c r="I80" s="892">
        <f>MAX(H13:I13,S13:T13)</f>
        <v>0.10644158453528439</v>
      </c>
      <c r="J80" s="839">
        <f>I80/$AD80*$AG80</f>
        <v>22.081918103831068</v>
      </c>
      <c r="K80" s="893">
        <f>IF(J80&gt;AO80,0,AO80)</f>
        <v>0</v>
      </c>
      <c r="L80" s="894">
        <f>IF(K80=0,J80,0.00001)</f>
        <v>22.081918103831068</v>
      </c>
      <c r="M80" s="892">
        <f>MAX(L13,W13)</f>
        <v>0</v>
      </c>
      <c r="N80" s="893">
        <f t="shared" si="162"/>
        <v>0</v>
      </c>
      <c r="O80" s="893">
        <f t="shared" si="163"/>
        <v>4</v>
      </c>
      <c r="P80" s="894">
        <f t="shared" si="164"/>
        <v>0</v>
      </c>
      <c r="Q80" s="892">
        <f>MAX(AD17:AG17)</f>
        <v>0.11278938973177743</v>
      </c>
      <c r="R80" s="839"/>
      <c r="S80" s="893">
        <f t="shared" si="169"/>
        <v>23.398806753131161</v>
      </c>
      <c r="T80" s="893">
        <f t="shared" si="170"/>
        <v>0</v>
      </c>
      <c r="U80" s="894">
        <f t="shared" si="171"/>
        <v>23.398806753131161</v>
      </c>
      <c r="V80" s="892"/>
      <c r="W80" s="839"/>
      <c r="X80" s="893"/>
      <c r="Y80" s="894"/>
      <c r="Z80" s="892">
        <f>MAX(AO17:AR17)</f>
        <v>0.10958151082995241</v>
      </c>
      <c r="AA80" s="893">
        <f t="shared" si="156"/>
        <v>22.733313849146569</v>
      </c>
      <c r="AB80" s="893">
        <f t="shared" si="157"/>
        <v>0</v>
      </c>
      <c r="AC80" s="894">
        <f t="shared" si="158"/>
        <v>22.733313849146569</v>
      </c>
      <c r="AD80" s="912">
        <f t="shared" si="101"/>
        <v>0.32881348509701419</v>
      </c>
      <c r="AE80" s="904">
        <f>$AE$44+10</f>
        <v>90</v>
      </c>
      <c r="AF80" s="893">
        <f t="shared" si="102"/>
        <v>21.785753838147279</v>
      </c>
      <c r="AG80" s="894">
        <f t="shared" si="103"/>
        <v>68.214246161852714</v>
      </c>
      <c r="AH80" s="891">
        <f t="shared" si="104"/>
        <v>64.214246161852714</v>
      </c>
      <c r="AI80" s="891">
        <f t="shared" si="105"/>
        <v>68.214048706108798</v>
      </c>
      <c r="AJ80" s="920"/>
      <c r="AK80" s="63"/>
      <c r="AL80" s="56"/>
      <c r="AM80" s="56"/>
      <c r="AN80" s="56"/>
      <c r="AO80" s="73">
        <f>SET!$C$12</f>
        <v>14</v>
      </c>
      <c r="AP80" s="501">
        <f>L80/$AI80*$AH80+K80</f>
        <v>20.78712159359478</v>
      </c>
      <c r="AQ80" s="74">
        <f>SET!$H$12</f>
        <v>3</v>
      </c>
      <c r="AR80" s="75">
        <f>SET!$K$12</f>
        <v>2</v>
      </c>
      <c r="AS80" s="73">
        <f>SET!$E$12</f>
        <v>4</v>
      </c>
      <c r="AT80" s="501">
        <f t="shared" si="166"/>
        <v>4</v>
      </c>
      <c r="AU80" s="74">
        <f>SET!$F$12</f>
        <v>3.0022522522522523</v>
      </c>
      <c r="AV80" s="75">
        <f>SET!$I$12</f>
        <v>2.7339881849062175</v>
      </c>
      <c r="AW80" s="69">
        <f>SET!$C$13+1</f>
        <v>11</v>
      </c>
      <c r="AX80" s="501">
        <f t="shared" ref="AX80:AX81" si="172">U80/$AI80*$AH80+T80</f>
        <v>22.026793090858259</v>
      </c>
      <c r="AY80" s="74">
        <f>SET!$F$13</f>
        <v>3.3776276276276271</v>
      </c>
      <c r="AZ80" s="75">
        <f>SET!$I$13</f>
        <v>2.1471290728667785</v>
      </c>
      <c r="BA80" s="63"/>
      <c r="BB80" s="56"/>
      <c r="BC80" s="56"/>
      <c r="BD80" s="56"/>
      <c r="BE80" s="69">
        <f>SET!$C$14+1</f>
        <v>11</v>
      </c>
      <c r="BF80" s="501">
        <f t="shared" ref="BF80:BF81" si="173">AC80/$AI80*$AH80+AB80</f>
        <v>21.400322063760203</v>
      </c>
      <c r="BG80" s="74">
        <f>SET!$F$14</f>
        <v>3.3776276276276271</v>
      </c>
      <c r="BH80" s="75">
        <f>SET!$I$14</f>
        <v>2.1471290728667785</v>
      </c>
      <c r="BI80" s="922">
        <f t="shared" si="106"/>
        <v>-9.4136394750421459E-6</v>
      </c>
    </row>
    <row r="81" spans="1:61" s="44" customFormat="1" x14ac:dyDescent="0.2">
      <c r="A81" s="935" t="s">
        <v>143</v>
      </c>
      <c r="B81" s="510" t="str">
        <f>hr!$A$11</f>
        <v>PM</v>
      </c>
      <c r="C81" s="897"/>
      <c r="D81" s="898"/>
      <c r="E81" s="897"/>
      <c r="F81" s="899"/>
      <c r="G81" s="899"/>
      <c r="H81" s="900"/>
      <c r="I81" s="898">
        <f>MAX(H14:I14,S14:T14)</f>
        <v>0.1712762591018645</v>
      </c>
      <c r="J81" s="897">
        <f>I81/$AD81*$AG81</f>
        <v>17.740693361552459</v>
      </c>
      <c r="K81" s="899">
        <f>IF(J81&gt;AO81,0,AO81)</f>
        <v>0</v>
      </c>
      <c r="L81" s="900">
        <f>IF(K81=0,J81,0.00001)</f>
        <v>17.740693361552459</v>
      </c>
      <c r="M81" s="898">
        <f>MAX(L14,W14)</f>
        <v>9.2712098536624113E-2</v>
      </c>
      <c r="N81" s="899">
        <f t="shared" si="162"/>
        <v>9.6030641938885033</v>
      </c>
      <c r="O81" s="899">
        <f t="shared" si="163"/>
        <v>0</v>
      </c>
      <c r="P81" s="900">
        <f t="shared" si="164"/>
        <v>9.6030641938885033</v>
      </c>
      <c r="Q81" s="898">
        <f>MAX(AD18:AG18)</f>
        <v>0.31266331644195205</v>
      </c>
      <c r="R81" s="897"/>
      <c r="S81" s="899">
        <f t="shared" si="169"/>
        <v>32.385480927066396</v>
      </c>
      <c r="T81" s="899">
        <f t="shared" si="170"/>
        <v>0</v>
      </c>
      <c r="U81" s="900">
        <f t="shared" si="171"/>
        <v>32.385480927066396</v>
      </c>
      <c r="V81" s="898"/>
      <c r="W81" s="897"/>
      <c r="X81" s="899"/>
      <c r="Y81" s="900"/>
      <c r="Z81" s="898">
        <f>MAX(AO18:AR18)</f>
        <v>0.17846118861146334</v>
      </c>
      <c r="AA81" s="899">
        <f t="shared" si="156"/>
        <v>18.484904099938298</v>
      </c>
      <c r="AB81" s="899">
        <f t="shared" si="157"/>
        <v>0</v>
      </c>
      <c r="AC81" s="900">
        <f t="shared" si="158"/>
        <v>18.484904099938298</v>
      </c>
      <c r="AD81" s="913">
        <f t="shared" si="101"/>
        <v>0.75511386269190395</v>
      </c>
      <c r="AE81" s="905">
        <f>$AE$45+10</f>
        <v>100</v>
      </c>
      <c r="AF81" s="899">
        <f t="shared" si="102"/>
        <v>21.785753838147279</v>
      </c>
      <c r="AG81" s="900">
        <f t="shared" si="103"/>
        <v>78.214246161852714</v>
      </c>
      <c r="AH81" s="891">
        <f t="shared" si="104"/>
        <v>78.214246161852714</v>
      </c>
      <c r="AI81" s="891">
        <f t="shared" si="105"/>
        <v>78.214152582445649</v>
      </c>
      <c r="AJ81" s="920"/>
      <c r="AK81" s="64"/>
      <c r="AL81" s="60"/>
      <c r="AM81" s="60"/>
      <c r="AN81" s="60"/>
      <c r="AO81" s="76">
        <f>SET!$C$12</f>
        <v>14</v>
      </c>
      <c r="AP81" s="502">
        <f>L81/$AI81*$AH81+K81</f>
        <v>17.740714587424133</v>
      </c>
      <c r="AQ81" s="77">
        <f>SET!$H$12</f>
        <v>3</v>
      </c>
      <c r="AR81" s="78">
        <f>SET!$K$12</f>
        <v>2</v>
      </c>
      <c r="AS81" s="76">
        <f>SET!$E$12</f>
        <v>4</v>
      </c>
      <c r="AT81" s="502">
        <f t="shared" si="166"/>
        <v>9.6030756834849971</v>
      </c>
      <c r="AU81" s="77">
        <f>SET!$F$12</f>
        <v>3.0022522522522523</v>
      </c>
      <c r="AV81" s="78">
        <f>SET!$I$12</f>
        <v>2.7339881849062175</v>
      </c>
      <c r="AW81" s="69">
        <f>SET!$C$13+1</f>
        <v>11</v>
      </c>
      <c r="AX81" s="502">
        <f t="shared" si="172"/>
        <v>32.385519674709919</v>
      </c>
      <c r="AY81" s="77">
        <f>SET!$F$13</f>
        <v>3.3776276276276271</v>
      </c>
      <c r="AZ81" s="78">
        <f>SET!$I$13</f>
        <v>2.1471290728667785</v>
      </c>
      <c r="BA81" s="64"/>
      <c r="BB81" s="60"/>
      <c r="BC81" s="60"/>
      <c r="BD81" s="60"/>
      <c r="BE81" s="69">
        <f>SET!$C$14+1</f>
        <v>11</v>
      </c>
      <c r="BF81" s="502">
        <f t="shared" si="173"/>
        <v>18.484926216221709</v>
      </c>
      <c r="BG81" s="77">
        <f>SET!$F$14</f>
        <v>3.3776276276276271</v>
      </c>
      <c r="BH81" s="78">
        <f>SET!$I$14</f>
        <v>2.1471290728667785</v>
      </c>
      <c r="BI81" s="923">
        <f t="shared" si="106"/>
        <v>-1.0000011968713807E-5</v>
      </c>
    </row>
    <row r="82" spans="1:61" s="44" customFormat="1" x14ac:dyDescent="0.2">
      <c r="A82" s="934" t="s">
        <v>144</v>
      </c>
      <c r="B82" s="45" t="str">
        <f>hr!$A$9</f>
        <v>AM</v>
      </c>
      <c r="C82" s="839"/>
      <c r="D82" s="892">
        <f>MAX(H16:K16)</f>
        <v>0.12281713618037686</v>
      </c>
      <c r="E82" s="839"/>
      <c r="F82" s="839">
        <f>D82/$AD82*$AG82</f>
        <v>10.938366576667288</v>
      </c>
      <c r="G82" s="893">
        <f>IF(F82&gt;AK82,0,AK82)</f>
        <v>14</v>
      </c>
      <c r="H82" s="894">
        <f t="shared" ref="H82:H84" si="174">IF(G82=0,F82,0)</f>
        <v>0</v>
      </c>
      <c r="I82" s="892"/>
      <c r="J82" s="839"/>
      <c r="K82" s="893"/>
      <c r="L82" s="895"/>
      <c r="M82" s="892">
        <f>MAX(S16:V16)</f>
        <v>0.20968697370143205</v>
      </c>
      <c r="N82" s="839">
        <f t="shared" si="162"/>
        <v>18.67518699776296</v>
      </c>
      <c r="O82" s="893">
        <f t="shared" si="163"/>
        <v>0</v>
      </c>
      <c r="P82" s="894">
        <f t="shared" si="164"/>
        <v>18.67518699776296</v>
      </c>
      <c r="Q82" s="892">
        <f>MAX(AD16:AG16)</f>
        <v>0.23736755623273167</v>
      </c>
      <c r="R82" s="839"/>
      <c r="S82" s="839">
        <f t="shared" si="169"/>
        <v>21.140481078048033</v>
      </c>
      <c r="T82" s="893">
        <f t="shared" si="170"/>
        <v>0</v>
      </c>
      <c r="U82" s="894">
        <f t="shared" si="171"/>
        <v>21.140481078048033</v>
      </c>
      <c r="V82" s="892"/>
      <c r="W82" s="839"/>
      <c r="X82" s="893"/>
      <c r="Y82" s="895"/>
      <c r="Z82" s="892">
        <f>MAX(AO16:AR16)</f>
        <v>0.30005857209900094</v>
      </c>
      <c r="AA82" s="839">
        <f t="shared" si="156"/>
        <v>26.723882009997805</v>
      </c>
      <c r="AB82" s="893">
        <f t="shared" si="157"/>
        <v>0</v>
      </c>
      <c r="AC82" s="894">
        <f t="shared" si="158"/>
        <v>26.723882009997805</v>
      </c>
      <c r="AD82" s="912">
        <f t="shared" si="101"/>
        <v>0.86993123821354146</v>
      </c>
      <c r="AE82" s="903">
        <f>$AE$43+10</f>
        <v>100</v>
      </c>
      <c r="AF82" s="893">
        <f t="shared" si="102"/>
        <v>22.521994275305751</v>
      </c>
      <c r="AG82" s="894">
        <f t="shared" si="103"/>
        <v>77.478005724694242</v>
      </c>
      <c r="AH82" s="891">
        <f t="shared" si="104"/>
        <v>63.478005724694242</v>
      </c>
      <c r="AI82" s="891">
        <f t="shared" si="105"/>
        <v>66.539560085808802</v>
      </c>
      <c r="AJ82" s="920"/>
      <c r="AK82" s="69">
        <f>SET!$C$10+1</f>
        <v>14</v>
      </c>
      <c r="AL82" s="70">
        <f>H82/$AI82*$AH82+G82</f>
        <v>14</v>
      </c>
      <c r="AM82" s="71">
        <f>SET!$F$10</f>
        <v>3.0022522522522523</v>
      </c>
      <c r="AN82" s="72">
        <f>SET!$I$10</f>
        <v>2.7339881849062175</v>
      </c>
      <c r="AO82" s="63"/>
      <c r="AP82" s="56"/>
      <c r="AQ82" s="56"/>
      <c r="AR82" s="56"/>
      <c r="AS82" s="69">
        <f>SET!$C$11+1</f>
        <v>14</v>
      </c>
      <c r="AT82" s="70">
        <f t="shared" si="166"/>
        <v>17.815922221682406</v>
      </c>
      <c r="AU82" s="71">
        <f>SET!$F$11</f>
        <v>3.0022522522522523</v>
      </c>
      <c r="AV82" s="72">
        <f>SET!$I$11</f>
        <v>2.7339881849062175</v>
      </c>
      <c r="AW82" s="69">
        <f>SET!$C$13+1</f>
        <v>11</v>
      </c>
      <c r="AX82" s="70">
        <f>U82/$AI82*$AH82+T82</f>
        <v>20.167785557412007</v>
      </c>
      <c r="AY82" s="71">
        <f>SET!$F$13</f>
        <v>3.3776276276276271</v>
      </c>
      <c r="AZ82" s="72">
        <f>SET!$I$13</f>
        <v>2.1471290728667785</v>
      </c>
      <c r="BA82" s="63"/>
      <c r="BB82" s="56"/>
      <c r="BC82" s="56"/>
      <c r="BD82" s="56"/>
      <c r="BE82" s="69">
        <f>SET!$C$14+1</f>
        <v>11</v>
      </c>
      <c r="BF82" s="70">
        <f>AC82/$AI82*$AH82+AB82</f>
        <v>25.494288405710225</v>
      </c>
      <c r="BG82" s="71">
        <f>SET!$F$14</f>
        <v>3.3776276276276271</v>
      </c>
      <c r="BH82" s="72">
        <f>SET!$I$14</f>
        <v>2.1471290728667785</v>
      </c>
      <c r="BI82" s="921">
        <f>AF82+AL82+AP82+AT82+AX82+BB82+BF82-AE82</f>
        <v>-9.5398896178267023E-6</v>
      </c>
    </row>
    <row r="83" spans="1:61" s="44" customFormat="1" x14ac:dyDescent="0.2">
      <c r="A83" s="934" t="s">
        <v>144</v>
      </c>
      <c r="B83" s="45" t="str">
        <f>hr!$A$10</f>
        <v>off</v>
      </c>
      <c r="C83" s="839"/>
      <c r="D83" s="892">
        <f>MAX(H17:K17)</f>
        <v>7.8507689709586451E-2</v>
      </c>
      <c r="E83" s="839"/>
      <c r="F83" s="839">
        <f>D83/$AD83*$AG83</f>
        <v>12.995517152369279</v>
      </c>
      <c r="G83" s="893">
        <f>IF(F83&gt;AK83,0,AK83)</f>
        <v>14</v>
      </c>
      <c r="H83" s="894">
        <f t="shared" si="174"/>
        <v>0</v>
      </c>
      <c r="I83" s="892"/>
      <c r="J83" s="839"/>
      <c r="K83" s="893"/>
      <c r="L83" s="895"/>
      <c r="M83" s="892">
        <f>MAX(S17:V17)</f>
        <v>0.10676423594533963</v>
      </c>
      <c r="N83" s="839">
        <f t="shared" si="162"/>
        <v>17.672873378642318</v>
      </c>
      <c r="O83" s="893">
        <f t="shared" si="163"/>
        <v>0</v>
      </c>
      <c r="P83" s="894">
        <f t="shared" si="164"/>
        <v>17.672873378642318</v>
      </c>
      <c r="Q83" s="892">
        <f>MAX(AD17:AG17)</f>
        <v>0.11278938973177743</v>
      </c>
      <c r="R83" s="839"/>
      <c r="S83" s="839">
        <f t="shared" si="169"/>
        <v>18.670227773695345</v>
      </c>
      <c r="T83" s="893">
        <f t="shared" si="170"/>
        <v>0</v>
      </c>
      <c r="U83" s="894">
        <f t="shared" si="171"/>
        <v>18.670227773695345</v>
      </c>
      <c r="V83" s="892"/>
      <c r="W83" s="839"/>
      <c r="X83" s="893"/>
      <c r="Y83" s="895"/>
      <c r="Z83" s="892">
        <f>MAX(AO17:AR17)</f>
        <v>0.10958151082995241</v>
      </c>
      <c r="AA83" s="839">
        <f t="shared" si="156"/>
        <v>18.139221888213275</v>
      </c>
      <c r="AB83" s="893">
        <f t="shared" si="157"/>
        <v>0</v>
      </c>
      <c r="AC83" s="894">
        <f t="shared" si="158"/>
        <v>18.139221888213275</v>
      </c>
      <c r="AD83" s="912">
        <f t="shared" si="101"/>
        <v>0.4076438262166559</v>
      </c>
      <c r="AE83" s="904">
        <f>$AE$44+10</f>
        <v>90</v>
      </c>
      <c r="AF83" s="893">
        <f t="shared" si="102"/>
        <v>22.521994275305751</v>
      </c>
      <c r="AG83" s="894">
        <f t="shared" si="103"/>
        <v>67.478005724694242</v>
      </c>
      <c r="AH83" s="891">
        <f t="shared" si="104"/>
        <v>53.478005724694242</v>
      </c>
      <c r="AI83" s="891">
        <f t="shared" si="105"/>
        <v>54.482333040550941</v>
      </c>
      <c r="AJ83" s="920"/>
      <c r="AK83" s="69">
        <f>SET!$C$10+1</f>
        <v>14</v>
      </c>
      <c r="AL83" s="501">
        <f>H83/$AI83*$AH83+G83</f>
        <v>14</v>
      </c>
      <c r="AM83" s="74">
        <f>SET!$F$10</f>
        <v>3.0022522522522523</v>
      </c>
      <c r="AN83" s="75">
        <f>SET!$I$10</f>
        <v>2.7339881849062175</v>
      </c>
      <c r="AO83" s="63"/>
      <c r="AP83" s="56"/>
      <c r="AQ83" s="56"/>
      <c r="AR83" s="56"/>
      <c r="AS83" s="69">
        <f>SET!$C$11+1</f>
        <v>14</v>
      </c>
      <c r="AT83" s="501">
        <f t="shared" si="166"/>
        <v>17.347091634482492</v>
      </c>
      <c r="AU83" s="74">
        <f>SET!$F$11</f>
        <v>3.0022522522522523</v>
      </c>
      <c r="AV83" s="75">
        <f>SET!$I$11</f>
        <v>2.7339881849062175</v>
      </c>
      <c r="AW83" s="69">
        <f>SET!$C$13+1</f>
        <v>11</v>
      </c>
      <c r="AX83" s="501">
        <f t="shared" ref="AX83:AX84" si="175">U83/$AI83*$AH83+T83</f>
        <v>18.326060798826035</v>
      </c>
      <c r="AY83" s="74">
        <f>SET!$F$13</f>
        <v>3.3776276276276271</v>
      </c>
      <c r="AZ83" s="75">
        <f>SET!$I$13</f>
        <v>2.1471290728667785</v>
      </c>
      <c r="BA83" s="63"/>
      <c r="BB83" s="56"/>
      <c r="BC83" s="56"/>
      <c r="BD83" s="56"/>
      <c r="BE83" s="69">
        <f>SET!$C$14+1</f>
        <v>11</v>
      </c>
      <c r="BF83" s="501">
        <f t="shared" ref="BF83:BF84" si="176">AC83/$AI83*$AH83+AB83</f>
        <v>17.804843475725708</v>
      </c>
      <c r="BG83" s="74">
        <f>SET!$F$14</f>
        <v>3.3776276276276271</v>
      </c>
      <c r="BH83" s="75">
        <f>SET!$I$14</f>
        <v>2.1471290728667785</v>
      </c>
      <c r="BI83" s="922">
        <f t="shared" si="106"/>
        <v>-9.8156600216725565E-6</v>
      </c>
    </row>
    <row r="84" spans="1:61" s="44" customFormat="1" x14ac:dyDescent="0.2">
      <c r="A84" s="935" t="s">
        <v>144</v>
      </c>
      <c r="B84" s="510" t="str">
        <f>hr!$A$11</f>
        <v>PM</v>
      </c>
      <c r="C84" s="897"/>
      <c r="D84" s="898">
        <f>MAX(H18:K18)</f>
        <v>0.1712762591018645</v>
      </c>
      <c r="E84" s="897"/>
      <c r="F84" s="897">
        <f>D84/$AD84*$AG84</f>
        <v>16.1454012240062</v>
      </c>
      <c r="G84" s="899">
        <f>IF(F84&gt;AK84,0,AK84)</f>
        <v>0</v>
      </c>
      <c r="H84" s="900">
        <f t="shared" si="174"/>
        <v>16.1454012240062</v>
      </c>
      <c r="I84" s="898"/>
      <c r="J84" s="897"/>
      <c r="K84" s="899"/>
      <c r="L84" s="901"/>
      <c r="M84" s="898">
        <f>MAX(S18:V18)</f>
        <v>0.15951295936781371</v>
      </c>
      <c r="N84" s="897">
        <f t="shared" si="162"/>
        <v>15.036530707330909</v>
      </c>
      <c r="O84" s="899">
        <f t="shared" si="163"/>
        <v>0</v>
      </c>
      <c r="P84" s="900">
        <f t="shared" si="164"/>
        <v>15.036530707330909</v>
      </c>
      <c r="Q84" s="898">
        <f>MAX(AD18:AG18)</f>
        <v>0.31266331644195205</v>
      </c>
      <c r="R84" s="897"/>
      <c r="S84" s="897">
        <f t="shared" si="169"/>
        <v>29.473289050419112</v>
      </c>
      <c r="T84" s="899">
        <f t="shared" si="170"/>
        <v>0</v>
      </c>
      <c r="U84" s="900">
        <f t="shared" si="171"/>
        <v>29.473289050419112</v>
      </c>
      <c r="V84" s="898"/>
      <c r="W84" s="897"/>
      <c r="X84" s="899"/>
      <c r="Y84" s="901"/>
      <c r="Z84" s="898">
        <f>MAX(AO18:AR18)</f>
        <v>0.17846118861146334</v>
      </c>
      <c r="AA84" s="897">
        <f t="shared" si="156"/>
        <v>16.822690477677273</v>
      </c>
      <c r="AB84" s="899">
        <f t="shared" si="157"/>
        <v>0</v>
      </c>
      <c r="AC84" s="900">
        <f t="shared" si="158"/>
        <v>16.822690477677273</v>
      </c>
      <c r="AD84" s="913">
        <f t="shared" si="101"/>
        <v>0.82191472352309358</v>
      </c>
      <c r="AE84" s="905">
        <f>$AE$45+10</f>
        <v>100</v>
      </c>
      <c r="AF84" s="899">
        <f t="shared" si="102"/>
        <v>22.521994275305751</v>
      </c>
      <c r="AG84" s="900">
        <f t="shared" si="103"/>
        <v>77.478005724694242</v>
      </c>
      <c r="AH84" s="891">
        <f t="shared" si="104"/>
        <v>77.478005724694242</v>
      </c>
      <c r="AI84" s="891">
        <f t="shared" si="105"/>
        <v>77.477921459433503</v>
      </c>
      <c r="AJ84" s="920"/>
      <c r="AK84" s="69">
        <f>SET!$C$10+1</f>
        <v>14</v>
      </c>
      <c r="AL84" s="502">
        <f>H84/$AI84*$AH84+G84</f>
        <v>16.145418783801535</v>
      </c>
      <c r="AM84" s="77">
        <f>SET!$F$10</f>
        <v>3.0022522522522523</v>
      </c>
      <c r="AN84" s="78">
        <f>SET!$I$10</f>
        <v>2.7339881849062175</v>
      </c>
      <c r="AO84" s="64"/>
      <c r="AP84" s="60"/>
      <c r="AQ84" s="60"/>
      <c r="AR84" s="60"/>
      <c r="AS84" s="69">
        <f>SET!$C$11+1</f>
        <v>14</v>
      </c>
      <c r="AT84" s="502">
        <f t="shared" si="166"/>
        <v>15.036547061114758</v>
      </c>
      <c r="AU84" s="77">
        <f>SET!$F$11</f>
        <v>3.0022522522522523</v>
      </c>
      <c r="AV84" s="78">
        <f>SET!$I$11</f>
        <v>2.7339881849062175</v>
      </c>
      <c r="AW84" s="69">
        <f>SET!$C$13+1</f>
        <v>11</v>
      </c>
      <c r="AX84" s="502">
        <f t="shared" si="175"/>
        <v>29.473321105672269</v>
      </c>
      <c r="AY84" s="77">
        <f>SET!$F$13</f>
        <v>3.3776276276276271</v>
      </c>
      <c r="AZ84" s="78">
        <f>SET!$I$13</f>
        <v>2.1471290728667785</v>
      </c>
      <c r="BA84" s="64"/>
      <c r="BB84" s="60"/>
      <c r="BC84" s="60"/>
      <c r="BD84" s="60"/>
      <c r="BE84" s="69">
        <f>SET!$C$14+1</f>
        <v>11</v>
      </c>
      <c r="BF84" s="502">
        <f t="shared" si="176"/>
        <v>16.822708774094789</v>
      </c>
      <c r="BG84" s="77">
        <f>SET!$F$14</f>
        <v>3.3776276276276271</v>
      </c>
      <c r="BH84" s="78">
        <f>SET!$I$14</f>
        <v>2.1471290728667785</v>
      </c>
      <c r="BI84" s="923">
        <f t="shared" si="106"/>
        <v>-1.0000010888688848E-5</v>
      </c>
    </row>
  </sheetData>
  <mergeCells count="7">
    <mergeCell ref="BA20:BD20"/>
    <mergeCell ref="BE20:BH20"/>
    <mergeCell ref="BI20:BI21"/>
    <mergeCell ref="AK20:AN20"/>
    <mergeCell ref="AO20:AR20"/>
    <mergeCell ref="AS20:AV20"/>
    <mergeCell ref="AW20:AZ20"/>
  </mergeCells>
  <conditionalFormatting sqref="BI22:BI84">
    <cfRule type="cellIs" dxfId="58" priority="1" operator="lessThan">
      <formula>0.000001</formula>
    </cfRule>
  </conditionalFormatting>
  <printOptions horizontalCentered="1" verticalCentered="1"/>
  <pageMargins left="0.70866141732283472" right="0.70866141732283472" top="0.74803149606299213" bottom="0.74803149606299213" header="0.31496062992125984" footer="0.35433070866141736"/>
  <pageSetup paperSize="9" orientation="landscape" r:id="rId1"/>
  <headerFooter>
    <oddFooter>&amp;L&amp;8copyright:
Dr John Sampson&amp;C&amp;9&amp;F
&amp;A&amp;R&amp;9print:
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  <pageSetUpPr fitToPage="1"/>
  </sheetPr>
  <dimension ref="A1:P41"/>
  <sheetViews>
    <sheetView showGridLines="0" showZeros="0" topLeftCell="B1" zoomScale="120" zoomScaleNormal="120" workbookViewId="0">
      <selection activeCell="B1" sqref="B1"/>
    </sheetView>
  </sheetViews>
  <sheetFormatPr defaultColWidth="9.140625" defaultRowHeight="12.75" x14ac:dyDescent="0.2"/>
  <cols>
    <col min="1" max="1" width="5.42578125" style="1" hidden="1" customWidth="1"/>
    <col min="2" max="2" width="4.140625" style="1" customWidth="1"/>
    <col min="3" max="3" width="10.28515625" style="1" customWidth="1"/>
    <col min="4" max="4" width="9.5703125" style="1" customWidth="1"/>
    <col min="5" max="5" width="7.5703125" style="1" customWidth="1"/>
    <col min="6" max="6" width="4.140625" style="1" customWidth="1"/>
    <col min="7" max="9" width="7.7109375" style="1" customWidth="1"/>
    <col min="10" max="10" width="4.140625" style="1" customWidth="1"/>
    <col min="11" max="13" width="7.85546875" style="1" customWidth="1"/>
    <col min="14" max="14" width="4.140625" style="1" customWidth="1"/>
    <col min="15" max="15" width="7.7109375" style="1" customWidth="1"/>
    <col min="16" max="16" width="3.85546875" style="1" customWidth="1"/>
    <col min="17" max="16384" width="9.140625" style="1"/>
  </cols>
  <sheetData>
    <row r="1" spans="1:16" ht="17.25" customHeight="1" thickTop="1" x14ac:dyDescent="0.3">
      <c r="A1" s="193"/>
      <c r="B1" s="223"/>
      <c r="C1" s="224"/>
      <c r="D1" s="224"/>
      <c r="E1" s="224"/>
      <c r="F1" s="224"/>
      <c r="G1" s="224"/>
      <c r="H1" s="224"/>
      <c r="I1" s="433" t="s">
        <v>581</v>
      </c>
      <c r="J1" s="283" t="s">
        <v>298</v>
      </c>
      <c r="K1" s="434" t="s">
        <v>582</v>
      </c>
      <c r="L1" s="224"/>
      <c r="M1" s="224"/>
      <c r="N1" s="288"/>
      <c r="O1" s="288"/>
      <c r="P1" s="225"/>
    </row>
    <row r="2" spans="1:16" ht="13.5" customHeight="1" x14ac:dyDescent="0.2">
      <c r="A2" s="5"/>
      <c r="B2" s="226"/>
      <c r="D2" s="27"/>
      <c r="E2" s="200"/>
      <c r="J2" s="195" t="s">
        <v>583</v>
      </c>
      <c r="P2" s="228"/>
    </row>
    <row r="3" spans="1:16" ht="13.5" customHeight="1" x14ac:dyDescent="0.2">
      <c r="A3" s="5"/>
      <c r="B3" s="226"/>
      <c r="C3" s="10"/>
      <c r="D3" s="27"/>
      <c r="E3" s="27"/>
      <c r="P3" s="228"/>
    </row>
    <row r="4" spans="1:16" ht="15.75" customHeight="1" x14ac:dyDescent="0.2">
      <c r="A4" s="7"/>
      <c r="B4" s="232"/>
      <c r="D4" s="8"/>
      <c r="E4" s="8"/>
      <c r="G4" s="8"/>
      <c r="I4" s="1184" t="s">
        <v>327</v>
      </c>
      <c r="J4" s="1185"/>
      <c r="K4" s="1186"/>
      <c r="L4" s="8"/>
      <c r="O4" s="655" t="s">
        <v>576</v>
      </c>
      <c r="P4" s="228"/>
    </row>
    <row r="5" spans="1:16" ht="9.75" customHeight="1" x14ac:dyDescent="0.2">
      <c r="B5" s="226"/>
      <c r="C5" s="654"/>
      <c r="D5" s="654"/>
      <c r="E5" s="645"/>
      <c r="F5" s="1125"/>
      <c r="G5" s="1125"/>
      <c r="H5" s="1125"/>
      <c r="I5" s="1125"/>
      <c r="J5" s="1125"/>
      <c r="K5" s="1126"/>
      <c r="L5" s="1127"/>
      <c r="M5" s="1128"/>
      <c r="N5" s="1125"/>
      <c r="O5" s="648"/>
      <c r="P5" s="649"/>
    </row>
    <row r="6" spans="1:16" ht="13.5" customHeight="1" x14ac:dyDescent="0.2">
      <c r="B6" s="226"/>
      <c r="C6" s="1308" t="s">
        <v>211</v>
      </c>
      <c r="D6" s="1309"/>
      <c r="E6" s="1085" t="s">
        <v>280</v>
      </c>
      <c r="F6" s="242"/>
      <c r="G6" s="1302" t="s">
        <v>511</v>
      </c>
      <c r="H6" s="1303"/>
      <c r="I6" s="1304"/>
      <c r="J6" s="242"/>
      <c r="K6" s="1305" t="s">
        <v>494</v>
      </c>
      <c r="L6" s="1306"/>
      <c r="M6" s="1307"/>
      <c r="N6" s="1140"/>
      <c r="O6" s="656" t="s">
        <v>514</v>
      </c>
      <c r="P6" s="650"/>
    </row>
    <row r="7" spans="1:16" s="188" customFormat="1" ht="12" customHeight="1" x14ac:dyDescent="0.2">
      <c r="B7" s="646"/>
      <c r="C7" s="1081" t="s">
        <v>580</v>
      </c>
      <c r="D7" s="1082" t="s">
        <v>230</v>
      </c>
      <c r="E7" s="1083" t="s">
        <v>512</v>
      </c>
      <c r="F7" s="242"/>
      <c r="G7" s="1077" t="s">
        <v>21</v>
      </c>
      <c r="H7" s="1077" t="s">
        <v>22</v>
      </c>
      <c r="I7" s="1077" t="s">
        <v>23</v>
      </c>
      <c r="J7" s="242"/>
      <c r="K7" s="1078" t="s">
        <v>21</v>
      </c>
      <c r="L7" s="1078" t="s">
        <v>22</v>
      </c>
      <c r="M7" s="1078" t="s">
        <v>23</v>
      </c>
      <c r="N7" s="1141"/>
      <c r="O7" s="1079" t="s">
        <v>492</v>
      </c>
      <c r="P7" s="653"/>
    </row>
    <row r="8" spans="1:16" s="17" customFormat="1" ht="9" customHeight="1" thickBot="1" x14ac:dyDescent="0.25">
      <c r="B8" s="1080"/>
      <c r="F8" s="1142"/>
      <c r="K8" s="1142"/>
      <c r="L8" s="1142"/>
      <c r="M8" s="1142"/>
      <c r="N8" s="1142"/>
      <c r="O8" s="1142"/>
      <c r="P8" s="1084"/>
    </row>
    <row r="9" spans="1:16" ht="13.5" customHeight="1" x14ac:dyDescent="0.2">
      <c r="B9" s="226"/>
      <c r="C9" s="1086" t="s">
        <v>577</v>
      </c>
      <c r="D9" s="1087" t="s">
        <v>207</v>
      </c>
      <c r="E9" s="1088">
        <v>0.41132857218024299</v>
      </c>
      <c r="F9" s="1143"/>
      <c r="G9" s="1099">
        <v>2.7454419278389897</v>
      </c>
      <c r="H9" s="1100">
        <v>0.45390779182002733</v>
      </c>
      <c r="I9" s="1101">
        <v>2.6889402669067457</v>
      </c>
      <c r="J9" s="242"/>
      <c r="K9" s="1102">
        <v>1217.5498870846336</v>
      </c>
      <c r="L9" s="1103">
        <v>8.1736070924415092</v>
      </c>
      <c r="M9" s="1104">
        <v>1203.7733424666392</v>
      </c>
      <c r="N9" s="1143"/>
      <c r="O9" s="1105">
        <v>310.60342892751555</v>
      </c>
      <c r="P9" s="652"/>
    </row>
    <row r="10" spans="1:16" ht="13.5" customHeight="1" thickBot="1" x14ac:dyDescent="0.25">
      <c r="B10" s="226"/>
      <c r="C10" s="1089" t="s">
        <v>578</v>
      </c>
      <c r="D10" s="1090" t="s">
        <v>133</v>
      </c>
      <c r="E10" s="1091">
        <v>0.84292302230468974</v>
      </c>
      <c r="F10" s="1143"/>
      <c r="G10" s="1092">
        <v>0.87836398030260099</v>
      </c>
      <c r="H10" s="1093">
        <v>0.53449917930840363</v>
      </c>
      <c r="I10" s="1094">
        <v>0.92357272584450956</v>
      </c>
      <c r="J10" s="242"/>
      <c r="K10" s="1095">
        <v>46.958205277943961</v>
      </c>
      <c r="L10" s="1096">
        <v>30.22081938214113</v>
      </c>
      <c r="M10" s="1097">
        <v>50.507666952507648</v>
      </c>
      <c r="N10" s="1143"/>
      <c r="O10" s="1098">
        <v>17.487039340405243</v>
      </c>
      <c r="P10" s="652"/>
    </row>
    <row r="11" spans="1:16" s="17" customFormat="1" ht="9" customHeight="1" x14ac:dyDescent="0.2">
      <c r="B11" s="1150"/>
      <c r="C11" s="1151" t="s">
        <v>212</v>
      </c>
      <c r="D11" s="1151"/>
      <c r="E11" s="1151">
        <v>0.84292302230468974</v>
      </c>
      <c r="F11" s="1152"/>
      <c r="G11" s="1151">
        <v>0.8249292913206262</v>
      </c>
      <c r="H11" s="1151">
        <v>0.40032402772156911</v>
      </c>
      <c r="I11" s="1151">
        <v>0.92357272584450956</v>
      </c>
      <c r="J11" s="1151"/>
      <c r="K11" s="1152">
        <v>40.144361005541469</v>
      </c>
      <c r="L11" s="1152">
        <v>8.1736070924415092</v>
      </c>
      <c r="M11" s="1152">
        <v>50.507666952507648</v>
      </c>
      <c r="N11" s="1152"/>
      <c r="O11" s="1152">
        <v>17.487039340405243</v>
      </c>
      <c r="P11" s="1153"/>
    </row>
    <row r="12" spans="1:16" ht="13.5" customHeight="1" x14ac:dyDescent="0.2">
      <c r="A12" s="100">
        <v>3.5467590620874262E-2</v>
      </c>
      <c r="B12" s="647"/>
      <c r="C12" s="668" t="s">
        <v>203</v>
      </c>
      <c r="D12" s="671" t="s">
        <v>204</v>
      </c>
      <c r="E12" s="675">
        <v>3.5467590620874262E-2</v>
      </c>
      <c r="F12" s="242"/>
      <c r="G12" s="689">
        <v>104.57001822021194</v>
      </c>
      <c r="H12" s="690">
        <v>1.9520987078796117</v>
      </c>
      <c r="I12" s="691">
        <v>84.015122877653184</v>
      </c>
      <c r="J12" s="242"/>
      <c r="K12" s="700">
        <v>1870.659192422029</v>
      </c>
      <c r="L12" s="701">
        <v>971.76829376686806</v>
      </c>
      <c r="M12" s="702">
        <v>1866.4478250858936</v>
      </c>
      <c r="N12" s="1143"/>
      <c r="O12" s="830">
        <v>400.27288224754778</v>
      </c>
      <c r="P12" s="652"/>
    </row>
    <row r="13" spans="1:16" ht="13.5" customHeight="1" x14ac:dyDescent="0.2">
      <c r="A13" s="100">
        <v>5.4095780284722769E-2</v>
      </c>
      <c r="B13" s="647"/>
      <c r="C13" s="669"/>
      <c r="D13" s="672" t="s">
        <v>205</v>
      </c>
      <c r="E13" s="676">
        <v>5.4095780284722769E-2</v>
      </c>
      <c r="F13" s="242"/>
      <c r="G13" s="692">
        <v>30.635423632435014</v>
      </c>
      <c r="H13" s="1144">
        <v>1.2415888086665432</v>
      </c>
      <c r="I13" s="693">
        <v>34.776007925569289</v>
      </c>
      <c r="J13" s="242"/>
      <c r="K13" s="703">
        <v>1829.1170273600301</v>
      </c>
      <c r="L13" s="1145">
        <v>438.11720372031442</v>
      </c>
      <c r="M13" s="704">
        <v>1836.1127167596483</v>
      </c>
      <c r="N13" s="1143"/>
      <c r="O13" s="831">
        <v>816.36704932104249</v>
      </c>
      <c r="P13" s="652"/>
    </row>
    <row r="14" spans="1:16" ht="13.5" customHeight="1" x14ac:dyDescent="0.2">
      <c r="A14" s="100">
        <v>0.15990183975578021</v>
      </c>
      <c r="B14" s="647"/>
      <c r="C14" s="669"/>
      <c r="D14" s="672" t="s">
        <v>206</v>
      </c>
      <c r="E14" s="676">
        <v>0.15990183975578021</v>
      </c>
      <c r="F14" s="242"/>
      <c r="G14" s="692">
        <v>3.5907025244431021</v>
      </c>
      <c r="H14" s="1144">
        <v>1.3254711795729051</v>
      </c>
      <c r="I14" s="693">
        <v>3.6745521441790832</v>
      </c>
      <c r="J14" s="242"/>
      <c r="K14" s="703">
        <v>1392.5581540631715</v>
      </c>
      <c r="L14" s="1145">
        <v>535.84516503590964</v>
      </c>
      <c r="M14" s="704">
        <v>1403.9971988611521</v>
      </c>
      <c r="N14" s="1143"/>
      <c r="O14" s="831">
        <v>671.53286724263955</v>
      </c>
      <c r="P14" s="652"/>
    </row>
    <row r="15" spans="1:16" ht="13.5" customHeight="1" x14ac:dyDescent="0.2">
      <c r="A15" s="100">
        <v>0.12820359868844228</v>
      </c>
      <c r="B15" s="647"/>
      <c r="C15" s="669"/>
      <c r="D15" s="672" t="s">
        <v>477</v>
      </c>
      <c r="E15" s="676">
        <v>0.12820359868844228</v>
      </c>
      <c r="F15" s="242"/>
      <c r="G15" s="692">
        <v>10.000775572185411</v>
      </c>
      <c r="H15" s="1144">
        <v>0.94092426229782022</v>
      </c>
      <c r="I15" s="693">
        <v>9.7627774371002314</v>
      </c>
      <c r="J15" s="242"/>
      <c r="K15" s="703">
        <v>1691.9959985416933</v>
      </c>
      <c r="L15" s="1145">
        <v>35.761669081296965</v>
      </c>
      <c r="M15" s="704">
        <v>1687.608277698544</v>
      </c>
      <c r="N15" s="1143"/>
      <c r="O15" s="831">
        <v>592.73782029124845</v>
      </c>
      <c r="P15" s="652"/>
    </row>
    <row r="16" spans="1:16" ht="13.5" customHeight="1" x14ac:dyDescent="0.2">
      <c r="A16" s="100">
        <v>0.41132857218024299</v>
      </c>
      <c r="B16" s="647"/>
      <c r="C16" s="670"/>
      <c r="D16" s="673" t="s">
        <v>207</v>
      </c>
      <c r="E16" s="674">
        <v>0.41132857218024299</v>
      </c>
      <c r="F16" s="242"/>
      <c r="G16" s="694">
        <v>2.7454419278389897</v>
      </c>
      <c r="H16" s="695">
        <v>0.45390779182002733</v>
      </c>
      <c r="I16" s="696">
        <v>2.6889402669067457</v>
      </c>
      <c r="J16" s="242"/>
      <c r="K16" s="705">
        <v>1217.5498870846336</v>
      </c>
      <c r="L16" s="706">
        <v>8.1736070924415092</v>
      </c>
      <c r="M16" s="707">
        <v>1203.7733424666392</v>
      </c>
      <c r="N16" s="1143"/>
      <c r="O16" s="832">
        <v>310.60342892751555</v>
      </c>
      <c r="P16" s="652"/>
    </row>
    <row r="17" spans="1:16" ht="13.5" customHeight="1" x14ac:dyDescent="0.2">
      <c r="A17" s="100">
        <v>0.44088550603382554</v>
      </c>
      <c r="B17" s="647"/>
      <c r="C17" s="495" t="s">
        <v>81</v>
      </c>
      <c r="D17" s="679">
        <v>2</v>
      </c>
      <c r="E17" s="676">
        <v>0.44088550603382554</v>
      </c>
      <c r="F17" s="242"/>
      <c r="G17" s="697">
        <v>1.9434690780696136</v>
      </c>
      <c r="H17" s="698">
        <v>0.45901292032458341</v>
      </c>
      <c r="I17" s="699">
        <v>1.7080729484068329</v>
      </c>
      <c r="J17" s="242"/>
      <c r="K17" s="708">
        <v>981.27057607086499</v>
      </c>
      <c r="L17" s="709">
        <v>16.117249232772849</v>
      </c>
      <c r="M17" s="710">
        <v>865.97219869172216</v>
      </c>
      <c r="N17" s="1143"/>
      <c r="O17" s="833">
        <v>83.579871017237778</v>
      </c>
      <c r="P17" s="652"/>
    </row>
    <row r="18" spans="1:16" ht="13.5" customHeight="1" x14ac:dyDescent="0.2">
      <c r="A18" s="100">
        <v>0.3707409619049577</v>
      </c>
      <c r="B18" s="647"/>
      <c r="C18" s="668" t="s">
        <v>82</v>
      </c>
      <c r="D18" s="681" t="s">
        <v>125</v>
      </c>
      <c r="E18" s="677">
        <v>0.3707409619049577</v>
      </c>
      <c r="F18" s="242"/>
      <c r="G18" s="689">
        <v>2.2828889715242657</v>
      </c>
      <c r="H18" s="690">
        <v>0.56259785603096379</v>
      </c>
      <c r="I18" s="691">
        <v>1.8957347641328059</v>
      </c>
      <c r="J18" s="242"/>
      <c r="K18" s="700">
        <v>1120.0144823025328</v>
      </c>
      <c r="L18" s="701">
        <v>22.064671434658326</v>
      </c>
      <c r="M18" s="702">
        <v>963.15612529380132</v>
      </c>
      <c r="N18" s="1143"/>
      <c r="O18" s="830">
        <v>95.397404396974082</v>
      </c>
      <c r="P18" s="652"/>
    </row>
    <row r="19" spans="1:16" ht="13.5" customHeight="1" x14ac:dyDescent="0.2">
      <c r="A19" s="100">
        <v>0.40877984683299184</v>
      </c>
      <c r="B19" s="647"/>
      <c r="C19" s="669"/>
      <c r="D19" s="682" t="s">
        <v>126</v>
      </c>
      <c r="E19" s="678">
        <v>0.40877984683299184</v>
      </c>
      <c r="F19" s="242"/>
      <c r="G19" s="692">
        <v>1.4619218469388049</v>
      </c>
      <c r="H19" s="1144">
        <v>0.41008500857149655</v>
      </c>
      <c r="I19" s="693">
        <v>2.2710846062271561</v>
      </c>
      <c r="J19" s="242"/>
      <c r="K19" s="703">
        <v>703.31151804395688</v>
      </c>
      <c r="L19" s="1145">
        <v>21.180042994795734</v>
      </c>
      <c r="M19" s="704">
        <v>1136.1170074557376</v>
      </c>
      <c r="N19" s="1143"/>
      <c r="O19" s="831">
        <v>476.78393592531398</v>
      </c>
      <c r="P19" s="652"/>
    </row>
    <row r="20" spans="1:16" ht="13.5" customHeight="1" x14ac:dyDescent="0.2">
      <c r="A20" s="100">
        <v>0.35897945123921055</v>
      </c>
      <c r="B20" s="647"/>
      <c r="C20" s="669"/>
      <c r="D20" s="682" t="s">
        <v>127</v>
      </c>
      <c r="E20" s="678">
        <v>0.35897945123921055</v>
      </c>
      <c r="F20" s="242"/>
      <c r="G20" s="692">
        <v>2.294431717889883</v>
      </c>
      <c r="H20" s="1144">
        <v>0.5711313143893334</v>
      </c>
      <c r="I20" s="693">
        <v>2.0195739881902273</v>
      </c>
      <c r="J20" s="242"/>
      <c r="K20" s="703">
        <v>1125.2798314910733</v>
      </c>
      <c r="L20" s="1145">
        <v>23.090612309490091</v>
      </c>
      <c r="M20" s="704">
        <v>1030.3121739293897</v>
      </c>
      <c r="N20" s="1143"/>
      <c r="O20" s="831">
        <v>95.845881317377689</v>
      </c>
      <c r="P20" s="652"/>
    </row>
    <row r="21" spans="1:16" ht="13.5" customHeight="1" x14ac:dyDescent="0.2">
      <c r="A21" s="100">
        <v>0.36546222601086131</v>
      </c>
      <c r="B21" s="647"/>
      <c r="C21" s="669"/>
      <c r="D21" s="682" t="s">
        <v>128</v>
      </c>
      <c r="E21" s="678">
        <v>0.36546222601086131</v>
      </c>
      <c r="F21" s="242"/>
      <c r="G21" s="692">
        <v>2.2944317121791906</v>
      </c>
      <c r="H21" s="1144">
        <v>0.5711313143893334</v>
      </c>
      <c r="I21" s="693">
        <v>1.9134658645017759</v>
      </c>
      <c r="J21" s="242"/>
      <c r="K21" s="703">
        <v>1125.279829105812</v>
      </c>
      <c r="L21" s="1145">
        <v>23.090612309490091</v>
      </c>
      <c r="M21" s="704">
        <v>973.303446093655</v>
      </c>
      <c r="N21" s="1143"/>
      <c r="O21" s="831">
        <v>95.845881114212702</v>
      </c>
      <c r="P21" s="652"/>
    </row>
    <row r="22" spans="1:16" ht="13.5" customHeight="1" x14ac:dyDescent="0.2">
      <c r="A22" s="100">
        <v>0.36400229158131592</v>
      </c>
      <c r="B22" s="647"/>
      <c r="C22" s="669"/>
      <c r="D22" s="682" t="s">
        <v>129</v>
      </c>
      <c r="E22" s="678">
        <v>0.36400229158131592</v>
      </c>
      <c r="F22" s="242"/>
      <c r="G22" s="692">
        <v>2.2919442041032774</v>
      </c>
      <c r="H22" s="1144">
        <v>0.56927783178699687</v>
      </c>
      <c r="I22" s="693">
        <v>1.8605469622308521</v>
      </c>
      <c r="J22" s="242"/>
      <c r="K22" s="703">
        <v>1124.1495582652828</v>
      </c>
      <c r="L22" s="1145">
        <v>22.869087707602667</v>
      </c>
      <c r="M22" s="704">
        <v>945.76313108878639</v>
      </c>
      <c r="N22" s="1143"/>
      <c r="O22" s="831">
        <v>121.67245334784948</v>
      </c>
      <c r="P22" s="652"/>
    </row>
    <row r="23" spans="1:16" ht="13.5" customHeight="1" x14ac:dyDescent="0.2">
      <c r="A23" s="100">
        <v>0.43161629029048165</v>
      </c>
      <c r="B23" s="647"/>
      <c r="C23" s="670"/>
      <c r="D23" s="683" t="s">
        <v>130</v>
      </c>
      <c r="E23" s="678">
        <v>0.43161629029048165</v>
      </c>
      <c r="F23" s="242"/>
      <c r="G23" s="694">
        <v>1.3959238577876854</v>
      </c>
      <c r="H23" s="695">
        <v>0.41693726105680579</v>
      </c>
      <c r="I23" s="696">
        <v>2.0175005682314922</v>
      </c>
      <c r="J23" s="242"/>
      <c r="K23" s="705">
        <v>650.16738756886878</v>
      </c>
      <c r="L23" s="706">
        <v>22.003564994223673</v>
      </c>
      <c r="M23" s="707">
        <v>1029.2555507117233</v>
      </c>
      <c r="N23" s="1143"/>
      <c r="O23" s="832">
        <v>215.04517837127389</v>
      </c>
      <c r="P23" s="652"/>
    </row>
    <row r="24" spans="1:16" ht="13.5" customHeight="1" x14ac:dyDescent="0.2">
      <c r="A24" s="100">
        <v>0.77282751199567956</v>
      </c>
      <c r="B24" s="647"/>
      <c r="C24" s="668" t="s">
        <v>83</v>
      </c>
      <c r="D24" s="684" t="s">
        <v>131</v>
      </c>
      <c r="E24" s="675">
        <v>0.77282751199567956</v>
      </c>
      <c r="F24" s="242"/>
      <c r="G24" s="689">
        <v>1.0225487599444147</v>
      </c>
      <c r="H24" s="690">
        <v>0.43440910520217302</v>
      </c>
      <c r="I24" s="691">
        <v>0.93600065329291304</v>
      </c>
      <c r="J24" s="242"/>
      <c r="K24" s="700">
        <v>189.08943411073176</v>
      </c>
      <c r="L24" s="701">
        <v>25.82890825548796</v>
      </c>
      <c r="M24" s="702">
        <v>60.773594236146053</v>
      </c>
      <c r="N24" s="1143"/>
      <c r="O24" s="830">
        <v>19.759617356224311</v>
      </c>
      <c r="P24" s="652"/>
    </row>
    <row r="25" spans="1:16" ht="13.5" customHeight="1" x14ac:dyDescent="0.2">
      <c r="A25" s="100">
        <v>0.32892415768475036</v>
      </c>
      <c r="B25" s="647"/>
      <c r="C25" s="669"/>
      <c r="D25" s="685" t="s">
        <v>132</v>
      </c>
      <c r="E25" s="676">
        <v>0.32892415768475036</v>
      </c>
      <c r="F25" s="242"/>
      <c r="G25" s="692">
        <v>2.1903935104811931</v>
      </c>
      <c r="H25" s="1144">
        <v>0.43780709274379903</v>
      </c>
      <c r="I25" s="693">
        <v>2.5554880529814361</v>
      </c>
      <c r="J25" s="242"/>
      <c r="K25" s="703">
        <v>1109.656119287627</v>
      </c>
      <c r="L25" s="1145">
        <v>27.711889610702194</v>
      </c>
      <c r="M25" s="704">
        <v>1227.1945874182261</v>
      </c>
      <c r="N25" s="1143"/>
      <c r="O25" s="831">
        <v>535.10911071420651</v>
      </c>
      <c r="P25" s="652"/>
    </row>
    <row r="26" spans="1:16" ht="13.5" customHeight="1" x14ac:dyDescent="0.2">
      <c r="A26" s="100">
        <v>0.84292302230468974</v>
      </c>
      <c r="B26" s="647"/>
      <c r="C26" s="669"/>
      <c r="D26" s="685" t="s">
        <v>133</v>
      </c>
      <c r="E26" s="676">
        <v>0.84292302230468974</v>
      </c>
      <c r="F26" s="242"/>
      <c r="G26" s="692">
        <v>0.87836398030260099</v>
      </c>
      <c r="H26" s="1144">
        <v>0.53449917930840363</v>
      </c>
      <c r="I26" s="693">
        <v>0.92357272584450956</v>
      </c>
      <c r="J26" s="242"/>
      <c r="K26" s="703">
        <v>46.958205277943961</v>
      </c>
      <c r="L26" s="1145">
        <v>30.22081938214113</v>
      </c>
      <c r="M26" s="704">
        <v>50.507666952507648</v>
      </c>
      <c r="N26" s="1143"/>
      <c r="O26" s="831">
        <v>17.487039340405243</v>
      </c>
      <c r="P26" s="652"/>
    </row>
    <row r="27" spans="1:16" ht="13.5" customHeight="1" x14ac:dyDescent="0.2">
      <c r="A27" s="100">
        <v>0.35517140452992402</v>
      </c>
      <c r="B27" s="647"/>
      <c r="C27" s="669"/>
      <c r="D27" s="685" t="s">
        <v>134</v>
      </c>
      <c r="E27" s="676">
        <v>0.35517140452992402</v>
      </c>
      <c r="F27" s="242"/>
      <c r="G27" s="692">
        <v>2.6484924322184877</v>
      </c>
      <c r="H27" s="1144">
        <v>0.69160269705481736</v>
      </c>
      <c r="I27" s="693">
        <v>1.5011051521786352</v>
      </c>
      <c r="J27" s="242"/>
      <c r="K27" s="703">
        <v>1231.7189015936651</v>
      </c>
      <c r="L27" s="1145">
        <v>30.370193528206286</v>
      </c>
      <c r="M27" s="704">
        <v>725.22140948666186</v>
      </c>
      <c r="N27" s="1143"/>
      <c r="O27" s="831">
        <v>130.20274490642959</v>
      </c>
      <c r="P27" s="652"/>
    </row>
    <row r="28" spans="1:16" ht="13.5" customHeight="1" x14ac:dyDescent="0.2">
      <c r="A28" s="100">
        <v>0.51836188214558088</v>
      </c>
      <c r="B28" s="647"/>
      <c r="C28" s="669"/>
      <c r="D28" s="685" t="s">
        <v>135</v>
      </c>
      <c r="E28" s="676">
        <v>0.51836188214558088</v>
      </c>
      <c r="F28" s="242"/>
      <c r="G28" s="692">
        <v>0.96690681553097446</v>
      </c>
      <c r="H28" s="1144">
        <v>0.40032402772156911</v>
      </c>
      <c r="I28" s="693">
        <v>2.2428197185555097</v>
      </c>
      <c r="J28" s="242"/>
      <c r="K28" s="703">
        <v>85.932921520796015</v>
      </c>
      <c r="L28" s="1145">
        <v>26.775211773395906</v>
      </c>
      <c r="M28" s="704">
        <v>1112.3855659063404</v>
      </c>
      <c r="N28" s="1143"/>
      <c r="O28" s="831">
        <v>85.277749296948173</v>
      </c>
      <c r="P28" s="652"/>
    </row>
    <row r="29" spans="1:16" ht="13.5" customHeight="1" x14ac:dyDescent="0.2">
      <c r="A29" s="100">
        <v>0.30009735319660347</v>
      </c>
      <c r="B29" s="647"/>
      <c r="C29" s="669"/>
      <c r="D29" s="685" t="s">
        <v>136</v>
      </c>
      <c r="E29" s="676">
        <v>0.30009735319660347</v>
      </c>
      <c r="F29" s="242"/>
      <c r="G29" s="692">
        <v>2.6575434792137016</v>
      </c>
      <c r="H29" s="1144">
        <v>0.70014097802388608</v>
      </c>
      <c r="I29" s="693">
        <v>2.1874571198540056</v>
      </c>
      <c r="J29" s="242"/>
      <c r="K29" s="703">
        <v>1235.3746649564896</v>
      </c>
      <c r="L29" s="1145">
        <v>31.465853736277705</v>
      </c>
      <c r="M29" s="704">
        <v>1093.8233248007846</v>
      </c>
      <c r="N29" s="1143"/>
      <c r="O29" s="831">
        <v>155.36299348733263</v>
      </c>
      <c r="P29" s="652"/>
    </row>
    <row r="30" spans="1:16" ht="13.5" customHeight="1" x14ac:dyDescent="0.2">
      <c r="A30" s="100">
        <v>0.34181938001859363</v>
      </c>
      <c r="B30" s="647"/>
      <c r="C30" s="669"/>
      <c r="D30" s="685" t="s">
        <v>137</v>
      </c>
      <c r="E30" s="676">
        <v>0.34181938001859363</v>
      </c>
      <c r="F30" s="242"/>
      <c r="G30" s="692">
        <v>2.159466909481917</v>
      </c>
      <c r="H30" s="1144">
        <v>0.42667829030245286</v>
      </c>
      <c r="I30" s="693">
        <v>2.346138955641818</v>
      </c>
      <c r="J30" s="242"/>
      <c r="K30" s="703">
        <v>1101.8937696275791</v>
      </c>
      <c r="L30" s="1145">
        <v>28.571904751555135</v>
      </c>
      <c r="M30" s="704">
        <v>1156.8491633534179</v>
      </c>
      <c r="N30" s="1143"/>
      <c r="O30" s="831">
        <v>364.4552876172346</v>
      </c>
      <c r="P30" s="652"/>
    </row>
    <row r="31" spans="1:16" ht="13.5" customHeight="1" x14ac:dyDescent="0.2">
      <c r="A31" s="100">
        <v>0.36020667906049703</v>
      </c>
      <c r="B31" s="647"/>
      <c r="C31" s="669"/>
      <c r="D31" s="685" t="s">
        <v>138</v>
      </c>
      <c r="E31" s="676">
        <v>0.36020667906049703</v>
      </c>
      <c r="F31" s="242"/>
      <c r="G31" s="692">
        <v>2.657543473503718</v>
      </c>
      <c r="H31" s="1144">
        <v>0.67925141757703078</v>
      </c>
      <c r="I31" s="693">
        <v>1.5021446346489276</v>
      </c>
      <c r="J31" s="242"/>
      <c r="K31" s="703">
        <v>1235.3746629510918</v>
      </c>
      <c r="L31" s="1145">
        <v>30.683683455676039</v>
      </c>
      <c r="M31" s="704">
        <v>727.42939543654802</v>
      </c>
      <c r="N31" s="1143"/>
      <c r="O31" s="831">
        <v>105.22322538280125</v>
      </c>
      <c r="P31" s="652"/>
    </row>
    <row r="32" spans="1:16" ht="13.5" customHeight="1" x14ac:dyDescent="0.2">
      <c r="A32" s="100">
        <v>0.54858170663355421</v>
      </c>
      <c r="B32" s="647"/>
      <c r="C32" s="670"/>
      <c r="D32" s="680" t="s">
        <v>139</v>
      </c>
      <c r="E32" s="674">
        <v>0.54858170663355421</v>
      </c>
      <c r="F32" s="242"/>
      <c r="G32" s="694">
        <v>0.8249292913206262</v>
      </c>
      <c r="H32" s="695">
        <v>0.54161475789916869</v>
      </c>
      <c r="I32" s="696">
        <v>2.2582433657189784</v>
      </c>
      <c r="J32" s="242"/>
      <c r="K32" s="705">
        <v>40.144361005541469</v>
      </c>
      <c r="L32" s="706">
        <v>30.921845585673307</v>
      </c>
      <c r="M32" s="707">
        <v>1119.2807991360417</v>
      </c>
      <c r="N32" s="1143"/>
      <c r="O32" s="832">
        <v>85.806351958406978</v>
      </c>
      <c r="P32" s="652"/>
    </row>
    <row r="33" spans="1:16" ht="13.5" customHeight="1" x14ac:dyDescent="0.2">
      <c r="A33" s="100">
        <v>0.34116960397887508</v>
      </c>
      <c r="B33" s="647"/>
      <c r="C33" s="668" t="s">
        <v>208</v>
      </c>
      <c r="D33" s="686" t="s">
        <v>140</v>
      </c>
      <c r="E33" s="675">
        <v>0.34116960397887508</v>
      </c>
      <c r="F33" s="242"/>
      <c r="G33" s="689">
        <v>2.3072435534672939</v>
      </c>
      <c r="H33" s="690">
        <v>0.59241985363731453</v>
      </c>
      <c r="I33" s="691">
        <v>1.9333248411726101</v>
      </c>
      <c r="J33" s="242"/>
      <c r="K33" s="700">
        <v>1133.5018906157597</v>
      </c>
      <c r="L33" s="701">
        <v>30.349878877550953</v>
      </c>
      <c r="M33" s="702">
        <v>986.88704502119015</v>
      </c>
      <c r="N33" s="1143"/>
      <c r="O33" s="830">
        <v>130.63830428156444</v>
      </c>
      <c r="P33" s="652"/>
    </row>
    <row r="34" spans="1:16" ht="13.5" customHeight="1" x14ac:dyDescent="0.2">
      <c r="A34" s="100">
        <v>0.35744143920188054</v>
      </c>
      <c r="B34" s="647"/>
      <c r="C34" s="669" t="s">
        <v>210</v>
      </c>
      <c r="D34" s="687" t="s">
        <v>141</v>
      </c>
      <c r="E34" s="676">
        <v>0.35744143920188054</v>
      </c>
      <c r="F34" s="242"/>
      <c r="G34" s="692">
        <v>1.6049355593091692</v>
      </c>
      <c r="H34" s="1144">
        <v>0.45503050231563902</v>
      </c>
      <c r="I34" s="693">
        <v>2.5581541644385006</v>
      </c>
      <c r="J34" s="242"/>
      <c r="K34" s="703">
        <v>819.13755316462289</v>
      </c>
      <c r="L34" s="1145">
        <v>29.799937007797574</v>
      </c>
      <c r="M34" s="704">
        <v>1227.9103306470788</v>
      </c>
      <c r="N34" s="1143"/>
      <c r="O34" s="831">
        <v>515.30600859531319</v>
      </c>
      <c r="P34" s="652"/>
    </row>
    <row r="35" spans="1:16" ht="13.5" customHeight="1" x14ac:dyDescent="0.2">
      <c r="A35" s="100">
        <v>0.68539415084195299</v>
      </c>
      <c r="B35" s="647"/>
      <c r="C35" s="669" t="s">
        <v>209</v>
      </c>
      <c r="D35" s="687" t="s">
        <v>142</v>
      </c>
      <c r="E35" s="676">
        <v>0.68539415084195299</v>
      </c>
      <c r="F35" s="242"/>
      <c r="G35" s="692">
        <v>0.97897507662770122</v>
      </c>
      <c r="H35" s="1144">
        <v>0.46496848069920882</v>
      </c>
      <c r="I35" s="693">
        <v>0.96785494829242946</v>
      </c>
      <c r="J35" s="242"/>
      <c r="K35" s="703">
        <v>107.89551327022426</v>
      </c>
      <c r="L35" s="1145">
        <v>35.538972215488428</v>
      </c>
      <c r="M35" s="704">
        <v>85.561240379531526</v>
      </c>
      <c r="N35" s="1143"/>
      <c r="O35" s="831">
        <v>38.846016720400975</v>
      </c>
      <c r="P35" s="652"/>
    </row>
    <row r="36" spans="1:16" ht="13.5" customHeight="1" x14ac:dyDescent="0.2">
      <c r="A36" s="100">
        <v>0.5941292360787499</v>
      </c>
      <c r="B36" s="647"/>
      <c r="C36" s="669"/>
      <c r="D36" s="687" t="s">
        <v>143</v>
      </c>
      <c r="E36" s="676">
        <v>0.5941292360787499</v>
      </c>
      <c r="F36" s="242"/>
      <c r="G36" s="692">
        <v>1.1018617727191076</v>
      </c>
      <c r="H36" s="1144">
        <v>0.46084983011905634</v>
      </c>
      <c r="I36" s="693">
        <v>0.99812628756217014</v>
      </c>
      <c r="J36" s="242"/>
      <c r="K36" s="703">
        <v>318.50585587210082</v>
      </c>
      <c r="L36" s="1145">
        <v>35.167422848162893</v>
      </c>
      <c r="M36" s="704">
        <v>152.00791419009354</v>
      </c>
      <c r="N36" s="1143"/>
      <c r="O36" s="831">
        <v>84.475668518605971</v>
      </c>
      <c r="P36" s="652"/>
    </row>
    <row r="37" spans="1:16" ht="13.5" customHeight="1" x14ac:dyDescent="0.2">
      <c r="A37" s="100">
        <v>0.52382537612674873</v>
      </c>
      <c r="B37" s="647"/>
      <c r="C37" s="670"/>
      <c r="D37" s="688" t="s">
        <v>144</v>
      </c>
      <c r="E37" s="674">
        <v>0.52382537612674873</v>
      </c>
      <c r="F37" s="242"/>
      <c r="G37" s="694">
        <v>1.1769637848692258</v>
      </c>
      <c r="H37" s="695">
        <v>0.55391302692263533</v>
      </c>
      <c r="I37" s="696">
        <v>1.0608349224881324</v>
      </c>
      <c r="J37" s="242"/>
      <c r="K37" s="705">
        <v>424.05483366214952</v>
      </c>
      <c r="L37" s="706">
        <v>39.101091417934249</v>
      </c>
      <c r="M37" s="707">
        <v>262.385425346717</v>
      </c>
      <c r="N37" s="1143"/>
      <c r="O37" s="832">
        <v>201.57778187905808</v>
      </c>
      <c r="P37" s="652"/>
    </row>
    <row r="38" spans="1:16" s="17" customFormat="1" ht="9" customHeight="1" x14ac:dyDescent="0.2">
      <c r="B38" s="1080"/>
      <c r="F38" s="1142"/>
      <c r="K38" s="1142"/>
      <c r="L38" s="1142"/>
      <c r="M38" s="1142"/>
      <c r="N38" s="1142"/>
      <c r="O38" s="1142"/>
      <c r="P38" s="1084"/>
    </row>
    <row r="39" spans="1:16" ht="13.5" customHeight="1" x14ac:dyDescent="0.2">
      <c r="B39" s="226"/>
      <c r="C39" s="644"/>
      <c r="D39" s="859" t="s">
        <v>114</v>
      </c>
      <c r="E39" s="858">
        <v>1</v>
      </c>
      <c r="F39" s="644"/>
      <c r="G39" s="834">
        <v>0.25</v>
      </c>
      <c r="H39" s="834">
        <v>0.1</v>
      </c>
      <c r="I39" s="834">
        <v>0.25</v>
      </c>
      <c r="J39" s="644"/>
      <c r="K39" s="834">
        <v>0.05</v>
      </c>
      <c r="L39" s="834">
        <v>0.15</v>
      </c>
      <c r="M39" s="834">
        <v>0.05</v>
      </c>
      <c r="N39" s="644"/>
      <c r="O39" s="834">
        <v>0.15</v>
      </c>
      <c r="P39" s="651"/>
    </row>
    <row r="40" spans="1:16" s="17" customFormat="1" ht="9" customHeight="1" thickBot="1" x14ac:dyDescent="0.25">
      <c r="B40" s="1146"/>
      <c r="C40" s="1147"/>
      <c r="D40" s="1147"/>
      <c r="E40" s="1147"/>
      <c r="F40" s="1148"/>
      <c r="G40" s="1147"/>
      <c r="H40" s="1147"/>
      <c r="I40" s="1147"/>
      <c r="J40" s="1147"/>
      <c r="K40" s="1148"/>
      <c r="L40" s="1148"/>
      <c r="M40" s="1148"/>
      <c r="N40" s="1148"/>
      <c r="O40" s="1148"/>
      <c r="P40" s="1149"/>
    </row>
    <row r="41" spans="1:16" ht="13.5" thickTop="1" x14ac:dyDescent="0.2"/>
  </sheetData>
  <mergeCells count="4">
    <mergeCell ref="I4:K4"/>
    <mergeCell ref="G6:I6"/>
    <mergeCell ref="K6:M6"/>
    <mergeCell ref="C6:D6"/>
  </mergeCells>
  <conditionalFormatting sqref="G9:I10">
    <cfRule type="cellIs" dxfId="57" priority="1" operator="equal">
      <formula>G$11</formula>
    </cfRule>
    <cfRule type="cellIs" dxfId="56" priority="3" operator="lessThan">
      <formula>G$11*1.1</formula>
    </cfRule>
    <cfRule type="cellIs" dxfId="55" priority="5" stopIfTrue="1" operator="greaterThan">
      <formula>0.99</formula>
    </cfRule>
    <cfRule type="cellIs" dxfId="54" priority="293" stopIfTrue="1" operator="greaterThan">
      <formula>0.95</formula>
    </cfRule>
    <cfRule type="cellIs" dxfId="53" priority="294" stopIfTrue="1" operator="greaterThan">
      <formula>0.8</formula>
    </cfRule>
  </conditionalFormatting>
  <conditionalFormatting sqref="G12:I37">
    <cfRule type="cellIs" dxfId="52" priority="2" operator="equal">
      <formula>G$11</formula>
    </cfRule>
    <cfRule type="cellIs" dxfId="51" priority="4" operator="lessThan">
      <formula>G$11*1.1</formula>
    </cfRule>
    <cfRule type="cellIs" dxfId="50" priority="295" stopIfTrue="1" operator="greaterThan">
      <formula>0.99</formula>
    </cfRule>
    <cfRule type="cellIs" dxfId="49" priority="296" stopIfTrue="1" operator="greaterThan">
      <formula>0.95</formula>
    </cfRule>
    <cfRule type="cellIs" dxfId="48" priority="297" stopIfTrue="1" operator="greaterThan">
      <formula>0.8</formula>
    </cfRule>
  </conditionalFormatting>
  <conditionalFormatting sqref="K9:M9">
    <cfRule type="cellIs" dxfId="47" priority="19" stopIfTrue="1" operator="greaterThan">
      <formula>50</formula>
    </cfRule>
    <cfRule type="cellIs" dxfId="46" priority="35" stopIfTrue="1" operator="greaterThan">
      <formula>35</formula>
    </cfRule>
    <cfRule type="cellIs" dxfId="45" priority="36" stopIfTrue="1" operator="greaterThan">
      <formula>15</formula>
    </cfRule>
  </conditionalFormatting>
  <conditionalFormatting sqref="K9:M10">
    <cfRule type="cellIs" dxfId="44" priority="6" operator="equal">
      <formula>K$11</formula>
    </cfRule>
    <cfRule type="cellIs" dxfId="43" priority="11" operator="lessThan">
      <formula>K$11*1.1</formula>
    </cfRule>
  </conditionalFormatting>
  <conditionalFormatting sqref="K10:M10 K17:M37">
    <cfRule type="cellIs" dxfId="42" priority="42" stopIfTrue="1" operator="greaterThan">
      <formula>55</formula>
    </cfRule>
    <cfRule type="cellIs" dxfId="41" priority="43" stopIfTrue="1" operator="greaterThan">
      <formula>20</formula>
    </cfRule>
  </conditionalFormatting>
  <conditionalFormatting sqref="K12:M16">
    <cfRule type="cellIs" dxfId="40" priority="44" stopIfTrue="1" operator="greaterThan">
      <formula>50</formula>
    </cfRule>
    <cfRule type="cellIs" dxfId="39" priority="298" stopIfTrue="1" operator="greaterThan">
      <formula>35</formula>
    </cfRule>
    <cfRule type="cellIs" dxfId="38" priority="299" stopIfTrue="1" operator="greaterThan">
      <formula>15</formula>
    </cfRule>
  </conditionalFormatting>
  <conditionalFormatting sqref="K12:M37">
    <cfRule type="cellIs" dxfId="37" priority="10" operator="equal">
      <formula>K$11</formula>
    </cfRule>
    <cfRule type="cellIs" dxfId="36" priority="18" operator="lessThan">
      <formula>K$11*1.1</formula>
    </cfRule>
  </conditionalFormatting>
  <conditionalFormatting sqref="K17:M37 K10:M10">
    <cfRule type="cellIs" dxfId="35" priority="37" stopIfTrue="1" operator="greaterThan">
      <formula>80</formula>
    </cfRule>
  </conditionalFormatting>
  <conditionalFormatting sqref="O9:O10">
    <cfRule type="cellIs" dxfId="34" priority="8" stopIfTrue="1" operator="equal">
      <formula>O$11</formula>
    </cfRule>
    <cfRule type="cellIs" dxfId="33" priority="9" operator="lessThan">
      <formula>O$11*1.1</formula>
    </cfRule>
  </conditionalFormatting>
  <conditionalFormatting sqref="O12:O37">
    <cfRule type="cellIs" dxfId="32" priority="302" stopIfTrue="1" operator="equal">
      <formula>O$11</formula>
    </cfRule>
    <cfRule type="cellIs" dxfId="31" priority="303" operator="lessThan">
      <formula>O$11*1.1</formula>
    </cfRule>
  </conditionalFormatting>
  <printOptions horizontalCentered="1" verticalCentered="1"/>
  <pageMargins left="0.62992125984251968" right="0.62992125984251968" top="0.55118110236220474" bottom="0.55118110236220474" header="0.31496062992125984" footer="0.23622047244094491"/>
  <pageSetup paperSize="9" orientation="landscape" r:id="rId1"/>
  <headerFooter>
    <oddFooter>&amp;L&amp;8copyright:
Dr John Sampson&amp;C&amp;9&amp;F
&amp;A&amp;R&amp;9print:
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X46"/>
  <sheetViews>
    <sheetView showGridLines="0" showZeros="0" zoomScale="110" zoomScaleNormal="110" workbookViewId="0">
      <pane ySplit="4" topLeftCell="A5" activePane="bottomLeft" state="frozen"/>
      <selection pane="bottomLeft"/>
    </sheetView>
  </sheetViews>
  <sheetFormatPr defaultColWidth="9.140625" defaultRowHeight="12.75" x14ac:dyDescent="0.2"/>
  <cols>
    <col min="1" max="1" width="2" style="242" customWidth="1"/>
    <col min="2" max="2" width="6.7109375" style="242" customWidth="1"/>
    <col min="3" max="3" width="6" style="242" customWidth="1"/>
    <col min="4" max="6" width="7.140625" style="242" customWidth="1"/>
    <col min="7" max="7" width="4.28515625" style="242" customWidth="1"/>
    <col min="8" max="8" width="6" style="242" customWidth="1"/>
    <col min="9" max="11" width="7.140625" style="242" customWidth="1"/>
    <col min="12" max="12" width="4.28515625" style="242" customWidth="1"/>
    <col min="13" max="13" width="6" style="242" customWidth="1"/>
    <col min="14" max="16" width="7.140625" style="242" customWidth="1"/>
    <col min="17" max="17" width="4.28515625" style="242" customWidth="1"/>
    <col min="18" max="18" width="6" style="242" customWidth="1"/>
    <col min="19" max="21" width="7.140625" style="242" customWidth="1"/>
    <col min="22" max="22" width="4.28515625" style="242" customWidth="1"/>
    <col min="23" max="23" width="8.7109375" style="242" customWidth="1"/>
    <col min="24" max="24" width="2" style="242" customWidth="1"/>
    <col min="25" max="16384" width="9.140625" style="1"/>
  </cols>
  <sheetData>
    <row r="1" spans="1:24" ht="19.5" thickTop="1" x14ac:dyDescent="0.3">
      <c r="A1" s="627"/>
      <c r="B1" s="474"/>
      <c r="C1" s="474"/>
      <c r="D1" s="474"/>
      <c r="E1" s="474"/>
      <c r="F1" s="474"/>
      <c r="G1" s="474"/>
      <c r="H1" s="474"/>
      <c r="I1" s="474"/>
      <c r="J1" s="474"/>
      <c r="K1" s="628" t="str">
        <f>CVR!E7</f>
        <v>Queen Street</v>
      </c>
      <c r="L1" s="283" t="s">
        <v>298</v>
      </c>
      <c r="M1" s="434" t="str">
        <f>CVR!E9</f>
        <v>Albertina Sisulu Road</v>
      </c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289"/>
    </row>
    <row r="2" spans="1:24" ht="12.75" customHeight="1" x14ac:dyDescent="0.2">
      <c r="A2" s="246"/>
      <c r="D2" s="27"/>
      <c r="E2" s="27"/>
      <c r="L2" s="195" t="str">
        <f>CVR!E11</f>
        <v>example</v>
      </c>
      <c r="Q2" s="629"/>
      <c r="X2" s="598"/>
    </row>
    <row r="3" spans="1:24" ht="9" customHeight="1" x14ac:dyDescent="0.2">
      <c r="A3" s="246"/>
      <c r="B3" s="10"/>
      <c r="C3" s="27"/>
      <c r="D3" s="27"/>
      <c r="E3" s="27"/>
      <c r="Q3" s="629"/>
      <c r="X3" s="598"/>
    </row>
    <row r="4" spans="1:24" ht="16.5" thickBot="1" x14ac:dyDescent="0.3">
      <c r="A4" s="630"/>
      <c r="B4" s="631"/>
      <c r="C4" s="632"/>
      <c r="D4" s="632"/>
      <c r="E4" s="632"/>
      <c r="F4" s="632"/>
      <c r="G4" s="1313" t="s">
        <v>133</v>
      </c>
      <c r="H4" s="1314"/>
      <c r="I4" s="1315" t="str">
        <f>'+s4we'!V1</f>
        <v>4 stage signal, lead flash from south, west-east lag flash</v>
      </c>
      <c r="J4" s="1316"/>
      <c r="K4" s="1316"/>
      <c r="L4" s="1316"/>
      <c r="M4" s="1316"/>
      <c r="N4" s="1316"/>
      <c r="O4" s="1316"/>
      <c r="P4" s="1316"/>
      <c r="Q4" s="1316"/>
      <c r="R4" s="1317"/>
      <c r="S4" s="632"/>
      <c r="T4" s="632"/>
      <c r="U4" s="632"/>
      <c r="V4" s="632"/>
      <c r="W4" s="805" t="str">
        <f>cap!$A$1</f>
        <v>&amp;AutoJ 2408</v>
      </c>
      <c r="X4" s="624"/>
    </row>
    <row r="5" spans="1:24" s="98" customFormat="1" ht="9" customHeight="1" x14ac:dyDescent="0.2">
      <c r="A5" s="274"/>
      <c r="B5" s="31"/>
      <c r="C5" s="31"/>
      <c r="D5" s="242"/>
      <c r="E5" s="242"/>
      <c r="X5" s="598"/>
    </row>
    <row r="6" spans="1:24" s="98" customFormat="1" ht="15" x14ac:dyDescent="0.25">
      <c r="A6" s="274"/>
      <c r="B6" s="633" t="s">
        <v>332</v>
      </c>
      <c r="C6" s="325"/>
      <c r="D6" s="326"/>
      <c r="X6" s="275"/>
    </row>
    <row r="7" spans="1:24" s="98" customFormat="1" ht="13.5" thickBot="1" x14ac:dyDescent="0.25">
      <c r="A7" s="274"/>
      <c r="C7" s="1318" t="s">
        <v>44</v>
      </c>
      <c r="D7" s="1319"/>
      <c r="E7" s="1319"/>
      <c r="F7" s="1320"/>
      <c r="G7" s="838"/>
      <c r="H7" s="1318" t="s">
        <v>46</v>
      </c>
      <c r="I7" s="1319"/>
      <c r="J7" s="1319"/>
      <c r="K7" s="1320"/>
      <c r="L7" s="838"/>
      <c r="M7" s="1318" t="s">
        <v>48</v>
      </c>
      <c r="N7" s="1319"/>
      <c r="O7" s="1319"/>
      <c r="P7" s="1320"/>
      <c r="Q7" s="838"/>
      <c r="R7" s="1318" t="s">
        <v>47</v>
      </c>
      <c r="S7" s="1319"/>
      <c r="T7" s="1319"/>
      <c r="U7" s="1320"/>
      <c r="V7" s="838"/>
      <c r="W7" s="46"/>
      <c r="X7" s="275"/>
    </row>
    <row r="8" spans="1:24" s="46" customFormat="1" x14ac:dyDescent="0.2">
      <c r="A8" s="276"/>
      <c r="C8" s="866" t="s">
        <v>177</v>
      </c>
      <c r="D8" s="864" t="s">
        <v>178</v>
      </c>
      <c r="E8" s="837" t="s">
        <v>180</v>
      </c>
      <c r="F8" s="837" t="s">
        <v>179</v>
      </c>
      <c r="G8" s="835"/>
      <c r="H8" s="866" t="s">
        <v>177</v>
      </c>
      <c r="I8" s="864" t="s">
        <v>178</v>
      </c>
      <c r="J8" s="837" t="s">
        <v>180</v>
      </c>
      <c r="K8" s="837" t="s">
        <v>179</v>
      </c>
      <c r="L8" s="835"/>
      <c r="M8" s="866" t="s">
        <v>177</v>
      </c>
      <c r="N8" s="864" t="s">
        <v>178</v>
      </c>
      <c r="O8" s="837" t="s">
        <v>180</v>
      </c>
      <c r="P8" s="837" t="s">
        <v>179</v>
      </c>
      <c r="Q8" s="835"/>
      <c r="R8" s="866" t="s">
        <v>177</v>
      </c>
      <c r="S8" s="864" t="s">
        <v>178</v>
      </c>
      <c r="T8" s="837" t="s">
        <v>180</v>
      </c>
      <c r="U8" s="837" t="s">
        <v>179</v>
      </c>
      <c r="V8" s="835"/>
      <c r="X8" s="275"/>
    </row>
    <row r="9" spans="1:24" s="98" customFormat="1" x14ac:dyDescent="0.2">
      <c r="A9" s="274"/>
      <c r="B9" s="45" t="str">
        <f>hr!$A$9</f>
        <v>AM</v>
      </c>
      <c r="C9" s="867">
        <f>hr!C26+hr!D26*2</f>
        <v>10</v>
      </c>
      <c r="D9" s="634">
        <f>hr!C40</f>
        <v>93.669991524590159</v>
      </c>
      <c r="E9" s="634">
        <f>hr!D40</f>
        <v>478.35630410404838</v>
      </c>
      <c r="F9" s="634">
        <f>hr!E40</f>
        <v>63.078884082802546</v>
      </c>
      <c r="G9" s="46"/>
      <c r="H9" s="867">
        <f>hr!F26+hr!G26*2</f>
        <v>10</v>
      </c>
      <c r="I9" s="865">
        <f>hr!F40</f>
        <v>50.020520431034477</v>
      </c>
      <c r="J9" s="634">
        <f>hr!G40</f>
        <v>770.59203939890926</v>
      </c>
      <c r="K9" s="634">
        <f>hr!H40</f>
        <v>259.87699866108784</v>
      </c>
      <c r="L9" s="46"/>
      <c r="M9" s="867">
        <f>hr!I26+hr!J26*2</f>
        <v>10</v>
      </c>
      <c r="N9" s="865">
        <f>hr!I40</f>
        <v>186.22474084403669</v>
      </c>
      <c r="O9" s="634">
        <f>hr!J40</f>
        <v>1190.7128178658193</v>
      </c>
      <c r="P9" s="634">
        <f>hr!K40</f>
        <v>58.346728992537308</v>
      </c>
      <c r="Q9" s="46"/>
      <c r="R9" s="867">
        <f>hr!L26+hr!M26*2</f>
        <v>10</v>
      </c>
      <c r="S9" s="865">
        <f>hr!L40</f>
        <v>57.380308911111115</v>
      </c>
      <c r="T9" s="634">
        <f>hr!M40</f>
        <v>1736.0268330767572</v>
      </c>
      <c r="U9" s="634">
        <f>hr!N40</f>
        <v>306.63054920779223</v>
      </c>
      <c r="V9" s="46"/>
      <c r="W9" s="46"/>
      <c r="X9" s="275"/>
    </row>
    <row r="10" spans="1:24" s="98" customFormat="1" x14ac:dyDescent="0.2">
      <c r="A10" s="274"/>
      <c r="B10" s="45" t="str">
        <f>hr!$A$10</f>
        <v>off</v>
      </c>
      <c r="C10" s="867">
        <f>hr!C27+hr!D27*2</f>
        <v>10</v>
      </c>
      <c r="D10" s="634">
        <f>hr!C41</f>
        <v>78.310753619541074</v>
      </c>
      <c r="E10" s="634">
        <f>hr!D41</f>
        <v>305.77693812185669</v>
      </c>
      <c r="F10" s="634">
        <f>hr!E41</f>
        <v>109.89711542857142</v>
      </c>
      <c r="G10" s="46"/>
      <c r="H10" s="867">
        <f>hr!F27+hr!G27*2</f>
        <v>10</v>
      </c>
      <c r="I10" s="865">
        <f>hr!F41</f>
        <v>52.320066100680272</v>
      </c>
      <c r="J10" s="634">
        <f>hr!G41</f>
        <v>362.71974050005485</v>
      </c>
      <c r="K10" s="634">
        <f>hr!H41</f>
        <v>97.301053752212397</v>
      </c>
      <c r="L10" s="46"/>
      <c r="M10" s="867">
        <f>hr!I27+hr!J27*2</f>
        <v>10</v>
      </c>
      <c r="N10" s="865">
        <f>hr!I41</f>
        <v>83.786944123076921</v>
      </c>
      <c r="O10" s="634">
        <f>hr!J41</f>
        <v>570.72399438149944</v>
      </c>
      <c r="P10" s="634">
        <f>hr!K41</f>
        <v>59.007258</v>
      </c>
      <c r="Q10" s="46"/>
      <c r="R10" s="867">
        <f>hr!L27+hr!M27*2</f>
        <v>10</v>
      </c>
      <c r="S10" s="865">
        <f>hr!L41</f>
        <v>66.459520397515519</v>
      </c>
      <c r="T10" s="634">
        <f>hr!M41</f>
        <v>633.99768909901923</v>
      </c>
      <c r="U10" s="634">
        <f>hr!N41</f>
        <v>108.61826459890109</v>
      </c>
      <c r="V10" s="46"/>
      <c r="W10" s="46"/>
      <c r="X10" s="275"/>
    </row>
    <row r="11" spans="1:24" s="98" customFormat="1" ht="13.5" thickBot="1" x14ac:dyDescent="0.25">
      <c r="A11" s="274"/>
      <c r="B11" s="45" t="str">
        <f>hr!$A$11</f>
        <v>PM</v>
      </c>
      <c r="C11" s="868">
        <f>hr!C28+hr!D28*2</f>
        <v>10</v>
      </c>
      <c r="D11" s="634">
        <f>hr!C42</f>
        <v>336.16660848896436</v>
      </c>
      <c r="E11" s="634">
        <f>hr!D42</f>
        <v>667.09810468953981</v>
      </c>
      <c r="F11" s="634">
        <f>hr!E42</f>
        <v>64.470893000000004</v>
      </c>
      <c r="G11" s="46"/>
      <c r="H11" s="868">
        <f>hr!F28+hr!G28*2</f>
        <v>10</v>
      </c>
      <c r="I11" s="865">
        <f>hr!F42</f>
        <v>275.1006049427711</v>
      </c>
      <c r="J11" s="634">
        <f>hr!G42</f>
        <v>337.87083816327777</v>
      </c>
      <c r="K11" s="634">
        <f>hr!H42</f>
        <v>307.64960361328122</v>
      </c>
      <c r="L11" s="46"/>
      <c r="M11" s="868">
        <f>hr!I28+hr!J28*2</f>
        <v>10</v>
      </c>
      <c r="N11" s="865">
        <f>hr!I42</f>
        <v>303.69580856903764</v>
      </c>
      <c r="O11" s="634">
        <f>hr!J42</f>
        <v>1510.7793986597819</v>
      </c>
      <c r="P11" s="634">
        <f>hr!K42</f>
        <v>275.98335224610594</v>
      </c>
      <c r="Q11" s="46"/>
      <c r="R11" s="868">
        <f>hr!L28+hr!M28*2</f>
        <v>10</v>
      </c>
      <c r="S11" s="865">
        <f>hr!L42</f>
        <v>77.237142585365845</v>
      </c>
      <c r="T11" s="634">
        <f>hr!M42</f>
        <v>1032.5097820370861</v>
      </c>
      <c r="U11" s="634">
        <f>hr!N42</f>
        <v>166.01096218042815</v>
      </c>
      <c r="V11" s="46"/>
      <c r="W11" s="46"/>
      <c r="X11" s="275"/>
    </row>
    <row r="12" spans="1:24" s="98" customFormat="1" ht="9" customHeight="1" x14ac:dyDescent="0.2">
      <c r="A12" s="274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275"/>
    </row>
    <row r="13" spans="1:24" s="98" customFormat="1" ht="15" x14ac:dyDescent="0.25">
      <c r="A13" s="274"/>
      <c r="B13" s="635" t="s">
        <v>60</v>
      </c>
      <c r="C13" s="636"/>
      <c r="D13" s="637"/>
      <c r="E13" s="638" t="s">
        <v>281</v>
      </c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275"/>
    </row>
    <row r="14" spans="1:24" s="98" customFormat="1" x14ac:dyDescent="0.2">
      <c r="A14" s="274"/>
      <c r="C14" s="835" t="s">
        <v>273</v>
      </c>
      <c r="D14" s="835" t="s">
        <v>62</v>
      </c>
      <c r="E14" s="835" t="s">
        <v>64</v>
      </c>
      <c r="F14" s="835" t="s">
        <v>67</v>
      </c>
      <c r="G14" s="835"/>
      <c r="H14" s="835" t="s">
        <v>273</v>
      </c>
      <c r="I14" s="835" t="s">
        <v>62</v>
      </c>
      <c r="J14" s="835" t="s">
        <v>64</v>
      </c>
      <c r="K14" s="835" t="s">
        <v>67</v>
      </c>
      <c r="L14" s="835"/>
      <c r="M14" s="835" t="s">
        <v>273</v>
      </c>
      <c r="N14" s="835" t="s">
        <v>62</v>
      </c>
      <c r="O14" s="835" t="s">
        <v>64</v>
      </c>
      <c r="P14" s="835" t="s">
        <v>67</v>
      </c>
      <c r="Q14" s="835"/>
      <c r="R14" s="835" t="s">
        <v>273</v>
      </c>
      <c r="S14" s="835" t="s">
        <v>62</v>
      </c>
      <c r="T14" s="835" t="s">
        <v>64</v>
      </c>
      <c r="U14" s="835" t="s">
        <v>67</v>
      </c>
      <c r="V14" s="46"/>
      <c r="W14" s="46"/>
      <c r="X14" s="275"/>
    </row>
    <row r="15" spans="1:24" s="98" customFormat="1" x14ac:dyDescent="0.2">
      <c r="A15" s="274"/>
      <c r="B15" s="44" t="s">
        <v>275</v>
      </c>
      <c r="C15" s="642">
        <f>GEOM!Y13</f>
        <v>1</v>
      </c>
      <c r="D15" s="642">
        <f>GEOM!X13+GEOM!W13*0.5+GEOM!U13*0.3</f>
        <v>0</v>
      </c>
      <c r="E15" s="642">
        <f>GEOM!V13+GEOM!W13*0.5+GEOM!T13*0.5+GEOM!U13*0.4</f>
        <v>2</v>
      </c>
      <c r="F15" s="642">
        <f>GEOM!S13+GEOM!T13*0.5+GEOM!U13*0.3</f>
        <v>1</v>
      </c>
      <c r="G15" s="542"/>
      <c r="H15" s="642">
        <f>GEOM!K33</f>
        <v>0</v>
      </c>
      <c r="I15" s="642">
        <f>GEOM!L33+GEOM!M33*0.5+GEOM!O33*0.3</f>
        <v>0.5</v>
      </c>
      <c r="J15" s="642">
        <f>GEOM!N33+GEOM!M33*0.5+GEOM!P33*0.5+GEOM!O33*0.4</f>
        <v>1.5</v>
      </c>
      <c r="K15" s="642">
        <f>GEOM!Q33+GEOM!P33*0.5+GEOM!O33*0.3</f>
        <v>1</v>
      </c>
      <c r="L15" s="542"/>
      <c r="M15" s="642">
        <f>GEOM!H16</f>
        <v>0</v>
      </c>
      <c r="N15" s="642">
        <f>GEOM!H17+GEOM!H18*0.5+GEOM!H20*0.3</f>
        <v>0.5</v>
      </c>
      <c r="O15" s="642">
        <f>GEOM!H19+GEOM!H18*0.5+GEOM!H21*0.5+GEOM!H20*0.4</f>
        <v>2.5</v>
      </c>
      <c r="P15" s="642">
        <f>GEOM!H22+GEOM!H21*0.5+GEOM!H20*0.3</f>
        <v>1</v>
      </c>
      <c r="Q15" s="542"/>
      <c r="R15" s="642">
        <f>GEOM!AB30</f>
        <v>1</v>
      </c>
      <c r="S15" s="642">
        <f>GEOM!AB29+GEOM!AB28*0.5+GEOM!AB26*0.3</f>
        <v>0</v>
      </c>
      <c r="T15" s="642">
        <f>GEOM!AB27+GEOM!AB28*0.5+GEOM!AB25*0.5+GEOM!AB26*0.4</f>
        <v>3</v>
      </c>
      <c r="U15" s="642">
        <f>GEOM!AB24+GEOM!AB25*0.5+GEOM!AB26*0.3</f>
        <v>1</v>
      </c>
      <c r="V15" s="46"/>
      <c r="W15" s="46"/>
      <c r="X15" s="275"/>
    </row>
    <row r="16" spans="1:24" s="98" customFormat="1" ht="9" customHeight="1" x14ac:dyDescent="0.2">
      <c r="A16" s="274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275"/>
    </row>
    <row r="17" spans="1:24" s="98" customFormat="1" ht="15" x14ac:dyDescent="0.25">
      <c r="A17" s="274"/>
      <c r="B17" s="635" t="s">
        <v>181</v>
      </c>
      <c r="C17" s="636"/>
      <c r="D17" s="637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275"/>
    </row>
    <row r="18" spans="1:24" s="98" customFormat="1" ht="13.5" thickBot="1" x14ac:dyDescent="0.25">
      <c r="A18" s="274"/>
      <c r="C18" s="1310" t="s">
        <v>182</v>
      </c>
      <c r="D18" s="1311"/>
      <c r="E18" s="1311"/>
      <c r="F18" s="1312"/>
      <c r="G18" s="661"/>
      <c r="H18" s="1310" t="s">
        <v>183</v>
      </c>
      <c r="I18" s="1311"/>
      <c r="J18" s="1311"/>
      <c r="K18" s="1312"/>
      <c r="L18" s="661"/>
      <c r="M18" s="1310" t="s">
        <v>184</v>
      </c>
      <c r="N18" s="1311"/>
      <c r="O18" s="1311"/>
      <c r="P18" s="1312"/>
      <c r="Q18" s="661"/>
      <c r="R18" s="1310" t="s">
        <v>185</v>
      </c>
      <c r="S18" s="1311"/>
      <c r="T18" s="1311"/>
      <c r="U18" s="1312"/>
      <c r="V18" s="661"/>
      <c r="W18" s="46"/>
      <c r="X18" s="275"/>
    </row>
    <row r="19" spans="1:24" s="98" customFormat="1" x14ac:dyDescent="0.2">
      <c r="A19" s="274"/>
      <c r="C19" s="881" t="s">
        <v>177</v>
      </c>
      <c r="D19" s="864" t="s">
        <v>517</v>
      </c>
      <c r="E19" s="837" t="s">
        <v>516</v>
      </c>
      <c r="F19" s="837" t="s">
        <v>518</v>
      </c>
      <c r="G19" s="856" t="s">
        <v>530</v>
      </c>
      <c r="H19" s="881" t="s">
        <v>177</v>
      </c>
      <c r="I19" s="864" t="s">
        <v>517</v>
      </c>
      <c r="J19" s="837" t="s">
        <v>516</v>
      </c>
      <c r="K19" s="837" t="s">
        <v>518</v>
      </c>
      <c r="L19" s="856" t="s">
        <v>530</v>
      </c>
      <c r="M19" s="881" t="s">
        <v>177</v>
      </c>
      <c r="N19" s="864" t="s">
        <v>517</v>
      </c>
      <c r="O19" s="837" t="s">
        <v>516</v>
      </c>
      <c r="P19" s="837" t="s">
        <v>518</v>
      </c>
      <c r="Q19" s="856" t="s">
        <v>530</v>
      </c>
      <c r="R19" s="881" t="s">
        <v>177</v>
      </c>
      <c r="S19" s="864" t="s">
        <v>517</v>
      </c>
      <c r="T19" s="837" t="s">
        <v>516</v>
      </c>
      <c r="U19" s="837" t="s">
        <v>518</v>
      </c>
      <c r="V19" s="856" t="s">
        <v>530</v>
      </c>
      <c r="W19" s="837" t="s">
        <v>154</v>
      </c>
      <c r="X19" s="275"/>
    </row>
    <row r="20" spans="1:24" s="98" customFormat="1" x14ac:dyDescent="0.2">
      <c r="A20" s="274"/>
      <c r="B20" s="93" t="str">
        <f>hr!$A$9</f>
        <v>AM</v>
      </c>
      <c r="C20" s="879">
        <f>'+s4we'!$AH13/'+s4we'!$B13</f>
        <v>4.9043292763034645E-2</v>
      </c>
      <c r="D20" s="882">
        <f>'+s4we'!E33/'+s4we'!$B13</f>
        <v>0</v>
      </c>
      <c r="E20" s="883">
        <f>'+s4we'!D21/'+s4we'!$B13</f>
        <v>0.16012939117484257</v>
      </c>
      <c r="F20" s="883"/>
      <c r="G20" s="857">
        <f>E20</f>
        <v>0.16012939117484257</v>
      </c>
      <c r="H20" s="879">
        <f>'+s4we'!$AH13/'+s4we'!$B13</f>
        <v>4.9043292763034645E-2</v>
      </c>
      <c r="I20" s="882">
        <f>'+s4we'!E34/'+s4we'!$B13</f>
        <v>0</v>
      </c>
      <c r="J20" s="883">
        <f>'+s4we'!D22/'+s4we'!$B13</f>
        <v>0.29050705214004607</v>
      </c>
      <c r="K20" s="884">
        <f>'+s4we'!E20/'+s4we'!$B13</f>
        <v>7.7777786407726743E-2</v>
      </c>
      <c r="L20" s="857">
        <f>IF(GEOM!$N$39="y",J20-K20,0)</f>
        <v>0.21272926573231932</v>
      </c>
      <c r="M20" s="879">
        <f>'+s4we'!$AJ13/'+s4we'!$B13</f>
        <v>0.31763544218688183</v>
      </c>
      <c r="N20" s="882"/>
      <c r="O20" s="883">
        <f>'+s4we'!D27/'+s4we'!$B13</f>
        <v>0.39121736559985459</v>
      </c>
      <c r="P20" s="884">
        <f>'+s4we'!E31/'+s4we'!$B13</f>
        <v>0.13759781623881054</v>
      </c>
      <c r="Q20" s="857">
        <f>IF(GEOM!$D$20="y",O20,0)</f>
        <v>0.39121736559985459</v>
      </c>
      <c r="R20" s="879">
        <f>'+s4we'!$AJ13/'+s4we'!$B13</f>
        <v>0.31763544218688183</v>
      </c>
      <c r="S20" s="882">
        <f>'+s4we'!E19/'+s4we'!$B13</f>
        <v>0</v>
      </c>
      <c r="T20" s="883">
        <f>'+s4we'!D28/'+s4we'!$B13</f>
        <v>0.39121736559985459</v>
      </c>
      <c r="U20" s="884">
        <f>'+s4we'!E32/'+s4we'!$B13</f>
        <v>0.13759781623881054</v>
      </c>
      <c r="V20" s="857">
        <f>IF(GEOM!$AF$27="y",T20,0)</f>
        <v>0.39121736559985459</v>
      </c>
      <c r="W20" s="634">
        <f>'+s4we'!B13</f>
        <v>89.999990013917312</v>
      </c>
      <c r="X20" s="275"/>
    </row>
    <row r="21" spans="1:24" s="98" customFormat="1" x14ac:dyDescent="0.2">
      <c r="A21" s="274"/>
      <c r="B21" s="93" t="str">
        <f>hr!$A$10</f>
        <v>off</v>
      </c>
      <c r="C21" s="879">
        <f>'+s4we'!$AH14/'+s4we'!$B14</f>
        <v>0.12157930578893741</v>
      </c>
      <c r="D21" s="882">
        <f>'+s4we'!E50/'+s4we'!$B14</f>
        <v>0</v>
      </c>
      <c r="E21" s="883">
        <f>'+s4we'!D38/'+s4we'!$B14</f>
        <v>0.24655116534509883</v>
      </c>
      <c r="F21" s="883"/>
      <c r="G21" s="857">
        <f t="shared" ref="G21:G22" si="0">E21</f>
        <v>0.24655116534509883</v>
      </c>
      <c r="H21" s="879">
        <f>'+s4we'!$AH14/'+s4we'!$B14</f>
        <v>0.12157930578893741</v>
      </c>
      <c r="I21" s="882">
        <f>'+s4we'!E51/'+s4we'!$B14</f>
        <v>0</v>
      </c>
      <c r="J21" s="883">
        <f>'+s4we'!D39/'+s4we'!$B14</f>
        <v>0.3932260325728808</v>
      </c>
      <c r="K21" s="884">
        <f>'+s4we'!E37/'+s4we'!$B14</f>
        <v>8.750000889852437E-2</v>
      </c>
      <c r="L21" s="857">
        <f>IF(GEOM!$N$39="y",J21-K21,0)</f>
        <v>0.30572602367435642</v>
      </c>
      <c r="M21" s="879">
        <f>'+s4we'!$AJ14/'+s4we'!$B14</f>
        <v>0.27073181437718669</v>
      </c>
      <c r="N21" s="882"/>
      <c r="O21" s="883">
        <f>'+s4we'!D44/'+s4we'!$B14</f>
        <v>0.3535114774503188</v>
      </c>
      <c r="P21" s="884">
        <f>'+s4we'!E48/'+s4we'!$B14</f>
        <v>5.0000005084871069E-2</v>
      </c>
      <c r="Q21" s="857">
        <f>IF(GEOM!$D$20="y",O21,0)</f>
        <v>0.3535114774503188</v>
      </c>
      <c r="R21" s="879">
        <f>'+s4we'!$AJ14/'+s4we'!$B14</f>
        <v>0.27073181437718669</v>
      </c>
      <c r="S21" s="882">
        <f>'+s4we'!E36/'+s4we'!$B14</f>
        <v>0</v>
      </c>
      <c r="T21" s="883">
        <f>'+s4we'!D45/'+s4we'!$B14</f>
        <v>0.3535114774503188</v>
      </c>
      <c r="U21" s="884">
        <f>'+s4we'!E49/'+s4we'!$B14</f>
        <v>5.0000005084871069E-2</v>
      </c>
      <c r="V21" s="857">
        <f>IF(GEOM!$AF$27="y",T21,0)</f>
        <v>0.3535114774503188</v>
      </c>
      <c r="W21" s="634">
        <f>'+s4we'!B14</f>
        <v>79.999991864207118</v>
      </c>
      <c r="X21" s="275"/>
    </row>
    <row r="22" spans="1:24" s="98" customFormat="1" ht="13.5" thickBot="1" x14ac:dyDescent="0.25">
      <c r="A22" s="274"/>
      <c r="B22" s="93" t="str">
        <f>hr!$A$11</f>
        <v>PM</v>
      </c>
      <c r="C22" s="880">
        <f>'+s4we'!$AH15/'+s4we'!$B15</f>
        <v>8.6540072721023223E-2</v>
      </c>
      <c r="D22" s="882">
        <f>'+s4we'!E67/'+s4we'!$B15</f>
        <v>0</v>
      </c>
      <c r="E22" s="883">
        <f>'+s4we'!D55/'+s4we'!$B15</f>
        <v>0.19762617115002593</v>
      </c>
      <c r="F22" s="883"/>
      <c r="G22" s="857">
        <f t="shared" si="0"/>
        <v>0.19762617115002593</v>
      </c>
      <c r="H22" s="880">
        <f>'+s4we'!$AH15/'+s4we'!$B15</f>
        <v>8.6540072721023223E-2</v>
      </c>
      <c r="I22" s="882">
        <f>'+s4we'!E68/'+s4we'!$B15</f>
        <v>0</v>
      </c>
      <c r="J22" s="883">
        <f>'+s4we'!D56/'+s4we'!$B15</f>
        <v>0.36031301690914913</v>
      </c>
      <c r="K22" s="884">
        <f>'+s4we'!E54/'+s4we'!$B15</f>
        <v>0.11008697119350455</v>
      </c>
      <c r="L22" s="857">
        <f>IF(GEOM!$N$39="y",J22-K22,0)</f>
        <v>0.25022604571564455</v>
      </c>
      <c r="M22" s="880">
        <f>'+s4we'!$AJ15/'+s4we'!$B15</f>
        <v>0.28680717890208518</v>
      </c>
      <c r="N22" s="882"/>
      <c r="O22" s="883">
        <f>'+s4we'!D61/'+s4we'!$B15</f>
        <v>0.36038910232644755</v>
      </c>
      <c r="P22" s="884">
        <f>'+s4we'!E65/'+s4we'!$B15</f>
        <v>9.8620114715147741E-2</v>
      </c>
      <c r="Q22" s="857">
        <f>IF(GEOM!$D$20="y",O22,0)</f>
        <v>0.36038910232644755</v>
      </c>
      <c r="R22" s="880">
        <f>'+s4we'!$AJ15/'+s4we'!$B15</f>
        <v>0.28680717890208518</v>
      </c>
      <c r="S22" s="882">
        <f>'+s4we'!E53/'+s4we'!$B15</f>
        <v>0</v>
      </c>
      <c r="T22" s="883">
        <f>'+s4we'!D62/'+s4we'!$B15</f>
        <v>0.36038910232644755</v>
      </c>
      <c r="U22" s="884">
        <f>'+s4we'!E66/'+s4we'!$B15</f>
        <v>9.8620114715147741E-2</v>
      </c>
      <c r="V22" s="857">
        <f>IF(GEOM!$AF$27="y",T22,0)</f>
        <v>0.36038910232644755</v>
      </c>
      <c r="W22" s="634">
        <f>'+s4we'!B15</f>
        <v>89.999989999986397</v>
      </c>
      <c r="X22" s="275"/>
    </row>
    <row r="23" spans="1:24" ht="9" customHeight="1" x14ac:dyDescent="0.2">
      <c r="A23" s="246"/>
      <c r="C23" s="372"/>
      <c r="D23" s="372"/>
      <c r="E23" s="372"/>
      <c r="F23" s="372"/>
      <c r="G23" s="856"/>
      <c r="H23" s="372"/>
      <c r="I23" s="372"/>
      <c r="J23" s="372"/>
      <c r="K23" s="372"/>
      <c r="L23" s="856"/>
      <c r="M23" s="372"/>
      <c r="N23" s="372"/>
      <c r="O23" s="372"/>
      <c r="P23" s="372"/>
      <c r="Q23" s="856"/>
      <c r="R23" s="372"/>
      <c r="S23" s="372"/>
      <c r="T23" s="372"/>
      <c r="U23" s="372"/>
      <c r="V23" s="856"/>
      <c r="W23" s="46"/>
      <c r="X23" s="278"/>
    </row>
    <row r="24" spans="1:24" ht="15" x14ac:dyDescent="0.25">
      <c r="A24" s="246"/>
      <c r="B24" s="639" t="s">
        <v>331</v>
      </c>
      <c r="C24" s="636"/>
      <c r="D24" s="636"/>
      <c r="E24" s="640"/>
      <c r="G24" s="856"/>
      <c r="L24" s="856"/>
      <c r="Q24" s="856"/>
      <c r="V24" s="856"/>
      <c r="W24" s="46"/>
      <c r="X24" s="278"/>
    </row>
    <row r="25" spans="1:24" ht="13.5" thickBot="1" x14ac:dyDescent="0.25">
      <c r="A25" s="246"/>
      <c r="C25" s="1310" t="s">
        <v>186</v>
      </c>
      <c r="D25" s="1311"/>
      <c r="E25" s="1311"/>
      <c r="F25" s="1312"/>
      <c r="G25" s="856"/>
      <c r="H25" s="1310" t="s">
        <v>187</v>
      </c>
      <c r="I25" s="1311"/>
      <c r="J25" s="1311"/>
      <c r="K25" s="1312"/>
      <c r="L25" s="856"/>
      <c r="M25" s="1310" t="s">
        <v>188</v>
      </c>
      <c r="N25" s="1311"/>
      <c r="O25" s="1311"/>
      <c r="P25" s="1312"/>
      <c r="Q25" s="856"/>
      <c r="R25" s="1310" t="s">
        <v>189</v>
      </c>
      <c r="S25" s="1311"/>
      <c r="T25" s="1311"/>
      <c r="U25" s="1312"/>
      <c r="V25" s="856"/>
      <c r="W25" s="836" t="s">
        <v>167</v>
      </c>
      <c r="X25" s="278"/>
    </row>
    <row r="26" spans="1:24" x14ac:dyDescent="0.2">
      <c r="A26" s="246"/>
      <c r="C26" s="866" t="s">
        <v>177</v>
      </c>
      <c r="D26" s="864" t="s">
        <v>178</v>
      </c>
      <c r="E26" s="837" t="s">
        <v>180</v>
      </c>
      <c r="F26" s="837" t="s">
        <v>179</v>
      </c>
      <c r="G26" s="856" t="s">
        <v>531</v>
      </c>
      <c r="H26" s="866" t="s">
        <v>177</v>
      </c>
      <c r="I26" s="864" t="s">
        <v>178</v>
      </c>
      <c r="J26" s="837" t="s">
        <v>180</v>
      </c>
      <c r="K26" s="837" t="s">
        <v>179</v>
      </c>
      <c r="L26" s="856" t="s">
        <v>531</v>
      </c>
      <c r="M26" s="866" t="s">
        <v>177</v>
      </c>
      <c r="N26" s="864" t="s">
        <v>178</v>
      </c>
      <c r="O26" s="837" t="s">
        <v>180</v>
      </c>
      <c r="P26" s="837" t="s">
        <v>179</v>
      </c>
      <c r="Q26" s="856" t="s">
        <v>531</v>
      </c>
      <c r="R26" s="866" t="s">
        <v>177</v>
      </c>
      <c r="S26" s="864" t="s">
        <v>178</v>
      </c>
      <c r="T26" s="837" t="s">
        <v>180</v>
      </c>
      <c r="U26" s="837" t="s">
        <v>179</v>
      </c>
      <c r="V26" s="856" t="s">
        <v>531</v>
      </c>
      <c r="W26" s="837" t="s">
        <v>153</v>
      </c>
      <c r="X26" s="278"/>
    </row>
    <row r="27" spans="1:24" x14ac:dyDescent="0.2">
      <c r="A27" s="246"/>
      <c r="B27" s="641" t="str">
        <f>hr!$A$9</f>
        <v>AM</v>
      </c>
      <c r="C27" s="870">
        <f>IF(C9&lt;1,0,C9/cap!F82/C20)</f>
        <v>1.4159825030505852E-2</v>
      </c>
      <c r="D27" s="869">
        <f>D9/(cap!G82+cap!H82*E20+D20*cap!H66)</f>
        <v>6.8700770815084425E-2</v>
      </c>
      <c r="E27" s="119">
        <f>E9/(cap!J82*E20)</f>
        <v>0.76698682678929708</v>
      </c>
      <c r="F27" s="119">
        <f>F9/(cap!M82*G20+cap!O82*F20+cap!N82)</f>
        <v>0.47823636492787752</v>
      </c>
      <c r="G27" s="856">
        <f>IF(C$15&gt;0.5,1,D20+E20)</f>
        <v>1</v>
      </c>
      <c r="H27" s="870">
        <f>IF(H9&lt;1,0,H9/cap!Q82/H20)</f>
        <v>1.4159825030505852E-2</v>
      </c>
      <c r="I27" s="869">
        <f>I9/(cap!R82+cap!S82*J20+I20*cap!S66)</f>
        <v>0.72067036340273216</v>
      </c>
      <c r="J27" s="119">
        <f>J9/(cap!U82*J20)</f>
        <v>0.72067049812550898</v>
      </c>
      <c r="K27" s="119">
        <f>K9/(cap!X82*L20+cap!Z82*K20+cap!Y82)</f>
        <v>0.87836398030260099</v>
      </c>
      <c r="L27" s="856">
        <f>IF(H$15&gt;0.5,1,I20+J20)</f>
        <v>0.29050705214004607</v>
      </c>
      <c r="M27" s="870">
        <f>IF(M9&lt;1,0,M9/cap!AB82/M20)</f>
        <v>2.1862939464918586E-3</v>
      </c>
      <c r="N27" s="869">
        <f>N9/(cap!AC82+cap!AD82*O20)</f>
        <v>0.60527186410788769</v>
      </c>
      <c r="O27" s="119">
        <f>O9/(cap!AF82*O20)</f>
        <v>0.60527189152684036</v>
      </c>
      <c r="P27" s="119">
        <f>P9/(cap!AI82*Q20+cap!AK82*P20+cap!AJ82)</f>
        <v>0.16194438970169026</v>
      </c>
      <c r="Q27" s="856">
        <f>IF(M$15&gt;0.5,1,N20+O20)</f>
        <v>0.39121736559985459</v>
      </c>
      <c r="R27" s="870">
        <f>IF(R9&lt;1,0,R9/cap!AM82/R20)</f>
        <v>2.1862939464918586E-3</v>
      </c>
      <c r="S27" s="869">
        <f>S9/(cap!AN82+cap!AO82*T20+S20*cap!AO66)</f>
        <v>3.5577036297656045E-2</v>
      </c>
      <c r="T27" s="119">
        <f>T9/(cap!AQ82*T20)</f>
        <v>0.76698683840503623</v>
      </c>
      <c r="U27" s="119">
        <f>U9/(cap!AT82*V20+cap!AV82*U20+cap!AU82)</f>
        <v>0.84037052871983509</v>
      </c>
      <c r="V27" s="856">
        <f>IF(R$15&gt;0.5,1,S20+T20)</f>
        <v>1</v>
      </c>
      <c r="W27" s="841">
        <f t="shared" ref="W27:W28" si="1">MAX(D27:F27,I27:K27,N27:P27,S27:U27)</f>
        <v>0.87836398030260099</v>
      </c>
      <c r="X27" s="278"/>
    </row>
    <row r="28" spans="1:24" x14ac:dyDescent="0.2">
      <c r="A28" s="246"/>
      <c r="B28" s="641" t="str">
        <f>hr!$A$10</f>
        <v>off</v>
      </c>
      <c r="C28" s="870">
        <f>IF(C10&lt;1,0,C10/cap!F83/C21)</f>
        <v>5.7118638730344886E-3</v>
      </c>
      <c r="D28" s="869">
        <f>D10/(cap!G83+cap!H83*E21+D21*cap!H67)</f>
        <v>4.804946672011879E-2</v>
      </c>
      <c r="E28" s="119">
        <f>E10/(cap!J83*E21)</f>
        <v>0.31842350869531116</v>
      </c>
      <c r="F28" s="119">
        <f>F10/(cap!M83*G21+cap!O83*F21+cap!N83)</f>
        <v>0.53449917930840363</v>
      </c>
      <c r="G28" s="856">
        <f t="shared" ref="G28:G29" si="2">IF(C$15&gt;0.5,1,D21+E21)</f>
        <v>1</v>
      </c>
      <c r="H28" s="870">
        <f>IF(H10&lt;1,0,H10/cap!Q83/H21)</f>
        <v>5.7118638730344886E-3</v>
      </c>
      <c r="I28" s="869">
        <f>I10/(cap!R83+cap!S83*J21+I21*cap!S67)</f>
        <v>0.2706879895375352</v>
      </c>
      <c r="J28" s="119">
        <f>J10/(cap!U83*J21)</f>
        <v>0.27068803381173856</v>
      </c>
      <c r="K28" s="119">
        <f>K10/(cap!X83*L21+cap!Z83*K21+cap!Y83)</f>
        <v>0.24609820300072521</v>
      </c>
      <c r="L28" s="856">
        <f t="shared" ref="L28:L29" si="3">IF(H$15&gt;0.5,1,I21+J21)</f>
        <v>0.3932260325728808</v>
      </c>
      <c r="M28" s="870">
        <f>IF(M10&lt;1,0,M10/cap!AB83/M21)</f>
        <v>2.5650640507174989E-3</v>
      </c>
      <c r="N28" s="869">
        <f>N10/(cap!AC83+cap!AD83*O21)</f>
        <v>0.31842348110494956</v>
      </c>
      <c r="O28" s="119">
        <f>O10/(cap!AF83*O21)</f>
        <v>0.31842351352960852</v>
      </c>
      <c r="P28" s="119">
        <f>P10/(cap!AI83*Q21+cap!AK83*P21+cap!AJ83)</f>
        <v>0.2441995348981435</v>
      </c>
      <c r="Q28" s="856">
        <f t="shared" ref="Q28:Q29" si="4">IF(M$15&gt;0.5,1,N21+O21)</f>
        <v>0.3535114774503188</v>
      </c>
      <c r="R28" s="870">
        <f>IF(R10&lt;1,0,R10/cap!AM83/R21)</f>
        <v>2.5650640507174989E-3</v>
      </c>
      <c r="S28" s="869">
        <f>S10/(cap!AN83+cap!AO83*T21+S21*cap!AO67)</f>
        <v>3.9494818226898772E-2</v>
      </c>
      <c r="T28" s="119">
        <f>T10/(cap!AQ83*T21)</f>
        <v>0.30998006031340614</v>
      </c>
      <c r="U28" s="119">
        <f>U10/(cap!AT83*V21+cap!AV83*U21+cap!AU83)</f>
        <v>0.42918939200275025</v>
      </c>
      <c r="V28" s="856">
        <f t="shared" ref="V28:V29" si="5">IF(R$15&gt;0.5,1,S21+T21)</f>
        <v>1</v>
      </c>
      <c r="W28" s="119">
        <f t="shared" si="1"/>
        <v>0.53449917930840363</v>
      </c>
      <c r="X28" s="278"/>
    </row>
    <row r="29" spans="1:24" ht="13.5" thickBot="1" x14ac:dyDescent="0.25">
      <c r="A29" s="246"/>
      <c r="B29" s="641" t="str">
        <f>hr!$A$11</f>
        <v>PM</v>
      </c>
      <c r="C29" s="871">
        <f>IF(C11&lt;1,0,C11/cap!F84/C22)</f>
        <v>8.0245419562230465E-3</v>
      </c>
      <c r="D29" s="869">
        <f>D11/(cap!G84+cap!H84*E22+D22*cap!H68)</f>
        <v>0.27082699313852782</v>
      </c>
      <c r="E29" s="119">
        <f>E11/(cap!J84*E22)</f>
        <v>0.86666788886153945</v>
      </c>
      <c r="F29" s="119">
        <f>F11/(cap!M84*G22+cap!O84*F22+cap!N84)</f>
        <v>0.44339073740998042</v>
      </c>
      <c r="G29" s="856">
        <f t="shared" si="2"/>
        <v>1</v>
      </c>
      <c r="H29" s="871">
        <f>IF(H11&lt;1,0,H11/cap!Q84/H22)</f>
        <v>8.0245419562230465E-3</v>
      </c>
      <c r="I29" s="869">
        <f>I11/(cap!R84+cap!S84*J22+I22*cap!S68)</f>
        <v>0.44052397588138831</v>
      </c>
      <c r="J29" s="119">
        <f>J11/(cap!U84*J22)</f>
        <v>0.44052397885634759</v>
      </c>
      <c r="K29" s="119">
        <f>K11/(cap!X84*L22+cap!Z84*K22+cap!Y84)</f>
        <v>0.91671742624858688</v>
      </c>
      <c r="L29" s="856">
        <f t="shared" si="3"/>
        <v>0.36031301690914913</v>
      </c>
      <c r="M29" s="871">
        <f>IF(M11&lt;1,0,M11/cap!AB84/M22)</f>
        <v>2.4212938013016927E-3</v>
      </c>
      <c r="N29" s="869">
        <f>N11/(cap!AC84+cap!AD84*O22)</f>
        <v>0.86666787331578332</v>
      </c>
      <c r="O29" s="119">
        <f>O11/(cap!AF84*O22)</f>
        <v>0.86666789611658868</v>
      </c>
      <c r="P29" s="119">
        <f>P11/(cap!AI84*Q22+cap!AK84*P22+cap!AJ84)</f>
        <v>0.92357272584450956</v>
      </c>
      <c r="Q29" s="856">
        <f t="shared" si="4"/>
        <v>0.36038910232644755</v>
      </c>
      <c r="R29" s="871">
        <f>IF(R11&lt;1,0,R11/cap!AM84/R22)</f>
        <v>2.4212938013016927E-3</v>
      </c>
      <c r="S29" s="869">
        <f>S11/(cap!AN84+cap!AO84*T22+S22*cap!AO68)</f>
        <v>5.2195052438625524E-2</v>
      </c>
      <c r="T29" s="119">
        <f>T11/(cap!AQ84*T22)</f>
        <v>0.49519029773932632</v>
      </c>
      <c r="U29" s="119">
        <f>U11/(cap!AT84*V22+cap!AV84*U22+cap!AU84)</f>
        <v>0.57292819571829345</v>
      </c>
      <c r="V29" s="856">
        <f t="shared" si="5"/>
        <v>1</v>
      </c>
      <c r="W29" s="119">
        <f>MAX(D29:F29,I29:K29,N29:P29,S29:U29)</f>
        <v>0.92357272584450956</v>
      </c>
      <c r="X29" s="278"/>
    </row>
    <row r="30" spans="1:24" ht="9" customHeight="1" x14ac:dyDescent="0.2">
      <c r="A30" s="246"/>
      <c r="C30" s="372"/>
      <c r="D30" s="372"/>
      <c r="E30" s="372"/>
      <c r="F30" s="372"/>
      <c r="G30" s="856"/>
      <c r="H30" s="372"/>
      <c r="I30" s="372"/>
      <c r="J30" s="372"/>
      <c r="K30" s="372"/>
      <c r="L30" s="856"/>
      <c r="M30" s="372"/>
      <c r="N30" s="372"/>
      <c r="O30" s="372"/>
      <c r="P30" s="372"/>
      <c r="Q30" s="856"/>
      <c r="R30" s="372"/>
      <c r="S30" s="372"/>
      <c r="T30" s="372"/>
      <c r="U30" s="372"/>
      <c r="V30" s="856"/>
      <c r="W30" s="372"/>
      <c r="X30" s="598"/>
    </row>
    <row r="31" spans="1:24" ht="15" x14ac:dyDescent="0.25">
      <c r="A31" s="246"/>
      <c r="B31" s="855" t="s">
        <v>528</v>
      </c>
      <c r="C31" s="636"/>
      <c r="D31" s="636"/>
      <c r="E31" s="640"/>
      <c r="G31" s="856"/>
      <c r="L31" s="856"/>
      <c r="Q31" s="856"/>
      <c r="V31" s="856"/>
      <c r="X31" s="598"/>
    </row>
    <row r="32" spans="1:24" ht="13.5" thickBot="1" x14ac:dyDescent="0.25">
      <c r="A32" s="246"/>
      <c r="C32" s="1310" t="s">
        <v>194</v>
      </c>
      <c r="D32" s="1311"/>
      <c r="E32" s="1311"/>
      <c r="F32" s="1312"/>
      <c r="G32" s="856"/>
      <c r="H32" s="1310" t="s">
        <v>195</v>
      </c>
      <c r="I32" s="1311"/>
      <c r="J32" s="1311"/>
      <c r="K32" s="1312"/>
      <c r="L32" s="856"/>
      <c r="M32" s="1310" t="s">
        <v>196</v>
      </c>
      <c r="N32" s="1311"/>
      <c r="O32" s="1311"/>
      <c r="P32" s="1312"/>
      <c r="Q32" s="856"/>
      <c r="R32" s="1310" t="s">
        <v>197</v>
      </c>
      <c r="S32" s="1311"/>
      <c r="T32" s="1311"/>
      <c r="U32" s="1312"/>
      <c r="V32" s="856"/>
      <c r="W32" s="836" t="s">
        <v>166</v>
      </c>
      <c r="X32" s="598"/>
    </row>
    <row r="33" spans="1:24" x14ac:dyDescent="0.2">
      <c r="A33" s="246"/>
      <c r="C33" s="866" t="s">
        <v>177</v>
      </c>
      <c r="D33" s="864" t="s">
        <v>178</v>
      </c>
      <c r="E33" s="837" t="s">
        <v>180</v>
      </c>
      <c r="F33" s="837" t="s">
        <v>179</v>
      </c>
      <c r="G33" s="856" t="s">
        <v>532</v>
      </c>
      <c r="H33" s="866" t="s">
        <v>177</v>
      </c>
      <c r="I33" s="864" t="s">
        <v>178</v>
      </c>
      <c r="J33" s="837" t="s">
        <v>180</v>
      </c>
      <c r="K33" s="837" t="s">
        <v>179</v>
      </c>
      <c r="L33" s="856" t="s">
        <v>532</v>
      </c>
      <c r="M33" s="866" t="s">
        <v>177</v>
      </c>
      <c r="N33" s="864" t="s">
        <v>178</v>
      </c>
      <c r="O33" s="837" t="s">
        <v>180</v>
      </c>
      <c r="P33" s="837" t="s">
        <v>179</v>
      </c>
      <c r="Q33" s="856" t="s">
        <v>532</v>
      </c>
      <c r="R33" s="866" t="s">
        <v>177</v>
      </c>
      <c r="S33" s="864" t="s">
        <v>178</v>
      </c>
      <c r="T33" s="837" t="s">
        <v>180</v>
      </c>
      <c r="U33" s="837" t="s">
        <v>179</v>
      </c>
      <c r="V33" s="856" t="s">
        <v>532</v>
      </c>
      <c r="W33" s="837" t="s">
        <v>153</v>
      </c>
      <c r="X33" s="598"/>
    </row>
    <row r="34" spans="1:24" x14ac:dyDescent="0.2">
      <c r="A34" s="246"/>
      <c r="B34" s="641" t="str">
        <f>hr!$A$9</f>
        <v>AM</v>
      </c>
      <c r="C34" s="873">
        <f>IF(C9&lt;0.1,0,('+s4we'!$B13-'+s4we'!AH13)/2)</f>
        <v>42.793047077497285</v>
      </c>
      <c r="D34" s="872">
        <f>IF(D27&lt;0.975,(1-SET!$H29)*$W20*(1-G27)^2/(1-G27*D27)+1.8*D27/(1-D27),(1-SET!$H29)*$W20*(1-G27)^2/(1-G27*0.975)+1.8*0.975/(1-0.975)+1800*(1-0.975/D27))+G34</f>
        <v>2.1327837322225447</v>
      </c>
      <c r="E34" s="393">
        <f>IF(E27&lt;0.975,(1-SET!$H29)*$W20*(1-E20)^2/(1-E20*E27)+1.8*E27/(1-E27),(1-SET!$H29)*$W20*(1-E20)^2/(1-E20*0.975)+1.8*0.975/(1-0.975)+1800*(1-0.975/E27))+G34</f>
        <v>44.111427853120347</v>
      </c>
      <c r="F34" s="393">
        <f>IF(F27&lt;0.975,(1-SET!$H29)*$W20*(1-F20-G20)^2/(1-(F20+G20)*F27)+1.8*F27/(1-F27),(1-SET!$H29)*$W20*(1-F20-G20)^2/(1-(F20+G20)*0.975)+1.8*0.975/(1-0.975)+1800*(1-0.975/F27))+G34</f>
        <v>38.024450688463972</v>
      </c>
      <c r="G34" s="856">
        <f>IF(C$15&gt;0.5,2,(1-E20)*5)</f>
        <v>2</v>
      </c>
      <c r="H34" s="873">
        <f>IF(H9&lt;0.1,0,('+s4we'!$B13-'+s4we'!AH13)/2)</f>
        <v>42.793047077497285</v>
      </c>
      <c r="I34" s="872">
        <f>IF(I27&lt;0.975,(1-SET!$I29)*$W20*(1-L27)^2/(1-L27*I27)+1.8*I27/(1-I27),(1-SET!$I29)*$W20*(1-L27)^2/(1-L27*0.975)+1.8*0.975/(1-0.975)+1800*(1-0.975/I27))+L34</f>
        <v>36.841802243303796</v>
      </c>
      <c r="J34" s="393">
        <f>IF(J27&lt;0.975,(1-SET!$I29)*$W20*(1-J20)^2/(1-J20*J27)+1.8*J27/(1-J27),(1-SET!$I29)*$W20*(1-J20)^2/(1-J20*0.975)+1.8*0.975/(1-0.975)+1800*(1-0.975/J27))+L34</f>
        <v>36.841806769530777</v>
      </c>
      <c r="K34" s="393">
        <f>IF(K27&lt;0.975,(1-SET!$I29)*$W20*(1-K20-L20)^2/(1-(K20+L20)*K27)+1.8*K27/(1-K27),(1-SET!$I29)*$W20*(1-K20-L20)^2/(1-(K20+L20)*0.975)+1.8*0.975/(1-0.975)+1800*(1-0.975/K27))+L34</f>
        <v>46.958205277943961</v>
      </c>
      <c r="L34" s="856">
        <f>IF(H$15&gt;0.5,2,(1-J20)*5)</f>
        <v>3.5474647392997696</v>
      </c>
      <c r="M34" s="873">
        <f>IF(M9&lt;0.1,0,('+s4we'!$B13-'+s4we'!AJ13)/2)</f>
        <v>30.706401694515868</v>
      </c>
      <c r="N34" s="872">
        <f>IF(N27&lt;0.975,(1-SET!$J29)*$W20*(1-Q27)^2/(1-Q27*N27)+1.8*N27/(1-N27),(1-SET!$J29)*$W20*(1-Q27)^2/(1-Q27*0.975)+1.8*0.975/(1-0.975)+1800*(1-0.975/N27))+Q34</f>
        <v>27.656182948177658</v>
      </c>
      <c r="O34" s="393">
        <f>IF(O27&lt;0.975,(1-SET!$J29)*$W20*(1-O20)^2/(1-O20*O27)+1.8*O27/(1-O27),(1-SET!$J29)*$W20*(1-O20)^2/(1-O20*0.975)+1.8*0.975/(1-0.975)+1800*(1-0.975/O27))+Q34</f>
        <v>27.656183572064602</v>
      </c>
      <c r="P34" s="393">
        <f>IF(P27&lt;0.975,(1-SET!$J29)*$W20*(1-P20-Q20)^2/(1-(P20+Q20)*P27)+1.8*P27/(1-P27),(1-SET!$J29)*$W20*(1-P20-Q20)^2/(1-(P20+Q20)*0.975)+1.8*0.975/(1-0.975)+1800*(1-0.975/P27))+Q34</f>
        <v>14.318144228020913</v>
      </c>
      <c r="Q34" s="856">
        <f>IF(M$15&gt;0.5,2,(1-O20)*5)</f>
        <v>3.0439131720007273</v>
      </c>
      <c r="R34" s="873">
        <f>IF(R9&lt;0.1,0,('+s4we'!$B13-'+s4we'!AJ13)/2)</f>
        <v>30.706401694515868</v>
      </c>
      <c r="S34" s="872">
        <f>IF(S27&lt;0.975,(1-SET!$K29)*$W20*(1-V27)^2/(1-V27*S27)+1.8*S27/(1-S27),(1-SET!$K29)*$W20*(1-V27)^2/(1-V27*0.975)+1.8*0.975/(1-0.975)+1800*(1-0.975/S27))+V34</f>
        <v>2.0664010167177493</v>
      </c>
      <c r="T34" s="393">
        <f>IF(T27&lt;0.975,(1-SET!$K29)*$W20*(1-T20)^2/(1-T20*T27)+1.8*T27/(1-T27),(1-SET!$K29)*$W20*(1-T20)^2/(1-T20*0.975)+1.8*0.975/(1-0.975)+1800*(1-0.975/T27))+V34</f>
        <v>31.752209874889743</v>
      </c>
      <c r="U34" s="393">
        <f>IF(U27&lt;0.975,(1-SET!$K29)*$W20*(1-U20-V20)^2/(1-(U20+V20)*U27)+1.8*U27/(1-U27),(1-SET!$K29)*$W20*(1-U20-V20)^2/(1-(U20+V20)*0.975)+1.8*0.975/(1-0.975)+1800*(1-0.975/U27))+V34</f>
        <v>29.457920957481626</v>
      </c>
      <c r="V34" s="856">
        <f>IF(R$15&gt;0.5,2,(1-T20)*5)</f>
        <v>2</v>
      </c>
      <c r="W34" s="393">
        <f>IF(W27=0,0,MAX(D34:F34,I34:K34,N34:P34,S34:U34))</f>
        <v>46.958205277943961</v>
      </c>
      <c r="X34" s="598"/>
    </row>
    <row r="35" spans="1:24" x14ac:dyDescent="0.2">
      <c r="A35" s="246"/>
      <c r="B35" s="641" t="str">
        <f>hr!$A$10</f>
        <v>off</v>
      </c>
      <c r="C35" s="873">
        <f>IF(C10&lt;0.1,0,('+s4we'!$B14-'+s4we'!AH14)/2)</f>
        <v>35.136824195118088</v>
      </c>
      <c r="D35" s="872">
        <f>IF(D28&lt;0.975,(1-SET!$H30)*$W21*(1-G28)^2/(1-G28*D28)+1.8*D28/(1-D28),(1-SET!$H30)*$W21*(1-G28)^2/(1-G28*0.975)+1.8*0.975/(1-0.975)+1800*(1-0.975/D28))+G35</f>
        <v>2.0908545529127669</v>
      </c>
      <c r="E35" s="393">
        <f>IF(E28&lt;0.975,(1-SET!$H30)*$W21*(1-E21)^2/(1-E21*E28)+1.8*E28/(1-E28),(1-SET!$H30)*$W21*(1-E21)^2/(1-E21*0.975)+1.8*0.975/(1-0.975)+1800*(1-0.975/E28))+G35</f>
        <v>27.482925278407606</v>
      </c>
      <c r="F35" s="393">
        <f>IF(F28&lt;0.975,(1-SET!$H30)*$W21*(1-F21-G21)^2/(1-(F21+G21)*F28)+1.8*F28/(1-F28),(1-SET!$H30)*$W21*(1-F21-G21)^2/(1-(F21+G21)*0.975)+1.8*0.975/(1-0.975)+1800*(1-0.975/F28))+G35</f>
        <v>30.22081938214113</v>
      </c>
      <c r="G35" s="856">
        <f t="shared" ref="G35:G36" si="6">IF(C$15&gt;0.5,2,(1-E21)*5)</f>
        <v>2</v>
      </c>
      <c r="H35" s="873">
        <f>IF(H10&lt;0.1,0,('+s4we'!$B14-'+s4we'!AH14)/2)</f>
        <v>35.136824195118088</v>
      </c>
      <c r="I35" s="872">
        <f>IF(I28&lt;0.975,(1-SET!$I30)*$W21*(1-L28)^2/(1-L28*I28)+1.8*I28/(1-I28),(1-SET!$I30)*$W21*(1-L28)^2/(1-L28*0.975)+1.8*0.975/(1-0.975)+1800*(1-0.975/I28))+L35</f>
        <v>20.183226651417321</v>
      </c>
      <c r="J35" s="393">
        <f>IF(J28&lt;0.975,(1-SET!$I30)*$W21*(1-J21)^2/(1-J21*J28)+1.8*J28/(1-J28),(1-SET!$I30)*$W21*(1-J21)^2/(1-J21*0.975)+1.8*0.975/(1-0.975)+1800*(1-0.975/J28))+L35</f>
        <v>20.183227122361803</v>
      </c>
      <c r="K35" s="393">
        <f>IF(K28&lt;0.975,(1-SET!$I30)*$W21*(1-K21-L21)^2/(1-(K21+L21)*K28)+1.8*K28/(1-K28),(1-SET!$I30)*$W21*(1-K21-L21)^2/(1-(K21+L21)*0.975)+1.8*0.975/(1-0.975)+1800*(1-0.975/K28))+L35</f>
        <v>19.926288670467351</v>
      </c>
      <c r="L35" s="856">
        <f t="shared" ref="L35:L36" si="7">IF(H$15&gt;0.5,2,(1-J21)*5)</f>
        <v>3.0338698371355961</v>
      </c>
      <c r="M35" s="873">
        <f>IF(M10&lt;0.1,0,('+s4we'!$B14-'+s4we'!AJ14)/2)</f>
        <v>29.170724458325076</v>
      </c>
      <c r="N35" s="872">
        <f>IF(N28&lt;0.975,(1-SET!$J30)*$W21*(1-Q28)^2/(1-Q28*N28)+1.8*N28/(1-N28),(1-SET!$J30)*$W21*(1-Q28)^2/(1-Q28*0.975)+1.8*0.975/(1-0.975)+1800*(1-0.975/N28))+Q35</f>
        <v>22.911851590848553</v>
      </c>
      <c r="O35" s="393">
        <f>IF(O28&lt;0.975,(1-SET!$J30)*$W21*(1-O21)^2/(1-O21*O28)+1.8*O28/(1-O28),(1-SET!$J30)*$W21*(1-O21)^2/(1-O21*0.975)+1.8*0.975/(1-0.975)+1800*(1-0.975/O28))+Q35</f>
        <v>22.911851959812015</v>
      </c>
      <c r="P35" s="393">
        <f>IF(P28&lt;0.975,(1-SET!$J30)*$W21*(1-P21-Q21)^2/(1-(P21+Q21)*P28)+1.8*P28/(1-P28),(1-SET!$J30)*$W21*(1-P21-Q21)^2/(1-(P21+Q21)*0.975)+1.8*0.975/(1-0.975)+1800*(1-0.975/P28))+Q35</f>
        <v>19.601632835928818</v>
      </c>
      <c r="Q35" s="856">
        <f t="shared" ref="Q35:Q36" si="8">IF(M$15&gt;0.5,2,(1-O21)*5)</f>
        <v>3.2324426127484065</v>
      </c>
      <c r="R35" s="873">
        <f>IF(R10&lt;0.1,0,('+s4we'!$B14-'+s4we'!AJ14)/2)</f>
        <v>29.170724458325076</v>
      </c>
      <c r="S35" s="872">
        <f>IF(S28&lt;0.975,(1-SET!$K30)*$W21*(1-V28)^2/(1-V28*S28)+1.8*S28/(1-S28),(1-SET!$K30)*$W21*(1-V28)^2/(1-V28*0.975)+1.8*0.975/(1-0.975)+1800*(1-0.975/S28))+V35</f>
        <v>2.0740138357995983</v>
      </c>
      <c r="T35" s="393">
        <f>IF(T28&lt;0.975,(1-SET!$K30)*$W21*(1-T21)^2/(1-T21*T28)+1.8*T28/(1-T28),(1-SET!$K30)*$W21*(1-T21)^2/(1-T21*0.975)+1.8*0.975/(1-0.975)+1800*(1-0.975/T28))+V35</f>
        <v>21.583943177697339</v>
      </c>
      <c r="U35" s="393">
        <f>IF(U28&lt;0.975,(1-SET!$K30)*$W21*(1-U21-V21)^2/(1-(U21+V21)*U28)+1.8*U28/(1-U28),(1-SET!$K30)*$W21*(1-U21-V21)^2/(1-(U21+V21)*0.975)+1.8*0.975/(1-0.975)+1800*(1-0.975/U28))+V35</f>
        <v>20.566333981037697</v>
      </c>
      <c r="V35" s="856">
        <f t="shared" ref="V35:V36" si="9">IF(R$15&gt;0.5,2,(1-T21)*5)</f>
        <v>2</v>
      </c>
      <c r="W35" s="393">
        <f t="shared" ref="W35" si="10">IF(W28=0,0,MAX(D35:F35,I35:K35,N35:P35,S35:U35))</f>
        <v>30.22081938214113</v>
      </c>
      <c r="X35" s="598"/>
    </row>
    <row r="36" spans="1:24" ht="13.5" thickBot="1" x14ac:dyDescent="0.25">
      <c r="A36" s="246"/>
      <c r="B36" s="641" t="str">
        <f>hr!$A$11</f>
        <v>PM</v>
      </c>
      <c r="C36" s="874">
        <f>IF(C11&lt;0.1,0,('+s4we'!$B15-'+s4we'!AH15)/2)</f>
        <v>41.105692160248104</v>
      </c>
      <c r="D36" s="872">
        <f>IF(D29&lt;0.975,(1-SET!$H31)*$W22*(1-G29)^2/(1-G29*D29)+1.8*D29/(1-D29),(1-SET!$H31)*$W22*(1-G29)^2/(1-G29*0.975)+1.8*0.975/(1-0.975)+1800*(1-0.975/D29))+G36</f>
        <v>2.6685499642226373</v>
      </c>
      <c r="E36" s="393">
        <f>IF(E29&lt;0.975,(1-SET!$H31)*$W22*(1-E22)^2/(1-E22*E29)+1.8*E29/(1-E29),(1-SET!$H31)*$W22*(1-E22)^2/(1-E22*0.975)+1.8*0.975/(1-0.975)+1800*(1-0.975/E29))+G36</f>
        <v>48.658897723966064</v>
      </c>
      <c r="F36" s="393">
        <f>IF(F29&lt;0.975,(1-SET!$H31)*$W22*(1-F22-G22)^2/(1-(F22+G22)*F29)+1.8*F29/(1-F29),(1-SET!$H31)*$W22*(1-F22-G22)^2/(1-(F22+G22)*0.975)+1.8*0.975/(1-0.975)+1800*(1-0.975/F29))+G36</f>
        <v>35.187460632412019</v>
      </c>
      <c r="G36" s="856">
        <f t="shared" si="6"/>
        <v>2</v>
      </c>
      <c r="H36" s="874">
        <f>IF(H11&lt;0.1,0,('+s4we'!$B15-'+s4we'!AH15)/2)</f>
        <v>41.105692160248104</v>
      </c>
      <c r="I36" s="872">
        <f>IF(I29&lt;0.975,(1-SET!$I31)*$W22*(1-L29)^2/(1-L29*I29)+1.8*I29/(1-I29),(1-SET!$I31)*$W22*(1-L29)^2/(1-L29*0.975)+1.8*0.975/(1-0.975)+1800*(1-0.975/I29))+L36</f>
        <v>26.503943400309343</v>
      </c>
      <c r="J36" s="393">
        <f>IF(J29&lt;0.975,(1-SET!$I31)*$W22*(1-J22)^2/(1-J22*J29)+1.8*J29/(1-J29),(1-SET!$I31)*$W22*(1-J22)^2/(1-J22*0.975)+1.8*0.975/(1-0.975)+1800*(1-0.975/J29))+L36</f>
        <v>26.503943445306074</v>
      </c>
      <c r="K36" s="393">
        <f>IF(K29&lt;0.975,(1-SET!$I31)*$W22*(1-K22-L22)^2/(1-(K22+L22)*K29)+1.8*K29/(1-K29),(1-SET!$I31)*$W22*(1-K22-L22)^2/(1-(K22+L22)*0.975)+1.8*0.975/(1-0.975)+1800*(1-0.975/K29))+L36</f>
        <v>50.507666952507648</v>
      </c>
      <c r="L36" s="856">
        <f t="shared" si="7"/>
        <v>3.1984349154542544</v>
      </c>
      <c r="M36" s="874">
        <f>IF(M11&lt;0.1,0,('+s4we'!$B15-'+s4we'!AJ15)/2)</f>
        <v>32.093673383437206</v>
      </c>
      <c r="N36" s="872">
        <f>IF(N29&lt;0.975,(1-SET!$J31)*$W22*(1-Q29)^2/(1-Q29*N29)+1.8*N29/(1-N29),(1-SET!$J31)*$W22*(1-Q29)^2/(1-Q29*0.975)+1.8*0.975/(1-0.975)+1800*(1-0.975/N29))+Q36</f>
        <v>41.669444069851686</v>
      </c>
      <c r="O36" s="393">
        <f>IF(O29&lt;0.975,(1-SET!$J31)*$W22*(1-O22)^2/(1-O22*O29)+1.8*O29/(1-O29),(1-SET!$J31)*$W22*(1-O22)^2/(1-O22*0.975)+1.8*0.975/(1-0.975)+1800*(1-0.975/O29))+Q36</f>
        <v>41.669446698376362</v>
      </c>
      <c r="P36" s="393">
        <f>IF(P29&lt;0.975,(1-SET!$J31)*$W22*(1-P22-Q22)^2/(1-(P22+Q22)*P29)+1.8*P29/(1-P29),(1-SET!$J31)*$W22*(1-P22-Q22)^2/(1-(P22+Q22)*0.975)+1.8*0.975/(1-0.975)+1800*(1-0.975/P29))+Q36</f>
        <v>47.811935450277574</v>
      </c>
      <c r="Q36" s="856">
        <f t="shared" si="8"/>
        <v>3.1980544883677622</v>
      </c>
      <c r="R36" s="874">
        <f>IF(R11&lt;0.1,0,('+s4we'!$B15-'+s4we'!AJ15)/2)</f>
        <v>32.093673383437206</v>
      </c>
      <c r="S36" s="872">
        <f>IF(S29&lt;0.975,(1-SET!$K31)*$W22*(1-V29)^2/(1-V29*S29)+1.8*S29/(1-S29),(1-SET!$K31)*$W22*(1-V29)^2/(1-V29*0.975)+1.8*0.975/(1-0.975)+1800*(1-0.975/S29))+V36</f>
        <v>2.0991249250505124</v>
      </c>
      <c r="T36" s="393">
        <f>IF(T29&lt;0.975,(1-SET!$K31)*$W22*(1-T22)^2/(1-T22*T29)+1.8*T29/(1-T29),(1-SET!$K31)*$W22*(1-T22)^2/(1-T22*0.975)+1.8*0.975/(1-0.975)+1800*(1-0.975/T29))+V36</f>
        <v>26.174370475747043</v>
      </c>
      <c r="U36" s="393">
        <f>IF(U29&lt;0.975,(1-SET!$K31)*$W22*(1-U22-V22)^2/(1-(U22+V22)*U29)+1.8*U29/(1-U29),(1-SET!$K31)*$W22*(1-U22-V22)^2/(1-(U22+V22)*0.975)+1.8*0.975/(1-0.975)+1800*(1-0.975/U29))+V36</f>
        <v>22.284253033684855</v>
      </c>
      <c r="V36" s="856">
        <f t="shared" si="9"/>
        <v>2</v>
      </c>
      <c r="W36" s="393">
        <f>IF(W29=0,0,MAX(D36:F36,I36:K36,N36:P36,S36:U36))</f>
        <v>50.507666952507648</v>
      </c>
      <c r="X36" s="598"/>
    </row>
    <row r="37" spans="1:24" ht="9" customHeight="1" x14ac:dyDescent="0.2">
      <c r="A37" s="246"/>
      <c r="C37" s="372"/>
      <c r="D37" s="372"/>
      <c r="E37" s="372"/>
      <c r="F37" s="372"/>
      <c r="G37" s="372"/>
      <c r="H37" s="372"/>
      <c r="I37" s="372"/>
      <c r="J37" s="372"/>
      <c r="K37" s="372"/>
      <c r="L37" s="372"/>
      <c r="M37" s="372"/>
      <c r="N37" s="372"/>
      <c r="O37" s="372"/>
      <c r="P37" s="372"/>
      <c r="Q37" s="372"/>
      <c r="R37" s="372"/>
      <c r="S37" s="372"/>
      <c r="T37" s="372"/>
      <c r="U37" s="372"/>
      <c r="V37" s="372"/>
      <c r="W37" s="372"/>
      <c r="X37" s="598"/>
    </row>
    <row r="38" spans="1:24" ht="15" x14ac:dyDescent="0.25">
      <c r="A38" s="246"/>
      <c r="B38" s="855" t="s">
        <v>529</v>
      </c>
      <c r="C38" s="636"/>
      <c r="D38" s="636"/>
      <c r="E38" s="640"/>
      <c r="G38" s="372"/>
      <c r="V38" s="372"/>
      <c r="W38" s="840"/>
      <c r="X38" s="598"/>
    </row>
    <row r="39" spans="1:24" ht="13.5" thickBot="1" x14ac:dyDescent="0.25">
      <c r="A39" s="246"/>
      <c r="C39" s="1310" t="s">
        <v>198</v>
      </c>
      <c r="D39" s="1311"/>
      <c r="E39" s="1311"/>
      <c r="F39" s="1312"/>
      <c r="G39" s="835"/>
      <c r="H39" s="1310" t="s">
        <v>199</v>
      </c>
      <c r="I39" s="1311"/>
      <c r="J39" s="1311"/>
      <c r="K39" s="1312"/>
      <c r="L39" s="372"/>
      <c r="M39" s="1310" t="s">
        <v>200</v>
      </c>
      <c r="N39" s="1311"/>
      <c r="O39" s="1311"/>
      <c r="P39" s="1312"/>
      <c r="Q39" s="835"/>
      <c r="R39" s="1310" t="s">
        <v>201</v>
      </c>
      <c r="S39" s="1311"/>
      <c r="T39" s="1311"/>
      <c r="U39" s="1312"/>
      <c r="V39" s="372"/>
      <c r="W39" s="836" t="s">
        <v>202</v>
      </c>
      <c r="X39" s="598"/>
    </row>
    <row r="40" spans="1:24" x14ac:dyDescent="0.2">
      <c r="A40" s="246"/>
      <c r="B40" s="372"/>
      <c r="C40" s="866" t="s">
        <v>177</v>
      </c>
      <c r="D40" s="864" t="s">
        <v>178</v>
      </c>
      <c r="E40" s="837" t="s">
        <v>180</v>
      </c>
      <c r="F40" s="837" t="s">
        <v>179</v>
      </c>
      <c r="G40" s="835"/>
      <c r="H40" s="866" t="s">
        <v>177</v>
      </c>
      <c r="I40" s="864" t="s">
        <v>178</v>
      </c>
      <c r="J40" s="837" t="s">
        <v>180</v>
      </c>
      <c r="K40" s="837" t="s">
        <v>179</v>
      </c>
      <c r="L40" s="835"/>
      <c r="M40" s="866" t="s">
        <v>177</v>
      </c>
      <c r="N40" s="864" t="s">
        <v>178</v>
      </c>
      <c r="O40" s="837" t="s">
        <v>180</v>
      </c>
      <c r="P40" s="837" t="s">
        <v>179</v>
      </c>
      <c r="Q40" s="835"/>
      <c r="R40" s="866" t="s">
        <v>177</v>
      </c>
      <c r="S40" s="864" t="s">
        <v>178</v>
      </c>
      <c r="T40" s="837" t="s">
        <v>180</v>
      </c>
      <c r="U40" s="837" t="s">
        <v>179</v>
      </c>
      <c r="V40" s="835"/>
      <c r="W40" s="837" t="s">
        <v>153</v>
      </c>
      <c r="X40" s="598"/>
    </row>
    <row r="41" spans="1:24" x14ac:dyDescent="0.2">
      <c r="A41" s="246"/>
      <c r="B41" s="641" t="str">
        <f>hr!$A$9</f>
        <v>AM</v>
      </c>
      <c r="C41" s="876">
        <f t="shared" ref="C41:F43" si="11">C34*C9/3600</f>
        <v>0.11886957521527024</v>
      </c>
      <c r="D41" s="875">
        <f t="shared" si="11"/>
        <v>5.5493842811408206E-2</v>
      </c>
      <c r="E41" s="642">
        <f t="shared" si="11"/>
        <v>5.8613832212697297</v>
      </c>
      <c r="F41" s="642">
        <f t="shared" si="11"/>
        <v>0.66626108813607221</v>
      </c>
      <c r="G41" s="372"/>
      <c r="H41" s="876">
        <f t="shared" ref="H41:K43" si="12">H34*H9/3600</f>
        <v>0.11886957521527024</v>
      </c>
      <c r="I41" s="875">
        <f t="shared" si="12"/>
        <v>0.51190170050758599</v>
      </c>
      <c r="J41" s="642">
        <f t="shared" si="12"/>
        <v>7.886111948242573</v>
      </c>
      <c r="K41" s="642">
        <f t="shared" si="12"/>
        <v>3.3898215139287027</v>
      </c>
      <c r="L41" s="372"/>
      <c r="M41" s="876">
        <f t="shared" ref="M41:P43" si="13">M34*M9/3600</f>
        <v>8.5295560262544076E-2</v>
      </c>
      <c r="N41" s="875">
        <f t="shared" si="13"/>
        <v>1.4306293061832365</v>
      </c>
      <c r="O41" s="642">
        <f t="shared" si="13"/>
        <v>9.1473811868076176</v>
      </c>
      <c r="P41" s="642">
        <f t="shared" si="13"/>
        <v>0.23206024470788847</v>
      </c>
      <c r="Q41" s="372"/>
      <c r="R41" s="876">
        <f t="shared" ref="R41:U43" si="14">R34*R9/3600</f>
        <v>8.5295560262544076E-2</v>
      </c>
      <c r="S41" s="875">
        <f t="shared" si="14"/>
        <v>3.293631352041626E-2</v>
      </c>
      <c r="T41" s="642">
        <f t="shared" si="14"/>
        <v>15.311857875637049</v>
      </c>
      <c r="U41" s="642">
        <f t="shared" si="14"/>
        <v>2.5090829115867566</v>
      </c>
      <c r="V41" s="372"/>
      <c r="W41" s="642">
        <f t="shared" ref="W41:W42" si="15">MAX(D41:F41,I41:K41,N41:P41,S41:U41)</f>
        <v>15.311857875637049</v>
      </c>
      <c r="X41" s="598"/>
    </row>
    <row r="42" spans="1:24" x14ac:dyDescent="0.2">
      <c r="A42" s="246"/>
      <c r="B42" s="641" t="str">
        <f>hr!$A$10</f>
        <v>off</v>
      </c>
      <c r="C42" s="876">
        <f t="shared" si="11"/>
        <v>9.7602289430883588E-2</v>
      </c>
      <c r="D42" s="875">
        <f t="shared" si="11"/>
        <v>4.5482332152068726E-2</v>
      </c>
      <c r="E42" s="642">
        <f t="shared" si="11"/>
        <v>2.3343457617397925</v>
      </c>
      <c r="F42" s="642">
        <f t="shared" si="11"/>
        <v>0.92255024332921454</v>
      </c>
      <c r="G42" s="372"/>
      <c r="H42" s="878">
        <f t="shared" si="12"/>
        <v>9.7602289430883588E-2</v>
      </c>
      <c r="I42" s="875">
        <f t="shared" si="12"/>
        <v>0.29332993125754614</v>
      </c>
      <c r="J42" s="642">
        <f t="shared" si="12"/>
        <v>2.0335708067435392</v>
      </c>
      <c r="K42" s="642">
        <f t="shared" si="12"/>
        <v>0.53856913472423462</v>
      </c>
      <c r="L42" s="372"/>
      <c r="M42" s="876">
        <f t="shared" si="13"/>
        <v>8.1029790162014101E-2</v>
      </c>
      <c r="N42" s="875">
        <f t="shared" si="13"/>
        <v>0.53325389694407188</v>
      </c>
      <c r="O42" s="642">
        <f t="shared" si="13"/>
        <v>3.6323176858837498</v>
      </c>
      <c r="P42" s="642">
        <f t="shared" si="13"/>
        <v>0.32128850165858985</v>
      </c>
      <c r="Q42" s="372"/>
      <c r="R42" s="876">
        <f t="shared" si="14"/>
        <v>8.1029790162014101E-2</v>
      </c>
      <c r="S42" s="875">
        <f t="shared" si="14"/>
        <v>3.8288323562514666E-2</v>
      </c>
      <c r="T42" s="642">
        <f t="shared" si="14"/>
        <v>3.8011583600846266</v>
      </c>
      <c r="U42" s="642">
        <f t="shared" si="14"/>
        <v>0.62052208505047879</v>
      </c>
      <c r="V42" s="372"/>
      <c r="W42" s="642">
        <f t="shared" si="15"/>
        <v>3.8011583600846266</v>
      </c>
      <c r="X42" s="598"/>
    </row>
    <row r="43" spans="1:24" ht="13.5" thickBot="1" x14ac:dyDescent="0.25">
      <c r="A43" s="246"/>
      <c r="B43" s="641" t="str">
        <f>hr!$A$11</f>
        <v>PM</v>
      </c>
      <c r="C43" s="877">
        <f t="shared" si="11"/>
        <v>0.1141824782229114</v>
      </c>
      <c r="D43" s="875">
        <f t="shared" si="11"/>
        <v>0.24918816418224199</v>
      </c>
      <c r="E43" s="642">
        <f t="shared" si="11"/>
        <v>9.0167384577610896</v>
      </c>
      <c r="F43" s="642">
        <f t="shared" si="11"/>
        <v>0.63015750260387438</v>
      </c>
      <c r="G43" s="372"/>
      <c r="H43" s="877">
        <f t="shared" si="12"/>
        <v>0.1141824782229114</v>
      </c>
      <c r="I43" s="875">
        <f t="shared" si="12"/>
        <v>2.0253474618872405</v>
      </c>
      <c r="J43" s="642">
        <f t="shared" si="12"/>
        <v>2.4874748851382433</v>
      </c>
      <c r="K43" s="642">
        <f t="shared" si="12"/>
        <v>4.3162954770473894</v>
      </c>
      <c r="L43" s="372"/>
      <c r="M43" s="877">
        <f t="shared" si="13"/>
        <v>8.9149092731770005E-2</v>
      </c>
      <c r="N43" s="875">
        <f t="shared" si="13"/>
        <v>3.5152320859488606</v>
      </c>
      <c r="O43" s="642">
        <f t="shared" si="13"/>
        <v>17.487039340405243</v>
      </c>
      <c r="P43" s="642">
        <f t="shared" si="13"/>
        <v>3.6653606174838989</v>
      </c>
      <c r="Q43" s="372"/>
      <c r="R43" s="877">
        <f t="shared" si="14"/>
        <v>8.9149092731770005E-2</v>
      </c>
      <c r="S43" s="875">
        <f t="shared" si="14"/>
        <v>4.5036225316839394E-2</v>
      </c>
      <c r="T43" s="642">
        <f t="shared" si="14"/>
        <v>7.5070259874643117</v>
      </c>
      <c r="U43" s="642">
        <f t="shared" si="14"/>
        <v>1.0276195243317079</v>
      </c>
      <c r="V43" s="372"/>
      <c r="W43" s="642">
        <f>MAX(D43:F43,I43:K43,N43:P43,S43:U43)</f>
        <v>17.487039340405243</v>
      </c>
      <c r="X43" s="598"/>
    </row>
    <row r="44" spans="1:24" ht="9.75" customHeight="1" thickBot="1" x14ac:dyDescent="0.25">
      <c r="A44" s="643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6"/>
    </row>
    <row r="45" spans="1:24" ht="6" customHeight="1" thickTop="1" x14ac:dyDescent="0.2"/>
    <row r="46" spans="1:24" ht="6" customHeight="1" x14ac:dyDescent="0.2"/>
  </sheetData>
  <mergeCells count="22">
    <mergeCell ref="M25:P25"/>
    <mergeCell ref="R25:U25"/>
    <mergeCell ref="C32:F32"/>
    <mergeCell ref="H32:K32"/>
    <mergeCell ref="M32:P32"/>
    <mergeCell ref="R32:U32"/>
    <mergeCell ref="C39:F39"/>
    <mergeCell ref="H39:K39"/>
    <mergeCell ref="M39:P39"/>
    <mergeCell ref="R39:U39"/>
    <mergeCell ref="G4:H4"/>
    <mergeCell ref="I4:R4"/>
    <mergeCell ref="C18:F18"/>
    <mergeCell ref="H18:K18"/>
    <mergeCell ref="M18:P18"/>
    <mergeCell ref="R18:U18"/>
    <mergeCell ref="C7:F7"/>
    <mergeCell ref="H7:K7"/>
    <mergeCell ref="M7:P7"/>
    <mergeCell ref="R7:U7"/>
    <mergeCell ref="C25:F25"/>
    <mergeCell ref="H25:K25"/>
  </mergeCells>
  <conditionalFormatting sqref="C27:C29 H27:H29 M27:M29 R27:R29">
    <cfRule type="cellIs" dxfId="30" priority="48" stopIfTrue="1" operator="greaterThan">
      <formula>0.97</formula>
    </cfRule>
    <cfRule type="cellIs" dxfId="29" priority="49" stopIfTrue="1" operator="greaterThan">
      <formula>0.6</formula>
    </cfRule>
    <cfRule type="cellIs" dxfId="28" priority="50" stopIfTrue="1" operator="greaterThan">
      <formula>0.3</formula>
    </cfRule>
  </conditionalFormatting>
  <conditionalFormatting sqref="C34:C36 H34:H36 M34:M36 R34:R36">
    <cfRule type="cellIs" dxfId="27" priority="2" stopIfTrue="1" operator="greaterThan">
      <formula>50</formula>
    </cfRule>
    <cfRule type="cellIs" dxfId="26" priority="3" stopIfTrue="1" operator="greaterThan">
      <formula>35</formula>
    </cfRule>
    <cfRule type="cellIs" dxfId="25" priority="4" stopIfTrue="1" operator="greaterThan">
      <formula>15</formula>
    </cfRule>
  </conditionalFormatting>
  <conditionalFormatting sqref="C27:F29">
    <cfRule type="cellIs" dxfId="24" priority="37" operator="lessThan">
      <formula>0.0000001</formula>
    </cfRule>
  </conditionalFormatting>
  <conditionalFormatting sqref="C34:F36 H34:K36 M34:P36 R34:U36 W34:W36">
    <cfRule type="cellIs" dxfId="23" priority="1" operator="lessThan">
      <formula>0.0000001</formula>
    </cfRule>
  </conditionalFormatting>
  <conditionalFormatting sqref="C41:F43 H41:K43 M41:P43 R41:U43">
    <cfRule type="cellIs" dxfId="22" priority="46" stopIfTrue="1" operator="greaterThan">
      <formula>10</formula>
    </cfRule>
    <cfRule type="cellIs" dxfId="21" priority="47" stopIfTrue="1" operator="greaterThan">
      <formula>4</formula>
    </cfRule>
  </conditionalFormatting>
  <conditionalFormatting sqref="D27:F29">
    <cfRule type="cellIs" dxfId="20" priority="38" stopIfTrue="1" operator="greaterThan">
      <formula>0.99</formula>
    </cfRule>
    <cfRule type="cellIs" dxfId="19" priority="39" stopIfTrue="1" operator="greaterThan">
      <formula>0.95</formula>
    </cfRule>
    <cfRule type="cellIs" dxfId="18" priority="40" stopIfTrue="1" operator="greaterThan">
      <formula>0.8</formula>
    </cfRule>
  </conditionalFormatting>
  <conditionalFormatting sqref="D34:F36 I34:K36 N34:P36 S34:U36 W34:W36">
    <cfRule type="cellIs" dxfId="17" priority="5" stopIfTrue="1" operator="greaterThan">
      <formula>80</formula>
    </cfRule>
    <cfRule type="cellIs" dxfId="16" priority="6" stopIfTrue="1" operator="greaterThan">
      <formula>55</formula>
    </cfRule>
    <cfRule type="cellIs" dxfId="15" priority="7" stopIfTrue="1" operator="greaterThan">
      <formula>20</formula>
    </cfRule>
  </conditionalFormatting>
  <conditionalFormatting sqref="H27:K29 M27:P29 R27:U29 W27:W29">
    <cfRule type="cellIs" dxfId="14" priority="21" operator="lessThan">
      <formula>0.0000001</formula>
    </cfRule>
  </conditionalFormatting>
  <conditionalFormatting sqref="I27:K29">
    <cfRule type="cellIs" dxfId="13" priority="34" stopIfTrue="1" operator="greaterThan">
      <formula>0.99</formula>
    </cfRule>
    <cfRule type="cellIs" dxfId="12" priority="35" stopIfTrue="1" operator="greaterThan">
      <formula>0.95</formula>
    </cfRule>
    <cfRule type="cellIs" dxfId="11" priority="36" stopIfTrue="1" operator="greaterThan">
      <formula>0.8</formula>
    </cfRule>
  </conditionalFormatting>
  <conditionalFormatting sqref="N27:P29">
    <cfRule type="cellIs" dxfId="10" priority="30" stopIfTrue="1" operator="greaterThan">
      <formula>0.99</formula>
    </cfRule>
    <cfRule type="cellIs" dxfId="9" priority="31" stopIfTrue="1" operator="greaterThan">
      <formula>0.95</formula>
    </cfRule>
    <cfRule type="cellIs" dxfId="8" priority="32" stopIfTrue="1" operator="greaterThan">
      <formula>0.8</formula>
    </cfRule>
  </conditionalFormatting>
  <conditionalFormatting sqref="S27:U29">
    <cfRule type="cellIs" dxfId="7" priority="26" stopIfTrue="1" operator="greaterThan">
      <formula>0.99</formula>
    </cfRule>
    <cfRule type="cellIs" dxfId="6" priority="27" stopIfTrue="1" operator="greaterThan">
      <formula>0.95</formula>
    </cfRule>
    <cfRule type="cellIs" dxfId="5" priority="28" stopIfTrue="1" operator="greaterThan">
      <formula>0.8</formula>
    </cfRule>
  </conditionalFormatting>
  <conditionalFormatting sqref="W27:W29">
    <cfRule type="cellIs" dxfId="4" priority="22" stopIfTrue="1" operator="greaterThan">
      <formula>0.99</formula>
    </cfRule>
    <cfRule type="cellIs" dxfId="3" priority="23" stopIfTrue="1" operator="greaterThan">
      <formula>0.95</formula>
    </cfRule>
    <cfRule type="cellIs" dxfId="2" priority="24" stopIfTrue="1" operator="greaterThan">
      <formula>0.8</formula>
    </cfRule>
  </conditionalFormatting>
  <conditionalFormatting sqref="W41:W43">
    <cfRule type="cellIs" dxfId="1" priority="15" stopIfTrue="1" operator="greaterThan">
      <formula>10</formula>
    </cfRule>
    <cfRule type="cellIs" dxfId="0" priority="16" stopIfTrue="1" operator="greaterThan">
      <formula>4</formula>
    </cfRule>
  </conditionalFormatting>
  <printOptions horizontalCentered="1" verticalCentered="1"/>
  <pageMargins left="0.43307086614173229" right="0.43307086614173229" top="0.74803149606299213" bottom="0.74803149606299213" header="0.31496062992125984" footer="0.31496062992125984"/>
  <pageSetup paperSize="9" scale="89" orientation="landscape" r:id="rId1"/>
  <headerFooter>
    <oddFooter>&amp;L&amp;8copyright:
Dr John Sampson&amp;C&amp;9&amp;F
&amp;A&amp;R&amp;9print:
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K70"/>
  <sheetViews>
    <sheetView showGridLines="0" zoomScaleNormal="100" workbookViewId="0">
      <pane ySplit="15" topLeftCell="A16" activePane="bottomLeft" state="frozen"/>
      <selection pane="bottomLeft"/>
    </sheetView>
  </sheetViews>
  <sheetFormatPr defaultColWidth="9.140625" defaultRowHeight="12.75" x14ac:dyDescent="0.2"/>
  <cols>
    <col min="1" max="37" width="5.5703125" style="44" customWidth="1"/>
    <col min="38" max="16384" width="9.140625" style="44"/>
  </cols>
  <sheetData>
    <row r="1" spans="1:37" ht="17.25" customHeight="1" thickTop="1" x14ac:dyDescent="0.3">
      <c r="A1" s="329"/>
      <c r="B1" s="330"/>
      <c r="C1" s="330"/>
      <c r="D1" s="331"/>
      <c r="E1" s="331"/>
      <c r="F1" s="331"/>
      <c r="G1" s="331"/>
      <c r="H1" s="333"/>
      <c r="I1" s="331"/>
      <c r="J1" s="331"/>
      <c r="K1" s="433" t="str">
        <f>CVR!E7</f>
        <v>Queen Street</v>
      </c>
      <c r="L1" s="332" t="s">
        <v>38</v>
      </c>
      <c r="M1" s="332" t="s">
        <v>298</v>
      </c>
      <c r="N1" s="332" t="s">
        <v>39</v>
      </c>
      <c r="O1" s="434" t="str">
        <f>CVR!E9</f>
        <v>Albertina Sisulu Road</v>
      </c>
      <c r="P1" s="331"/>
      <c r="Q1" s="333"/>
      <c r="R1" s="331"/>
      <c r="S1" s="331"/>
      <c r="T1" s="331"/>
      <c r="U1" s="331"/>
      <c r="V1" s="1345" t="s">
        <v>219</v>
      </c>
      <c r="W1" s="1346"/>
      <c r="X1" s="1346"/>
      <c r="Y1" s="1346"/>
      <c r="Z1" s="1346"/>
      <c r="AA1" s="1346"/>
      <c r="AB1" s="1346"/>
      <c r="AC1" s="1346"/>
      <c r="AD1" s="1346"/>
      <c r="AE1" s="1347"/>
      <c r="AF1" s="1341" t="s">
        <v>175</v>
      </c>
      <c r="AG1" s="1342"/>
      <c r="AH1" s="1348" t="s">
        <v>333</v>
      </c>
      <c r="AI1" s="1349"/>
      <c r="AJ1" s="1349"/>
      <c r="AK1" s="1350"/>
    </row>
    <row r="2" spans="1:37" ht="13.5" customHeight="1" thickBot="1" x14ac:dyDescent="0.25">
      <c r="A2" s="334"/>
      <c r="B2" s="217"/>
      <c r="C2" s="218"/>
      <c r="G2" s="377"/>
      <c r="I2" s="90"/>
      <c r="L2" s="83"/>
      <c r="M2" s="378" t="str">
        <f>CVR!E11</f>
        <v>example</v>
      </c>
      <c r="O2" s="83"/>
      <c r="P2" s="83"/>
      <c r="Q2" s="83"/>
      <c r="W2" s="83"/>
      <c r="X2" s="83"/>
      <c r="Y2" s="83"/>
      <c r="Z2" s="83"/>
      <c r="AA2" s="83"/>
      <c r="AC2" s="83"/>
      <c r="AD2" s="83"/>
      <c r="AE2" s="83"/>
      <c r="AF2" s="83"/>
      <c r="AG2" s="220"/>
      <c r="AH2" s="62"/>
      <c r="AI2" s="221" t="s">
        <v>287</v>
      </c>
      <c r="AJ2" s="1343"/>
      <c r="AK2" s="1344"/>
    </row>
    <row r="3" spans="1:37" ht="13.5" customHeight="1" x14ac:dyDescent="0.25">
      <c r="A3" s="351"/>
      <c r="B3" s="222" t="s">
        <v>123</v>
      </c>
      <c r="C3" s="379">
        <v>1</v>
      </c>
      <c r="D3" s="206" t="s">
        <v>218</v>
      </c>
      <c r="E3" s="206"/>
      <c r="F3" s="206"/>
      <c r="G3" s="352"/>
      <c r="H3" s="379">
        <v>2</v>
      </c>
      <c r="I3" s="206" t="s">
        <v>215</v>
      </c>
      <c r="J3" s="206"/>
      <c r="K3" s="206"/>
      <c r="L3" s="352"/>
      <c r="M3" s="215"/>
      <c r="N3" s="206"/>
      <c r="O3" s="206"/>
      <c r="P3" s="206"/>
      <c r="Q3" s="352"/>
      <c r="R3" s="215"/>
      <c r="S3" s="206"/>
      <c r="T3" s="206"/>
      <c r="U3" s="206"/>
      <c r="V3" s="352"/>
      <c r="W3" s="379">
        <v>3</v>
      </c>
      <c r="X3" s="206" t="s">
        <v>216</v>
      </c>
      <c r="Y3" s="206"/>
      <c r="Z3" s="206"/>
      <c r="AA3" s="352"/>
      <c r="AB3" s="379">
        <v>4</v>
      </c>
      <c r="AC3" s="206" t="s">
        <v>217</v>
      </c>
      <c r="AD3" s="206"/>
      <c r="AE3" s="206"/>
      <c r="AF3" s="352"/>
      <c r="AG3" s="425"/>
      <c r="AH3" s="426" t="s">
        <v>380</v>
      </c>
      <c r="AI3" s="426" t="s">
        <v>381</v>
      </c>
      <c r="AJ3" s="426" t="s">
        <v>382</v>
      </c>
      <c r="AK3" s="427" t="s">
        <v>383</v>
      </c>
    </row>
    <row r="4" spans="1:37" ht="13.5" customHeight="1" x14ac:dyDescent="0.2">
      <c r="A4" s="335"/>
      <c r="B4" s="101"/>
      <c r="C4" s="85"/>
      <c r="D4" s="86"/>
      <c r="E4" s="92"/>
      <c r="F4" s="87"/>
      <c r="G4" s="88"/>
      <c r="H4" s="85"/>
      <c r="I4" s="86"/>
      <c r="J4" s="92"/>
      <c r="K4" s="87"/>
      <c r="L4" s="88"/>
      <c r="M4" s="85"/>
      <c r="N4" s="86"/>
      <c r="O4" s="87"/>
      <c r="P4" s="86"/>
      <c r="Q4" s="88"/>
      <c r="R4" s="85"/>
      <c r="S4" s="86"/>
      <c r="T4" s="87"/>
      <c r="U4" s="86"/>
      <c r="V4" s="88"/>
      <c r="W4" s="85"/>
      <c r="X4" s="86"/>
      <c r="Y4" s="92"/>
      <c r="Z4" s="87"/>
      <c r="AA4" s="88"/>
      <c r="AB4" s="85"/>
      <c r="AC4" s="86"/>
      <c r="AD4" s="92"/>
      <c r="AE4" s="87"/>
      <c r="AF4" s="88"/>
      <c r="AG4" s="428" t="str">
        <f>A13</f>
        <v>AM</v>
      </c>
      <c r="AH4" s="429">
        <f>s4we!W27</f>
        <v>0.87836398030260099</v>
      </c>
      <c r="AI4" s="430">
        <f>s4we!W34</f>
        <v>46.958205277943961</v>
      </c>
      <c r="AJ4" s="431">
        <f>s4we!W41</f>
        <v>15.311857875637049</v>
      </c>
      <c r="AK4" s="432">
        <f>s4we!X41</f>
        <v>0</v>
      </c>
    </row>
    <row r="5" spans="1:37" ht="13.5" customHeight="1" x14ac:dyDescent="0.2">
      <c r="A5" s="327"/>
      <c r="B5" s="102"/>
      <c r="C5" s="89"/>
      <c r="D5" s="83"/>
      <c r="E5" s="83"/>
      <c r="F5" s="83"/>
      <c r="G5" s="84"/>
      <c r="H5" s="89"/>
      <c r="I5" s="83"/>
      <c r="J5" s="83"/>
      <c r="K5" s="83"/>
      <c r="L5" s="84"/>
      <c r="M5" s="89"/>
      <c r="N5" s="83"/>
      <c r="O5" s="83"/>
      <c r="P5" s="83"/>
      <c r="Q5" s="84"/>
      <c r="R5" s="89"/>
      <c r="S5" s="83"/>
      <c r="T5" s="83"/>
      <c r="U5" s="83"/>
      <c r="V5" s="84"/>
      <c r="W5" s="89"/>
      <c r="X5" s="83"/>
      <c r="Y5" s="83"/>
      <c r="Z5" s="83"/>
      <c r="AA5" s="84"/>
      <c r="AB5" s="89"/>
      <c r="AC5" s="83"/>
      <c r="AD5" s="83"/>
      <c r="AE5" s="83"/>
      <c r="AF5" s="84"/>
      <c r="AG5" s="428" t="str">
        <f t="shared" ref="AG5:AG6" si="0">A14</f>
        <v>off</v>
      </c>
      <c r="AH5" s="429">
        <f>s4we!W28</f>
        <v>0.53449917930840363</v>
      </c>
      <c r="AI5" s="430">
        <f>s4we!W35</f>
        <v>30.22081938214113</v>
      </c>
      <c r="AJ5" s="431">
        <f>s4we!W42</f>
        <v>3.8011583600846266</v>
      </c>
      <c r="AK5" s="432">
        <f>s4we!X42</f>
        <v>0</v>
      </c>
    </row>
    <row r="6" spans="1:37" ht="13.5" customHeight="1" x14ac:dyDescent="0.2">
      <c r="A6" s="327"/>
      <c r="B6" s="102"/>
      <c r="C6" s="94"/>
      <c r="D6" s="83"/>
      <c r="E6" s="83"/>
      <c r="G6" s="95"/>
      <c r="H6" s="94"/>
      <c r="I6" s="83"/>
      <c r="J6" s="83"/>
      <c r="L6" s="95"/>
      <c r="M6" s="94"/>
      <c r="N6" s="83"/>
      <c r="O6" s="83"/>
      <c r="Q6" s="95"/>
      <c r="R6" s="94"/>
      <c r="S6" s="83"/>
      <c r="T6" s="83"/>
      <c r="V6" s="95"/>
      <c r="W6" s="94"/>
      <c r="X6" s="83"/>
      <c r="Y6" s="83"/>
      <c r="AA6" s="95"/>
      <c r="AB6" s="94"/>
      <c r="AC6" s="83"/>
      <c r="AD6" s="83"/>
      <c r="AF6" s="95"/>
      <c r="AG6" s="428" t="str">
        <f t="shared" si="0"/>
        <v>PM</v>
      </c>
      <c r="AH6" s="429">
        <f>s4we!W29</f>
        <v>0.92357272584450956</v>
      </c>
      <c r="AI6" s="430">
        <f>s4we!W36</f>
        <v>50.507666952507648</v>
      </c>
      <c r="AJ6" s="431">
        <f>s4we!W43</f>
        <v>17.487039340405243</v>
      </c>
      <c r="AK6" s="432">
        <f>s4we!X43</f>
        <v>0</v>
      </c>
    </row>
    <row r="7" spans="1:37" ht="13.5" customHeight="1" x14ac:dyDescent="0.2">
      <c r="A7" s="327"/>
      <c r="B7" s="102"/>
      <c r="C7" s="94"/>
      <c r="D7" s="83"/>
      <c r="E7" s="83"/>
      <c r="G7" s="95"/>
      <c r="H7" s="94"/>
      <c r="I7" s="83"/>
      <c r="J7" s="83"/>
      <c r="L7" s="95"/>
      <c r="M7" s="94"/>
      <c r="N7" s="83"/>
      <c r="O7" s="83"/>
      <c r="Q7" s="95"/>
      <c r="R7" s="94"/>
      <c r="S7" s="83"/>
      <c r="T7" s="83"/>
      <c r="V7" s="95"/>
      <c r="W7" s="94"/>
      <c r="X7" s="83"/>
      <c r="Y7" s="83"/>
      <c r="AA7" s="95"/>
      <c r="AB7" s="94"/>
      <c r="AC7" s="83"/>
      <c r="AD7" s="83"/>
      <c r="AF7" s="95"/>
      <c r="AH7" s="96"/>
      <c r="AI7" s="96"/>
      <c r="AJ7" s="96"/>
      <c r="AK7" s="336"/>
    </row>
    <row r="8" spans="1:37" ht="13.5" customHeight="1" x14ac:dyDescent="0.2">
      <c r="A8" s="327"/>
      <c r="B8" s="102"/>
      <c r="C8" s="94"/>
      <c r="D8" s="83"/>
      <c r="E8" s="83"/>
      <c r="G8" s="95"/>
      <c r="H8" s="94"/>
      <c r="I8" s="83"/>
      <c r="J8" s="83"/>
      <c r="L8" s="95"/>
      <c r="M8" s="94"/>
      <c r="N8" s="83"/>
      <c r="O8" s="83"/>
      <c r="Q8" s="95"/>
      <c r="R8" s="94"/>
      <c r="S8" s="83"/>
      <c r="T8" s="83"/>
      <c r="V8" s="95"/>
      <c r="W8" s="94"/>
      <c r="X8" s="83"/>
      <c r="Y8" s="83"/>
      <c r="AA8" s="95"/>
      <c r="AB8" s="94"/>
      <c r="AC8" s="83"/>
      <c r="AD8" s="83"/>
      <c r="AF8" s="95"/>
      <c r="AH8" s="96"/>
      <c r="AI8" s="96"/>
      <c r="AJ8" s="96"/>
      <c r="AK8" s="336"/>
    </row>
    <row r="9" spans="1:37" ht="13.5" customHeight="1" x14ac:dyDescent="0.2">
      <c r="A9" s="327"/>
      <c r="B9" s="102"/>
      <c r="C9" s="94"/>
      <c r="D9" s="90"/>
      <c r="E9" s="90"/>
      <c r="G9" s="95"/>
      <c r="H9" s="94"/>
      <c r="I9" s="90"/>
      <c r="J9" s="90"/>
      <c r="L9" s="95"/>
      <c r="M9" s="94"/>
      <c r="N9" s="90"/>
      <c r="O9" s="90"/>
      <c r="Q9" s="95"/>
      <c r="R9" s="94"/>
      <c r="S9" s="90"/>
      <c r="T9" s="90"/>
      <c r="V9" s="95"/>
      <c r="W9" s="94"/>
      <c r="X9" s="90"/>
      <c r="Y9" s="90"/>
      <c r="AA9" s="95"/>
      <c r="AB9" s="94"/>
      <c r="AC9" s="90"/>
      <c r="AD9" s="90"/>
      <c r="AF9" s="95"/>
      <c r="AG9" s="337"/>
      <c r="AK9" s="338" t="str">
        <f>IF(MIN(AH13,AH14,AH15)&lt;SET!$F$56,"Warn: Check N/S ped. time","")</f>
        <v/>
      </c>
    </row>
    <row r="10" spans="1:37" ht="13.5" customHeight="1" x14ac:dyDescent="0.2">
      <c r="A10" s="327"/>
      <c r="B10" s="102"/>
      <c r="C10" s="94"/>
      <c r="D10" s="83"/>
      <c r="E10" s="83"/>
      <c r="G10" s="95"/>
      <c r="H10" s="94"/>
      <c r="I10" s="83"/>
      <c r="J10" s="83"/>
      <c r="L10" s="95"/>
      <c r="M10" s="94"/>
      <c r="N10" s="83"/>
      <c r="O10" s="83"/>
      <c r="Q10" s="95"/>
      <c r="R10" s="94"/>
      <c r="S10" s="83"/>
      <c r="T10" s="83"/>
      <c r="V10" s="95"/>
      <c r="W10" s="94"/>
      <c r="X10" s="83"/>
      <c r="Y10" s="83"/>
      <c r="AA10" s="95"/>
      <c r="AB10" s="94"/>
      <c r="AC10" s="83"/>
      <c r="AD10" s="83"/>
      <c r="AF10" s="95"/>
      <c r="AK10" s="338" t="str">
        <f>IF(MIN(AJ13,AJ14,AJ15)&lt;SET!$F$56,"Warn: Check W/E ped. time","")</f>
        <v/>
      </c>
    </row>
    <row r="11" spans="1:37" x14ac:dyDescent="0.2">
      <c r="A11" s="327"/>
      <c r="B11" s="103"/>
      <c r="C11" s="85"/>
      <c r="D11" s="86"/>
      <c r="E11" s="104"/>
      <c r="G11" s="95"/>
      <c r="H11" s="85"/>
      <c r="I11" s="86"/>
      <c r="J11" s="104"/>
      <c r="L11" s="95"/>
      <c r="M11" s="85"/>
      <c r="N11" s="86"/>
      <c r="O11" s="104"/>
      <c r="Q11" s="95"/>
      <c r="R11" s="85"/>
      <c r="S11" s="86"/>
      <c r="T11" s="104"/>
      <c r="V11" s="95"/>
      <c r="W11" s="85"/>
      <c r="X11" s="86"/>
      <c r="Y11" s="104"/>
      <c r="AA11" s="95"/>
      <c r="AB11" s="85"/>
      <c r="AC11" s="86"/>
      <c r="AD11" s="104"/>
      <c r="AF11" s="95"/>
      <c r="AG11" s="82"/>
      <c r="AH11" s="1339" t="s">
        <v>155</v>
      </c>
      <c r="AI11" s="1351"/>
      <c r="AJ11" s="1339" t="s">
        <v>156</v>
      </c>
      <c r="AK11" s="1340"/>
    </row>
    <row r="12" spans="1:37" x14ac:dyDescent="0.2">
      <c r="A12" s="327"/>
      <c r="B12" s="109" t="s">
        <v>157</v>
      </c>
      <c r="C12" s="105" t="s">
        <v>360</v>
      </c>
      <c r="D12" s="40" t="s">
        <v>359</v>
      </c>
      <c r="E12" s="40" t="s">
        <v>358</v>
      </c>
      <c r="F12" s="40" t="s">
        <v>84</v>
      </c>
      <c r="G12" s="106" t="s">
        <v>85</v>
      </c>
      <c r="H12" s="105" t="s">
        <v>360</v>
      </c>
      <c r="I12" s="40" t="s">
        <v>359</v>
      </c>
      <c r="J12" s="40" t="s">
        <v>358</v>
      </c>
      <c r="K12" s="40" t="s">
        <v>84</v>
      </c>
      <c r="L12" s="106" t="s">
        <v>85</v>
      </c>
      <c r="M12" s="105"/>
      <c r="N12" s="40"/>
      <c r="O12" s="40"/>
      <c r="P12" s="40"/>
      <c r="Q12" s="106"/>
      <c r="R12" s="105"/>
      <c r="S12" s="40"/>
      <c r="T12" s="40"/>
      <c r="U12" s="40"/>
      <c r="V12" s="106"/>
      <c r="W12" s="105" t="s">
        <v>360</v>
      </c>
      <c r="X12" s="40" t="s">
        <v>359</v>
      </c>
      <c r="Y12" s="40" t="s">
        <v>358</v>
      </c>
      <c r="Z12" s="40" t="s">
        <v>84</v>
      </c>
      <c r="AA12" s="106" t="s">
        <v>85</v>
      </c>
      <c r="AB12" s="105" t="s">
        <v>360</v>
      </c>
      <c r="AC12" s="40" t="s">
        <v>359</v>
      </c>
      <c r="AD12" s="40" t="s">
        <v>358</v>
      </c>
      <c r="AE12" s="40" t="s">
        <v>84</v>
      </c>
      <c r="AF12" s="106" t="s">
        <v>85</v>
      </c>
      <c r="AH12" s="107" t="s">
        <v>220</v>
      </c>
      <c r="AI12" s="108" t="s">
        <v>221</v>
      </c>
      <c r="AJ12" s="107" t="s">
        <v>220</v>
      </c>
      <c r="AK12" s="339" t="s">
        <v>221</v>
      </c>
    </row>
    <row r="13" spans="1:37" s="440" customFormat="1" ht="13.5" customHeight="1" x14ac:dyDescent="0.25">
      <c r="A13" s="436" t="str">
        <f>hr!$A$9</f>
        <v>AM</v>
      </c>
      <c r="B13" s="437">
        <f>D13+F13+G13+I13+K13+L13+N13+P13+Q13+S13+U13+V13+X13+Z13+AA13+AC13+AE13+AF13</f>
        <v>89.999990013917312</v>
      </c>
      <c r="C13" s="442">
        <v>0</v>
      </c>
      <c r="D13" s="443">
        <f>t!AL49</f>
        <v>7</v>
      </c>
      <c r="E13" s="444"/>
      <c r="F13" s="445">
        <f>t!AM49</f>
        <v>3</v>
      </c>
      <c r="G13" s="446">
        <f>t!AN49</f>
        <v>1.7339881849062175</v>
      </c>
      <c r="H13" s="442">
        <f>SUM(C13:G13)</f>
        <v>11.733988184906217</v>
      </c>
      <c r="I13" s="443">
        <f>t!AP49</f>
        <v>14.41164360667049</v>
      </c>
      <c r="J13" s="444"/>
      <c r="K13" s="445">
        <f>t!AQ49</f>
        <v>3.0022522522522523</v>
      </c>
      <c r="L13" s="446">
        <f>t!AR49</f>
        <v>2.7339881849062175</v>
      </c>
      <c r="M13" s="438"/>
      <c r="N13" s="439"/>
      <c r="P13" s="439"/>
      <c r="Q13" s="441"/>
      <c r="R13" s="438"/>
      <c r="S13" s="439"/>
      <c r="U13" s="439"/>
      <c r="V13" s="441"/>
      <c r="W13" s="442">
        <f>SUM(H13:L13)</f>
        <v>31.881872228735173</v>
      </c>
      <c r="X13" s="443">
        <f>t!BB49</f>
        <v>35.20955899725795</v>
      </c>
      <c r="Y13" s="444"/>
      <c r="Z13" s="445">
        <f>t!BC49</f>
        <v>3</v>
      </c>
      <c r="AA13" s="446">
        <f>t!BD49</f>
        <v>2</v>
      </c>
      <c r="AB13" s="442">
        <f>SUM(W13:AA13)</f>
        <v>72.091431225993119</v>
      </c>
      <c r="AC13" s="443">
        <f>t!BF49</f>
        <v>12.383802087429778</v>
      </c>
      <c r="AD13" s="444"/>
      <c r="AE13" s="445">
        <f>t!BG49</f>
        <v>3.3776276276276271</v>
      </c>
      <c r="AF13" s="446">
        <f>t!BH49</f>
        <v>2.1471290728667785</v>
      </c>
      <c r="AH13" s="447">
        <f>IF(I13&gt;AI13,I13-AI13,0.001)</f>
        <v>4.4138958589227411</v>
      </c>
      <c r="AI13" s="448">
        <f>SET!F16</f>
        <v>9.9977477477477485</v>
      </c>
      <c r="AJ13" s="449">
        <f>IF(X13&gt;AK13,X13-AK13,0.001)</f>
        <v>28.587186624885575</v>
      </c>
      <c r="AK13" s="450">
        <f>SET!F17</f>
        <v>6.6223723723723733</v>
      </c>
    </row>
    <row r="14" spans="1:37" s="440" customFormat="1" ht="13.5" customHeight="1" x14ac:dyDescent="0.25">
      <c r="A14" s="436" t="str">
        <f>hr!$A$10</f>
        <v>off</v>
      </c>
      <c r="B14" s="437">
        <f>D14+F14+G14+I14+K14+L14+N14+P14+Q14+S14+U14+V14+X14+Z14+AA14+AC14+AE14+AF14</f>
        <v>79.999991864207118</v>
      </c>
      <c r="C14" s="442">
        <v>0</v>
      </c>
      <c r="D14" s="443">
        <f>t!AL50</f>
        <v>7</v>
      </c>
      <c r="E14" s="444"/>
      <c r="F14" s="445">
        <f>t!AM50</f>
        <v>3</v>
      </c>
      <c r="G14" s="446">
        <f>t!AN50</f>
        <v>1.7339881849062175</v>
      </c>
      <c r="H14" s="442">
        <f t="shared" ref="H14:H15" si="1">SUM(C14:G14)</f>
        <v>11.733988184906217</v>
      </c>
      <c r="I14" s="443">
        <f>t!AP50</f>
        <v>19.724091221718691</v>
      </c>
      <c r="J14" s="444"/>
      <c r="K14" s="445">
        <f>t!AQ50</f>
        <v>3.0022522522522523</v>
      </c>
      <c r="L14" s="446">
        <f>t!AR50</f>
        <v>2.7339881849062175</v>
      </c>
      <c r="M14" s="438"/>
      <c r="N14" s="439"/>
      <c r="P14" s="439"/>
      <c r="Q14" s="441"/>
      <c r="R14" s="438"/>
      <c r="S14" s="439"/>
      <c r="U14" s="439"/>
      <c r="V14" s="441"/>
      <c r="W14" s="442">
        <f t="shared" ref="W14:W15" si="2">SUM(H14:L14)</f>
        <v>37.194319843783376</v>
      </c>
      <c r="X14" s="443">
        <f>t!BB50</f>
        <v>28.280915319929342</v>
      </c>
      <c r="Y14" s="444"/>
      <c r="Z14" s="445">
        <f>t!BC50</f>
        <v>3</v>
      </c>
      <c r="AA14" s="446">
        <f>t!BD50</f>
        <v>2</v>
      </c>
      <c r="AB14" s="442">
        <f t="shared" ref="AB14:AB15" si="3">SUM(W14:AA14)</f>
        <v>70.475235163712711</v>
      </c>
      <c r="AC14" s="443">
        <f>t!BF50</f>
        <v>4</v>
      </c>
      <c r="AD14" s="444"/>
      <c r="AE14" s="445">
        <f>t!BG50</f>
        <v>3.3776276276276271</v>
      </c>
      <c r="AF14" s="446">
        <f>t!BH50</f>
        <v>2.1471290728667785</v>
      </c>
      <c r="AH14" s="447">
        <f>IF(I14&gt;AI14,I14-AI14,0.001)</f>
        <v>9.7263434739709425</v>
      </c>
      <c r="AI14" s="451">
        <f>AI13</f>
        <v>9.9977477477477485</v>
      </c>
      <c r="AJ14" s="449">
        <f>IF(X14&gt;AK14,X14-AK14,0.001)</f>
        <v>21.658542947556967</v>
      </c>
      <c r="AK14" s="450">
        <f>AK13</f>
        <v>6.6223723723723733</v>
      </c>
    </row>
    <row r="15" spans="1:37" s="440" customFormat="1" ht="13.5" customHeight="1" thickBot="1" x14ac:dyDescent="0.3">
      <c r="A15" s="436" t="str">
        <f>hr!$A$11</f>
        <v>PM</v>
      </c>
      <c r="B15" s="437">
        <f>D15+F15+G15+I15+K15+L15+N15+P15+Q15+S15+U15+V15+X15+Z15+AA15+AC15+AE15+AF15</f>
        <v>89.999989999986397</v>
      </c>
      <c r="C15" s="456">
        <v>0</v>
      </c>
      <c r="D15" s="457">
        <f>t!AL51</f>
        <v>9.9078263065441998</v>
      </c>
      <c r="E15" s="458"/>
      <c r="F15" s="459">
        <f>t!AM51</f>
        <v>3</v>
      </c>
      <c r="G15" s="460">
        <f>t!AN51</f>
        <v>1.7339881849062175</v>
      </c>
      <c r="H15" s="456">
        <f t="shared" si="1"/>
        <v>14.641814491450418</v>
      </c>
      <c r="I15" s="457">
        <f>t!AP51</f>
        <v>17.786353427237934</v>
      </c>
      <c r="J15" s="458"/>
      <c r="K15" s="459">
        <f>t!AQ51</f>
        <v>3.0022522522522523</v>
      </c>
      <c r="L15" s="460">
        <f>t!AR51</f>
        <v>2.7339881849062175</v>
      </c>
      <c r="M15" s="452"/>
      <c r="N15" s="453"/>
      <c r="O15" s="454"/>
      <c r="P15" s="453"/>
      <c r="Q15" s="455"/>
      <c r="R15" s="452"/>
      <c r="S15" s="453"/>
      <c r="T15" s="454"/>
      <c r="U15" s="453"/>
      <c r="V15" s="455"/>
      <c r="W15" s="456">
        <f t="shared" si="2"/>
        <v>38.164408355846824</v>
      </c>
      <c r="X15" s="457">
        <f>t!BB51</f>
        <v>32.435015605484352</v>
      </c>
      <c r="Y15" s="458"/>
      <c r="Z15" s="459">
        <f>t!BC51</f>
        <v>3</v>
      </c>
      <c r="AA15" s="460">
        <f>t!BD51</f>
        <v>2</v>
      </c>
      <c r="AB15" s="456">
        <f t="shared" si="3"/>
        <v>75.599423961331183</v>
      </c>
      <c r="AC15" s="457">
        <f>t!BF51</f>
        <v>8.8758093381608081</v>
      </c>
      <c r="AD15" s="458"/>
      <c r="AE15" s="459">
        <f>t!BG51</f>
        <v>3.3776276276276271</v>
      </c>
      <c r="AF15" s="460">
        <f>t!BH51</f>
        <v>2.1471290728667785</v>
      </c>
      <c r="AH15" s="447">
        <f>IF(I15&gt;AI15,I15-AI15,0.001)</f>
        <v>7.7886056794901855</v>
      </c>
      <c r="AI15" s="451">
        <f>AI13</f>
        <v>9.9977477477477485</v>
      </c>
      <c r="AJ15" s="449">
        <f>IF(X15&gt;AK15,X15-AK15,0.001)</f>
        <v>25.812643233111977</v>
      </c>
      <c r="AK15" s="450">
        <f>AK13</f>
        <v>6.6223723723723733</v>
      </c>
    </row>
    <row r="16" spans="1:37" s="91" customFormat="1" x14ac:dyDescent="0.25">
      <c r="A16" s="384"/>
      <c r="B16" s="340"/>
      <c r="C16" s="340"/>
      <c r="D16" s="340"/>
      <c r="E16" s="340"/>
      <c r="F16" s="340"/>
      <c r="G16" s="340"/>
      <c r="H16" s="340"/>
      <c r="I16" s="340"/>
      <c r="J16" s="340"/>
      <c r="K16" s="340"/>
      <c r="V16" s="341"/>
      <c r="W16" s="341"/>
      <c r="Y16" s="341"/>
      <c r="AB16" s="341"/>
      <c r="AC16" s="341"/>
      <c r="AD16" s="341"/>
      <c r="AE16" s="341"/>
      <c r="AF16" s="341"/>
      <c r="AK16" s="342" t="str">
        <f>cap!$A$1</f>
        <v>&amp;AutoJ 2408</v>
      </c>
    </row>
    <row r="17" spans="1:37" ht="11.25" customHeight="1" x14ac:dyDescent="0.2">
      <c r="A17" s="385" t="s">
        <v>222</v>
      </c>
      <c r="B17" s="386" t="s">
        <v>72</v>
      </c>
      <c r="C17" s="387" t="s">
        <v>17</v>
      </c>
      <c r="D17" s="387" t="s">
        <v>163</v>
      </c>
      <c r="E17" s="387" t="s">
        <v>164</v>
      </c>
      <c r="F17" s="387" t="s">
        <v>358</v>
      </c>
      <c r="G17" s="387" t="s">
        <v>84</v>
      </c>
      <c r="H17" s="387" t="s">
        <v>85</v>
      </c>
      <c r="I17" s="387" t="s">
        <v>158</v>
      </c>
      <c r="J17" s="387" t="s">
        <v>165</v>
      </c>
      <c r="K17" s="388" t="s">
        <v>174</v>
      </c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343"/>
    </row>
    <row r="18" spans="1:37" ht="11.25" customHeight="1" x14ac:dyDescent="0.2">
      <c r="A18" s="347" t="str">
        <f>SET!B29</f>
        <v>AM</v>
      </c>
      <c r="B18" s="389" t="str">
        <f>SET!C29</f>
        <v>AM</v>
      </c>
      <c r="C18" s="390" t="str">
        <f>SET!D29</f>
        <v>6:00 to 9:00 weekdays</v>
      </c>
      <c r="D18" s="380"/>
      <c r="E18" s="381"/>
      <c r="F18" s="381"/>
      <c r="G18" s="381"/>
      <c r="H18" s="381"/>
      <c r="I18" s="381"/>
      <c r="J18" s="381"/>
      <c r="K18" s="382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219" t="s">
        <v>290</v>
      </c>
      <c r="AH18" s="3"/>
      <c r="AI18" s="3"/>
      <c r="AJ18" s="3"/>
      <c r="AK18" s="231"/>
    </row>
    <row r="19" spans="1:37" ht="11.25" customHeight="1" x14ac:dyDescent="0.2">
      <c r="A19" s="344" t="str">
        <f>CONCATENATE($B$18,$C$3)</f>
        <v>AM1</v>
      </c>
      <c r="B19" s="66" t="s">
        <v>171</v>
      </c>
      <c r="C19" s="56">
        <f>C20</f>
        <v>0</v>
      </c>
      <c r="D19" s="56"/>
      <c r="E19" s="56">
        <f>IF(GEOM!$AB$29&gt;0,E20,0)</f>
        <v>0</v>
      </c>
      <c r="F19" s="56">
        <f>IF(GEOM!$AB$29&gt;0,F20,0)</f>
        <v>0</v>
      </c>
      <c r="G19" s="56">
        <f>IF(GEOM!$AB$29&gt;0,G20,0)</f>
        <v>0</v>
      </c>
      <c r="H19" s="56">
        <f>IF(GEOM!$AB$29&gt;0,H20,0)</f>
        <v>0</v>
      </c>
      <c r="I19" s="56"/>
      <c r="J19" s="56"/>
      <c r="K19" s="57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5"/>
      <c r="AH19" s="1"/>
      <c r="AI19" s="1"/>
      <c r="AJ19" s="1"/>
      <c r="AK19" s="228"/>
    </row>
    <row r="20" spans="1:37" ht="11.25" customHeight="1" x14ac:dyDescent="0.2">
      <c r="A20" s="344" t="str">
        <f>CONCATENATE($B$18,$C$3)</f>
        <v>AM1</v>
      </c>
      <c r="B20" s="66" t="s">
        <v>170</v>
      </c>
      <c r="C20" s="56">
        <f>IF($L$20&gt;0,0,$L$22)</f>
        <v>0</v>
      </c>
      <c r="D20" s="56"/>
      <c r="E20" s="56">
        <f>$D$13+$N$13</f>
        <v>7</v>
      </c>
      <c r="F20" s="56">
        <f>$E$13</f>
        <v>0</v>
      </c>
      <c r="G20" s="56">
        <f>$F$13+$P$13</f>
        <v>3</v>
      </c>
      <c r="H20" s="56">
        <f>$G$13+$Q$13</f>
        <v>1.7339881849062175</v>
      </c>
      <c r="I20" s="56"/>
      <c r="J20" s="56"/>
      <c r="K20" s="57"/>
      <c r="L20" s="383">
        <f>SUM(D13:G13)</f>
        <v>11.733988184906217</v>
      </c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5"/>
      <c r="AH20" s="1"/>
      <c r="AI20" s="1"/>
      <c r="AJ20" s="1"/>
      <c r="AK20" s="228"/>
    </row>
    <row r="21" spans="1:37" ht="11.25" customHeight="1" x14ac:dyDescent="0.2">
      <c r="A21" s="344" t="str">
        <f>CONCATENATE($B$18,$H$3)</f>
        <v>AM2</v>
      </c>
      <c r="B21" s="66" t="s">
        <v>159</v>
      </c>
      <c r="C21" s="56">
        <f>IF($L$20=0,0,SUM(C20:H20))</f>
        <v>11.733988184906217</v>
      </c>
      <c r="D21" s="56">
        <f>$I$13</f>
        <v>14.41164360667049</v>
      </c>
      <c r="E21" s="56"/>
      <c r="F21" s="56">
        <f>$J$13</f>
        <v>0</v>
      </c>
      <c r="G21" s="56">
        <f>$K$13</f>
        <v>3.0022522522522523</v>
      </c>
      <c r="H21" s="56">
        <f>$L$13</f>
        <v>2.7339881849062175</v>
      </c>
      <c r="I21" s="56"/>
      <c r="J21" s="56"/>
      <c r="K21" s="57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5"/>
      <c r="AH21" s="1"/>
      <c r="AI21" s="1"/>
      <c r="AJ21" s="1"/>
      <c r="AK21" s="228"/>
    </row>
    <row r="22" spans="1:37" ht="11.25" customHeight="1" x14ac:dyDescent="0.2">
      <c r="A22" s="344" t="str">
        <f>CONCATENATE($B$18,$C$3,$H$3)</f>
        <v>AM12</v>
      </c>
      <c r="B22" s="66" t="s">
        <v>160</v>
      </c>
      <c r="C22" s="56">
        <f>IF($L$20=0,0,SUM(C25:H25))</f>
        <v>0</v>
      </c>
      <c r="D22" s="56">
        <f>$L$20+$I$13</f>
        <v>26.145631791576704</v>
      </c>
      <c r="E22" s="56"/>
      <c r="F22" s="56">
        <f>$J$13</f>
        <v>0</v>
      </c>
      <c r="G22" s="56">
        <f>$K$13</f>
        <v>3.0022522522522523</v>
      </c>
      <c r="H22" s="56">
        <f>$L$13</f>
        <v>2.7339881849062175</v>
      </c>
      <c r="I22" s="56"/>
      <c r="J22" s="56"/>
      <c r="K22" s="57"/>
      <c r="L22" s="383">
        <f>SUM(I13:L13)</f>
        <v>20.147884043828959</v>
      </c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5"/>
      <c r="AH22" s="1"/>
      <c r="AI22" s="1"/>
      <c r="AJ22" s="1"/>
      <c r="AK22" s="228"/>
    </row>
    <row r="23" spans="1:37" ht="11.25" customHeight="1" x14ac:dyDescent="0.2">
      <c r="A23" s="344" t="str">
        <f>CONCATENATE($B$18,$H$3)</f>
        <v>AM2</v>
      </c>
      <c r="B23" s="66" t="s">
        <v>27</v>
      </c>
      <c r="C23" s="56">
        <f>C21</f>
        <v>11.733988184906217</v>
      </c>
      <c r="D23" s="56"/>
      <c r="E23" s="56"/>
      <c r="F23" s="56"/>
      <c r="G23" s="56"/>
      <c r="H23" s="56"/>
      <c r="I23" s="56">
        <f>IF(J23=0,0,$AH$13)</f>
        <v>4.4138958589227411</v>
      </c>
      <c r="J23" s="56">
        <f>IF(GEOM!$AA$21="y",'+s4we'!$AI$13,0)</f>
        <v>9.9977477477477485</v>
      </c>
      <c r="K23" s="57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5"/>
      <c r="AH23" s="1"/>
      <c r="AI23" s="354" t="s">
        <v>334</v>
      </c>
      <c r="AJ23" s="1"/>
      <c r="AK23" s="228"/>
    </row>
    <row r="24" spans="1:37" ht="11.25" customHeight="1" x14ac:dyDescent="0.2">
      <c r="A24" s="344" t="str">
        <f>CONCATENATE($B$18,$C$3,$H$3)</f>
        <v>AM12</v>
      </c>
      <c r="B24" s="66" t="s">
        <v>28</v>
      </c>
      <c r="C24" s="56">
        <f>C22</f>
        <v>0</v>
      </c>
      <c r="D24" s="56"/>
      <c r="E24" s="56"/>
      <c r="F24" s="56"/>
      <c r="G24" s="56"/>
      <c r="H24" s="56"/>
      <c r="I24" s="56">
        <f>IF(J24=0,0,$AH$13+L20)</f>
        <v>16.147884043828959</v>
      </c>
      <c r="J24" s="56">
        <f>IF(GEOM!$I$26="y",'+s4we'!$AI$13,0)</f>
        <v>9.9977477477477485</v>
      </c>
      <c r="K24" s="57"/>
      <c r="L24" s="3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58"/>
      <c r="AK24" s="345"/>
    </row>
    <row r="25" spans="1:37" ht="11.25" customHeight="1" x14ac:dyDescent="0.2">
      <c r="A25" s="344"/>
      <c r="B25" s="66"/>
      <c r="C25" s="56"/>
      <c r="D25" s="56"/>
      <c r="E25" s="56"/>
      <c r="F25" s="56"/>
      <c r="G25" s="56"/>
      <c r="H25" s="56"/>
      <c r="I25" s="56"/>
      <c r="J25" s="56"/>
      <c r="K25" s="57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58"/>
      <c r="AK25" s="345"/>
    </row>
    <row r="26" spans="1:37" ht="11.25" customHeight="1" x14ac:dyDescent="0.2">
      <c r="A26" s="344"/>
      <c r="B26" s="66"/>
      <c r="C26" s="56"/>
      <c r="D26" s="56"/>
      <c r="E26" s="56"/>
      <c r="F26" s="56"/>
      <c r="G26" s="56"/>
      <c r="H26" s="56"/>
      <c r="I26" s="56"/>
      <c r="J26" s="56"/>
      <c r="K26" s="57"/>
      <c r="L26" s="3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58"/>
      <c r="AK26" s="345"/>
    </row>
    <row r="27" spans="1:37" ht="11.25" customHeight="1" x14ac:dyDescent="0.2">
      <c r="A27" s="344" t="str">
        <f>CONCATENATE($B$18,$W$3)</f>
        <v>AM3</v>
      </c>
      <c r="B27" s="66" t="s">
        <v>161</v>
      </c>
      <c r="C27" s="56">
        <f>IF($L$28=0,$L$20+$L$22+$L$26,SUM(C32:H32))</f>
        <v>31.881872228735176</v>
      </c>
      <c r="D27" s="56">
        <f>$L$28+$X$13</f>
        <v>35.20955899725795</v>
      </c>
      <c r="E27" s="56"/>
      <c r="F27" s="56">
        <f>$Y$13</f>
        <v>0</v>
      </c>
      <c r="G27" s="56">
        <f>$Z$13</f>
        <v>3</v>
      </c>
      <c r="H27" s="56">
        <f>$AA$13</f>
        <v>2</v>
      </c>
      <c r="I27" s="56"/>
      <c r="J27" s="56"/>
      <c r="K27" s="57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58"/>
      <c r="AK27" s="345"/>
    </row>
    <row r="28" spans="1:37" ht="11.25" customHeight="1" x14ac:dyDescent="0.2">
      <c r="A28" s="344" t="str">
        <f>CONCATENATE($B$18,$W$3)</f>
        <v>AM3</v>
      </c>
      <c r="B28" s="66" t="s">
        <v>162</v>
      </c>
      <c r="C28" s="56">
        <f>IF($L$28=0,$L$20+$L$22+$L$26,SUM(C31:H31))</f>
        <v>31.881872228735176</v>
      </c>
      <c r="D28" s="56">
        <f>$L$28+$X$13</f>
        <v>35.20955899725795</v>
      </c>
      <c r="E28" s="56"/>
      <c r="F28" s="56">
        <f>$Y$13</f>
        <v>0</v>
      </c>
      <c r="G28" s="56">
        <f>$Z$13</f>
        <v>3</v>
      </c>
      <c r="H28" s="56">
        <f>$AA$13</f>
        <v>2</v>
      </c>
      <c r="I28" s="56"/>
      <c r="J28" s="56"/>
      <c r="K28" s="57"/>
      <c r="L28" s="3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58"/>
      <c r="AK28" s="345"/>
    </row>
    <row r="29" spans="1:37" ht="11.25" customHeight="1" x14ac:dyDescent="0.2">
      <c r="A29" s="344" t="str">
        <f>CONCATENATE($B$18,$W$3)</f>
        <v>AM3</v>
      </c>
      <c r="B29" s="66" t="s">
        <v>29</v>
      </c>
      <c r="C29" s="56">
        <f>C27</f>
        <v>31.881872228735176</v>
      </c>
      <c r="D29" s="56"/>
      <c r="E29" s="56"/>
      <c r="F29" s="56"/>
      <c r="G29" s="56"/>
      <c r="H29" s="56"/>
      <c r="I29" s="56">
        <f>IF(J29=0,0,$AJ$13)</f>
        <v>28.587186624885575</v>
      </c>
      <c r="J29" s="56">
        <f>IF(GEOM!$P$14="y",$AK$13,0)</f>
        <v>6.6223723723723733</v>
      </c>
      <c r="K29" s="57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58"/>
      <c r="AK29" s="345"/>
    </row>
    <row r="30" spans="1:37" ht="11.25" customHeight="1" x14ac:dyDescent="0.2">
      <c r="A30" s="344" t="str">
        <f>CONCATENATE($B$18,$W$3)</f>
        <v>AM3</v>
      </c>
      <c r="B30" s="66" t="s">
        <v>30</v>
      </c>
      <c r="C30" s="56">
        <f>C28</f>
        <v>31.881872228735176</v>
      </c>
      <c r="D30" s="56"/>
      <c r="E30" s="56"/>
      <c r="F30" s="56"/>
      <c r="G30" s="56"/>
      <c r="H30" s="56"/>
      <c r="I30" s="56">
        <f>IF(J30=0,0,$AJ$13)</f>
        <v>28.587186624885575</v>
      </c>
      <c r="J30" s="56">
        <f>IF(GEOM!$U$32="y",$AK$13,0)</f>
        <v>6.6223723723723733</v>
      </c>
      <c r="K30" s="57"/>
      <c r="L30" s="383">
        <f>SUM(X13:AA13)</f>
        <v>40.20955899725795</v>
      </c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7"/>
      <c r="AH30" s="8"/>
      <c r="AI30" s="8"/>
      <c r="AJ30" s="8"/>
      <c r="AK30" s="233"/>
    </row>
    <row r="31" spans="1:37" ht="11.25" customHeight="1" x14ac:dyDescent="0.2">
      <c r="A31" s="344" t="str">
        <f>CONCATENATE($B$18,$AB$3)</f>
        <v>AM4</v>
      </c>
      <c r="B31" s="66" t="s">
        <v>172</v>
      </c>
      <c r="C31" s="56">
        <f>$L$20+$L$22+$L$26+IF($L$28&gt;0,0,$L$30)</f>
        <v>72.091431225993119</v>
      </c>
      <c r="D31" s="56"/>
      <c r="E31" s="56">
        <f>$S$13+$AC$13</f>
        <v>12.383802087429778</v>
      </c>
      <c r="F31" s="56">
        <f>$AD$13</f>
        <v>0</v>
      </c>
      <c r="G31" s="56">
        <f>$U$13+$AE$13</f>
        <v>3.3776276276276271</v>
      </c>
      <c r="H31" s="56">
        <f>$V$13+$AF$13</f>
        <v>2.1471290728667785</v>
      </c>
      <c r="I31" s="56"/>
      <c r="J31" s="56"/>
      <c r="K31" s="57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1333" t="str">
        <f>EX!A58</f>
        <v>job no.</v>
      </c>
      <c r="AH31" s="1334"/>
      <c r="AI31" s="1334"/>
      <c r="AJ31" s="1334"/>
      <c r="AK31" s="1335"/>
    </row>
    <row r="32" spans="1:37" ht="11.25" customHeight="1" x14ac:dyDescent="0.2">
      <c r="A32" s="344" t="str">
        <f>CONCATENATE($B$18,$AB$3)</f>
        <v>AM4</v>
      </c>
      <c r="B32" s="66" t="s">
        <v>173</v>
      </c>
      <c r="C32" s="56">
        <f>$L$20+$L$22+$L$26+IF($L$28&gt;0,0,$L$30)</f>
        <v>72.091431225993119</v>
      </c>
      <c r="D32" s="56"/>
      <c r="E32" s="56">
        <f>$S$13+$AC$13</f>
        <v>12.383802087429778</v>
      </c>
      <c r="F32" s="56">
        <f>$AD$13</f>
        <v>0</v>
      </c>
      <c r="G32" s="56">
        <f>$U$13+$AE$13</f>
        <v>3.3776276276276271</v>
      </c>
      <c r="H32" s="56">
        <f>$V$13+$AF$13</f>
        <v>2.1471290728667785</v>
      </c>
      <c r="I32" s="56"/>
      <c r="J32" s="56"/>
      <c r="K32" s="57"/>
      <c r="L32" s="383">
        <f>SUM(AC13:AF13)</f>
        <v>17.908558787924182</v>
      </c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1321"/>
      <c r="AH32" s="1322"/>
      <c r="AI32" s="1322"/>
      <c r="AJ32" s="1322"/>
      <c r="AK32" s="1323"/>
    </row>
    <row r="33" spans="1:37" ht="11.25" customHeight="1" x14ac:dyDescent="0.2">
      <c r="A33" s="344" t="str">
        <f>CONCATENATE($B$18,$AB$3)</f>
        <v>AM4</v>
      </c>
      <c r="B33" s="66" t="s">
        <v>168</v>
      </c>
      <c r="C33" s="56">
        <f>C32</f>
        <v>72.091431225993119</v>
      </c>
      <c r="D33" s="56"/>
      <c r="E33" s="56">
        <f>IF(GEOM!$X$13=0,0,E32)</f>
        <v>0</v>
      </c>
      <c r="F33" s="56">
        <f>IF(GEOM!$X$13=0,0,F32)</f>
        <v>0</v>
      </c>
      <c r="G33" s="56">
        <f>IF(GEOM!$X$13=0,0,G32)</f>
        <v>0</v>
      </c>
      <c r="H33" s="56">
        <f>IF(GEOM!$X$13=0,0,H32)</f>
        <v>0</v>
      </c>
      <c r="I33" s="56"/>
      <c r="J33" s="56"/>
      <c r="K33" s="57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1321" t="str">
        <f>EX!A59</f>
        <v>John Sampson</v>
      </c>
      <c r="AH33" s="1322"/>
      <c r="AI33" s="1322"/>
      <c r="AJ33" s="1322"/>
      <c r="AK33" s="1323"/>
    </row>
    <row r="34" spans="1:37" ht="11.25" customHeight="1" x14ac:dyDescent="0.2">
      <c r="A34" s="344" t="str">
        <f>CONCATENATE($B$18,$AB$3)</f>
        <v>AM4</v>
      </c>
      <c r="B34" s="66" t="s">
        <v>169</v>
      </c>
      <c r="C34" s="56">
        <f>C31</f>
        <v>72.091431225993119</v>
      </c>
      <c r="D34" s="56"/>
      <c r="E34" s="56">
        <f>IF(GEOM!$L$33=0,0,E31)</f>
        <v>0</v>
      </c>
      <c r="F34" s="56">
        <f>IF(GEOM!$L$33=0,0,F31)</f>
        <v>0</v>
      </c>
      <c r="G34" s="56">
        <f>IF(GEOM!$L$33=0,0,G31)</f>
        <v>0</v>
      </c>
      <c r="H34" s="56">
        <f>IF(GEOM!$L$33=0,0,H31)</f>
        <v>0</v>
      </c>
      <c r="I34" s="56"/>
      <c r="J34" s="56"/>
      <c r="K34" s="57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1321"/>
      <c r="AH34" s="1322"/>
      <c r="AI34" s="1322"/>
      <c r="AJ34" s="1322"/>
      <c r="AK34" s="1323"/>
    </row>
    <row r="35" spans="1:37" ht="11.25" customHeight="1" x14ac:dyDescent="0.2">
      <c r="A35" s="347" t="str">
        <f>SET!B30</f>
        <v>off</v>
      </c>
      <c r="B35" s="389" t="str">
        <f>SET!C30</f>
        <v>off</v>
      </c>
      <c r="C35" s="390" t="str">
        <f>SET!D30</f>
        <v>all times except peaks</v>
      </c>
      <c r="D35" s="380"/>
      <c r="E35" s="381"/>
      <c r="F35" s="381"/>
      <c r="G35" s="381"/>
      <c r="H35" s="381"/>
      <c r="I35" s="381"/>
      <c r="J35" s="381"/>
      <c r="K35" s="382">
        <f>MAX(SUM(L19:L34),SUM(L36:L51),SUM(L53:L68))</f>
        <v>89.999990013917298</v>
      </c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1321" t="str">
        <f>EX!A60</f>
        <v>Pr Eng</v>
      </c>
      <c r="AH35" s="1322"/>
      <c r="AI35" s="1322"/>
      <c r="AJ35" s="1322"/>
      <c r="AK35" s="1323"/>
    </row>
    <row r="36" spans="1:37" ht="11.25" customHeight="1" x14ac:dyDescent="0.2">
      <c r="A36" s="344" t="str">
        <f>CONCATENATE($B$35,$C$3)</f>
        <v>off1</v>
      </c>
      <c r="B36" s="66" t="s">
        <v>171</v>
      </c>
      <c r="C36" s="56">
        <f>C37</f>
        <v>0</v>
      </c>
      <c r="D36" s="56"/>
      <c r="E36" s="56">
        <f>IF(GEOM!$AB$29&gt;0,E37,0)</f>
        <v>0</v>
      </c>
      <c r="F36" s="56">
        <f>IF(GEOM!$AB$29&gt;0,F37,0)</f>
        <v>0</v>
      </c>
      <c r="G36" s="56">
        <f>IF(GEOM!$AB$29&gt;0,G37,0)</f>
        <v>0</v>
      </c>
      <c r="H36" s="56">
        <f>IF(GEOM!$AB$29&gt;0,H37,0)</f>
        <v>0</v>
      </c>
      <c r="I36" s="56"/>
      <c r="J36" s="56"/>
      <c r="K36" s="57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1321"/>
      <c r="AH36" s="1322"/>
      <c r="AI36" s="1322"/>
      <c r="AJ36" s="1322"/>
      <c r="AK36" s="1323"/>
    </row>
    <row r="37" spans="1:37" ht="11.25" customHeight="1" x14ac:dyDescent="0.2">
      <c r="A37" s="344" t="str">
        <f>CONCATENATE($B$35,$C$3)</f>
        <v>off1</v>
      </c>
      <c r="B37" s="66" t="s">
        <v>170</v>
      </c>
      <c r="C37" s="56">
        <f>IF($L$37&gt;0,0,$L$39)</f>
        <v>0</v>
      </c>
      <c r="D37" s="56"/>
      <c r="E37" s="56">
        <f>$D$14+$N$14</f>
        <v>7</v>
      </c>
      <c r="F37" s="56">
        <f>$E$14</f>
        <v>0</v>
      </c>
      <c r="G37" s="56">
        <f>$F$14+$P$14</f>
        <v>3</v>
      </c>
      <c r="H37" s="56">
        <f>$G$14+$Q$14</f>
        <v>1.7339881849062175</v>
      </c>
      <c r="I37" s="56"/>
      <c r="J37" s="56"/>
      <c r="K37" s="57"/>
      <c r="L37" s="383">
        <f>SUM(D14:G14)</f>
        <v>11.733988184906217</v>
      </c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1321" t="str">
        <f>EX!A61</f>
        <v>registration</v>
      </c>
      <c r="AH37" s="1322"/>
      <c r="AI37" s="1322"/>
      <c r="AJ37" s="1322"/>
      <c r="AK37" s="1323"/>
    </row>
    <row r="38" spans="1:37" ht="11.25" customHeight="1" x14ac:dyDescent="0.2">
      <c r="A38" s="344" t="str">
        <f>CONCATENATE($B$35,$H$3)</f>
        <v>off2</v>
      </c>
      <c r="B38" s="66" t="s">
        <v>159</v>
      </c>
      <c r="C38" s="56">
        <f>IF($L$37=0,0,SUM(C37:H37))</f>
        <v>11.733988184906217</v>
      </c>
      <c r="D38" s="56">
        <f>$I$14</f>
        <v>19.724091221718691</v>
      </c>
      <c r="E38" s="56"/>
      <c r="F38" s="56">
        <f>$J$14</f>
        <v>0</v>
      </c>
      <c r="G38" s="56">
        <f>$K$14</f>
        <v>3.0022522522522523</v>
      </c>
      <c r="H38" s="56">
        <f>$L$14</f>
        <v>2.7339881849062175</v>
      </c>
      <c r="I38" s="56"/>
      <c r="J38" s="56"/>
      <c r="K38" s="57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1321"/>
      <c r="AH38" s="1322"/>
      <c r="AI38" s="1322"/>
      <c r="AJ38" s="1322"/>
      <c r="AK38" s="1323"/>
    </row>
    <row r="39" spans="1:37" ht="11.25" customHeight="1" x14ac:dyDescent="0.2">
      <c r="A39" s="344" t="str">
        <f>CONCATENATE($B$35,$C$3,$H$3)</f>
        <v>off12</v>
      </c>
      <c r="B39" s="66" t="s">
        <v>160</v>
      </c>
      <c r="C39" s="56">
        <f>IF($L$37=0,0,SUM(C42:H42))</f>
        <v>0</v>
      </c>
      <c r="D39" s="56">
        <f>$L$37+$I$14</f>
        <v>31.458079406624908</v>
      </c>
      <c r="E39" s="56"/>
      <c r="F39" s="56">
        <f>$J$14</f>
        <v>0</v>
      </c>
      <c r="G39" s="56">
        <f>$K$14</f>
        <v>3.0022522522522523</v>
      </c>
      <c r="H39" s="56">
        <f>$L$14</f>
        <v>2.7339881849062175</v>
      </c>
      <c r="I39" s="56"/>
      <c r="J39" s="56"/>
      <c r="K39" s="57"/>
      <c r="L39" s="383">
        <f>SUM(I14:L14)</f>
        <v>25.460331658877159</v>
      </c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1324" t="s">
        <v>291</v>
      </c>
      <c r="AH39" s="1325"/>
      <c r="AI39" s="1325"/>
      <c r="AJ39" s="1325"/>
      <c r="AK39" s="1326"/>
    </row>
    <row r="40" spans="1:37" ht="11.25" customHeight="1" x14ac:dyDescent="0.2">
      <c r="A40" s="344" t="str">
        <f>CONCATENATE($B$35,$H$3)</f>
        <v>off2</v>
      </c>
      <c r="B40" s="66" t="s">
        <v>27</v>
      </c>
      <c r="C40" s="56">
        <f>C38</f>
        <v>11.733988184906217</v>
      </c>
      <c r="D40" s="56"/>
      <c r="E40" s="56"/>
      <c r="F40" s="56"/>
      <c r="G40" s="56"/>
      <c r="H40" s="56"/>
      <c r="I40" s="56">
        <f>IF(J40=0,0,$AH$14)</f>
        <v>9.7263434739709425</v>
      </c>
      <c r="J40" s="56">
        <f>IF(GEOM!$AA$21="y",'+s4we'!$AI$14,0)</f>
        <v>9.9977477477477485</v>
      </c>
      <c r="K40" s="57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1324"/>
      <c r="AH40" s="1325"/>
      <c r="AI40" s="1325"/>
      <c r="AJ40" s="1325"/>
      <c r="AK40" s="1326"/>
    </row>
    <row r="41" spans="1:37" ht="11.25" customHeight="1" x14ac:dyDescent="0.2">
      <c r="A41" s="344" t="str">
        <f>CONCATENATE($B$35,$C$3,$H$3)</f>
        <v>off12</v>
      </c>
      <c r="B41" s="66" t="s">
        <v>28</v>
      </c>
      <c r="C41" s="56">
        <f>C39</f>
        <v>0</v>
      </c>
      <c r="D41" s="56"/>
      <c r="E41" s="56"/>
      <c r="F41" s="56"/>
      <c r="G41" s="56"/>
      <c r="H41" s="56"/>
      <c r="I41" s="56">
        <f>IF(J41=0,0,$AH$14+L37)</f>
        <v>21.460331658877159</v>
      </c>
      <c r="J41" s="56">
        <f>IF(GEOM!$I$26="y",'+s4we'!$AI$14,0)</f>
        <v>9.9977477477477485</v>
      </c>
      <c r="K41" s="57"/>
      <c r="L41" s="3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1324" t="s">
        <v>292</v>
      </c>
      <c r="AH41" s="1325"/>
      <c r="AI41" s="1325"/>
      <c r="AJ41" s="1325"/>
      <c r="AK41" s="1326"/>
    </row>
    <row r="42" spans="1:37" ht="11.25" customHeight="1" x14ac:dyDescent="0.2">
      <c r="A42" s="344"/>
      <c r="B42" s="66"/>
      <c r="C42" s="56"/>
      <c r="D42" s="56"/>
      <c r="E42" s="56"/>
      <c r="F42" s="56"/>
      <c r="G42" s="56"/>
      <c r="H42" s="56"/>
      <c r="I42" s="56"/>
      <c r="J42" s="56"/>
      <c r="K42" s="57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1324"/>
      <c r="AH42" s="1325"/>
      <c r="AI42" s="1325"/>
      <c r="AJ42" s="1325"/>
      <c r="AK42" s="1326"/>
    </row>
    <row r="43" spans="1:37" ht="11.25" customHeight="1" x14ac:dyDescent="0.2">
      <c r="A43" s="344"/>
      <c r="B43" s="66"/>
      <c r="C43" s="56"/>
      <c r="D43" s="56"/>
      <c r="E43" s="56"/>
      <c r="F43" s="56"/>
      <c r="G43" s="56"/>
      <c r="H43" s="56"/>
      <c r="I43" s="56"/>
      <c r="J43" s="56"/>
      <c r="K43" s="57"/>
      <c r="L43" s="3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K43" s="345"/>
    </row>
    <row r="44" spans="1:37" ht="11.25" customHeight="1" x14ac:dyDescent="0.2">
      <c r="A44" s="344" t="str">
        <f>CONCATENATE($B$35,$W$3)</f>
        <v>off3</v>
      </c>
      <c r="B44" s="66" t="s">
        <v>161</v>
      </c>
      <c r="C44" s="56">
        <f>IF($L$45=0,$L$37+$L$39+$L$41,SUM(C49:H49))</f>
        <v>37.194319843783376</v>
      </c>
      <c r="D44" s="56">
        <f>$L$45+$X$14</f>
        <v>28.280915319929342</v>
      </c>
      <c r="E44" s="56"/>
      <c r="F44" s="56">
        <f>$Y$14</f>
        <v>0</v>
      </c>
      <c r="G44" s="56">
        <f>$Z$14</f>
        <v>3</v>
      </c>
      <c r="H44" s="56">
        <f>$AA$14</f>
        <v>2</v>
      </c>
      <c r="I44" s="56"/>
      <c r="J44" s="56"/>
      <c r="K44" s="57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219" t="s">
        <v>289</v>
      </c>
      <c r="AH44" s="3"/>
      <c r="AI44" s="3"/>
      <c r="AJ44" s="3"/>
      <c r="AK44" s="231"/>
    </row>
    <row r="45" spans="1:37" ht="11.25" customHeight="1" x14ac:dyDescent="0.2">
      <c r="A45" s="344" t="str">
        <f>CONCATENATE($B$35,$W$3)</f>
        <v>off3</v>
      </c>
      <c r="B45" s="66" t="s">
        <v>162</v>
      </c>
      <c r="C45" s="56">
        <f>IF($L$45=0,$L$37+$L$39+$L$41,SUM(C48:H48))</f>
        <v>37.194319843783376</v>
      </c>
      <c r="D45" s="56">
        <f>$L$45+$X$14</f>
        <v>28.280915319929342</v>
      </c>
      <c r="E45" s="56"/>
      <c r="F45" s="56">
        <f>$Y$14</f>
        <v>0</v>
      </c>
      <c r="G45" s="56">
        <f>$Z$14</f>
        <v>3</v>
      </c>
      <c r="H45" s="56">
        <f>$AA$14</f>
        <v>2</v>
      </c>
      <c r="I45" s="56"/>
      <c r="J45" s="56"/>
      <c r="K45" s="57"/>
      <c r="L45" s="3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5"/>
      <c r="AH45" s="1"/>
      <c r="AI45" s="1"/>
      <c r="AJ45" s="1"/>
      <c r="AK45" s="228"/>
    </row>
    <row r="46" spans="1:37" ht="11.25" customHeight="1" x14ac:dyDescent="0.2">
      <c r="A46" s="344" t="str">
        <f>CONCATENATE($B$35,$W$3)</f>
        <v>off3</v>
      </c>
      <c r="B46" s="66" t="s">
        <v>29</v>
      </c>
      <c r="C46" s="56">
        <f>C44</f>
        <v>37.194319843783376</v>
      </c>
      <c r="D46" s="56"/>
      <c r="E46" s="56"/>
      <c r="F46" s="56"/>
      <c r="G46" s="56"/>
      <c r="H46" s="56"/>
      <c r="I46" s="56">
        <f>IF(J46=0,0,$AJ$14)</f>
        <v>21.658542947556967</v>
      </c>
      <c r="J46" s="56">
        <f>IF(GEOM!$P$14="y",$AK$14,0)</f>
        <v>6.6223723723723733</v>
      </c>
      <c r="K46" s="57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5"/>
      <c r="AH46" s="1"/>
      <c r="AI46" s="1"/>
      <c r="AJ46" s="1"/>
      <c r="AK46" s="228"/>
    </row>
    <row r="47" spans="1:37" ht="11.25" customHeight="1" x14ac:dyDescent="0.2">
      <c r="A47" s="344" t="str">
        <f>CONCATENATE($B$35,$W$3)</f>
        <v>off3</v>
      </c>
      <c r="B47" s="66" t="s">
        <v>30</v>
      </c>
      <c r="C47" s="56">
        <f>C45</f>
        <v>37.194319843783376</v>
      </c>
      <c r="D47" s="56"/>
      <c r="E47" s="56"/>
      <c r="F47" s="56"/>
      <c r="G47" s="56"/>
      <c r="H47" s="56"/>
      <c r="I47" s="56">
        <f>IF(J47=0,0,$AJ$14)</f>
        <v>21.658542947556967</v>
      </c>
      <c r="J47" s="56">
        <f>IF(GEOM!$U$32="y",$AK$14,0)</f>
        <v>6.6223723723723733</v>
      </c>
      <c r="K47" s="57"/>
      <c r="L47" s="383">
        <f>SUM(X14:AA14)</f>
        <v>33.280915319929342</v>
      </c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5"/>
      <c r="AH47" s="1"/>
      <c r="AI47" s="1"/>
      <c r="AJ47" s="1"/>
      <c r="AK47" s="228"/>
    </row>
    <row r="48" spans="1:37" ht="11.25" customHeight="1" x14ac:dyDescent="0.2">
      <c r="A48" s="344" t="str">
        <f>CONCATENATE($B$35,$AB$3)</f>
        <v>off4</v>
      </c>
      <c r="B48" s="66" t="s">
        <v>172</v>
      </c>
      <c r="C48" s="56">
        <f>$L$37+$L$39+$L$41+IF($L$45&gt;0,0,$L$47)</f>
        <v>70.475235163712711</v>
      </c>
      <c r="D48" s="56"/>
      <c r="E48" s="56">
        <f>$S$14+$AC$14</f>
        <v>4</v>
      </c>
      <c r="F48" s="56">
        <f>$AD$14</f>
        <v>0</v>
      </c>
      <c r="G48" s="56">
        <f>$U$14+$AE$14</f>
        <v>3.3776276276276271</v>
      </c>
      <c r="H48" s="56">
        <f>$V$14+$AF$14</f>
        <v>2.1471290728667785</v>
      </c>
      <c r="I48" s="56"/>
      <c r="J48" s="56"/>
      <c r="K48" s="57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58"/>
      <c r="AK48" s="345"/>
    </row>
    <row r="49" spans="1:37" ht="11.25" customHeight="1" x14ac:dyDescent="0.2">
      <c r="A49" s="344" t="str">
        <f>CONCATENATE($B$35,$AB$3)</f>
        <v>off4</v>
      </c>
      <c r="B49" s="66" t="s">
        <v>173</v>
      </c>
      <c r="C49" s="56">
        <f>$L$37+$L$39+$L$41+IF($L$45&gt;0,0,$L$47)</f>
        <v>70.475235163712711</v>
      </c>
      <c r="D49" s="56"/>
      <c r="E49" s="56">
        <f>$S$14+$AC$14</f>
        <v>4</v>
      </c>
      <c r="F49" s="56">
        <f>$AD$14</f>
        <v>0</v>
      </c>
      <c r="G49" s="56">
        <f>$U$14+$AE$14</f>
        <v>3.3776276276276271</v>
      </c>
      <c r="H49" s="56">
        <f>$V$14+$AF$14</f>
        <v>2.1471290728667785</v>
      </c>
      <c r="I49" s="56"/>
      <c r="J49" s="56"/>
      <c r="K49" s="57"/>
      <c r="L49" s="383">
        <f>SUM(AC14:AF14)</f>
        <v>9.5247567004944056</v>
      </c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58"/>
      <c r="AI49" s="354" t="s">
        <v>334</v>
      </c>
      <c r="AK49" s="345"/>
    </row>
    <row r="50" spans="1:37" ht="11.25" customHeight="1" x14ac:dyDescent="0.2">
      <c r="A50" s="344" t="str">
        <f>CONCATENATE($B$35,$AB$3)</f>
        <v>off4</v>
      </c>
      <c r="B50" s="66" t="s">
        <v>168</v>
      </c>
      <c r="C50" s="56">
        <f>C49</f>
        <v>70.475235163712711</v>
      </c>
      <c r="D50" s="56"/>
      <c r="E50" s="56">
        <f>IF(GEOM!$X$13=0,0,E49)</f>
        <v>0</v>
      </c>
      <c r="F50" s="56">
        <f>IF(GEOM!$X$13=0,0,F49)</f>
        <v>0</v>
      </c>
      <c r="G50" s="56">
        <f>IF(GEOM!$X$13=0,0,G49)</f>
        <v>0</v>
      </c>
      <c r="H50" s="56">
        <f>IF(GEOM!$X$13=0,0,H49)</f>
        <v>0</v>
      </c>
      <c r="I50" s="56"/>
      <c r="J50" s="56"/>
      <c r="K50" s="57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58"/>
      <c r="AK50" s="345"/>
    </row>
    <row r="51" spans="1:37" ht="11.25" customHeight="1" x14ac:dyDescent="0.2">
      <c r="A51" s="344" t="str">
        <f>CONCATENATE($B$35,$AB$3)</f>
        <v>off4</v>
      </c>
      <c r="B51" s="66" t="s">
        <v>169</v>
      </c>
      <c r="C51" s="56">
        <f>C48</f>
        <v>70.475235163712711</v>
      </c>
      <c r="D51" s="56"/>
      <c r="E51" s="56">
        <f>IF(GEOM!$L$33=0,0,E48)</f>
        <v>0</v>
      </c>
      <c r="F51" s="56">
        <f>IF(GEOM!$L$33=0,0,F48)</f>
        <v>0</v>
      </c>
      <c r="G51" s="56">
        <f>IF(GEOM!$L$33=0,0,G48)</f>
        <v>0</v>
      </c>
      <c r="H51" s="56">
        <f>IF(GEOM!$L$33=0,0,H48)</f>
        <v>0</v>
      </c>
      <c r="I51" s="56"/>
      <c r="J51" s="56"/>
      <c r="K51" s="57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58"/>
      <c r="AK51" s="345"/>
    </row>
    <row r="52" spans="1:37" ht="11.25" customHeight="1" x14ac:dyDescent="0.2">
      <c r="A52" s="347" t="str">
        <f>SET!B31</f>
        <v>PM</v>
      </c>
      <c r="B52" s="389" t="str">
        <f>SET!C31</f>
        <v>PM</v>
      </c>
      <c r="C52" s="390" t="str">
        <f>SET!D31</f>
        <v>15:30 to 18:30 weekdays</v>
      </c>
      <c r="D52" s="380"/>
      <c r="E52" s="381"/>
      <c r="F52" s="381"/>
      <c r="G52" s="381"/>
      <c r="H52" s="381"/>
      <c r="I52" s="381"/>
      <c r="J52" s="381"/>
      <c r="K52" s="382">
        <f>K35</f>
        <v>89.999990013917298</v>
      </c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58"/>
      <c r="AK52" s="345"/>
    </row>
    <row r="53" spans="1:37" ht="11.25" customHeight="1" x14ac:dyDescent="0.2">
      <c r="A53" s="344" t="str">
        <f>CONCATENATE($B$52,$C$3)</f>
        <v>PM1</v>
      </c>
      <c r="B53" s="66" t="s">
        <v>171</v>
      </c>
      <c r="C53" s="56">
        <f>C54</f>
        <v>0</v>
      </c>
      <c r="D53" s="56"/>
      <c r="E53" s="56">
        <f>IF(GEOM!$AB$29&gt;0,E54,0)</f>
        <v>0</v>
      </c>
      <c r="F53" s="56">
        <f>IF(GEOM!$AB$29&gt;0,F54,0)</f>
        <v>0</v>
      </c>
      <c r="G53" s="56">
        <f>IF(GEOM!$AB$29&gt;0,G54,0)</f>
        <v>0</v>
      </c>
      <c r="H53" s="56">
        <f>IF(GEOM!$AB$29&gt;0,H54,0)</f>
        <v>0</v>
      </c>
      <c r="I53" s="56"/>
      <c r="J53" s="56"/>
      <c r="K53" s="57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58"/>
      <c r="AK53" s="345"/>
    </row>
    <row r="54" spans="1:37" ht="11.25" customHeight="1" x14ac:dyDescent="0.2">
      <c r="A54" s="344" t="str">
        <f>CONCATENATE($B$52,$C$3)</f>
        <v>PM1</v>
      </c>
      <c r="B54" s="66" t="s">
        <v>170</v>
      </c>
      <c r="C54" s="56">
        <f>IF($L$54&gt;0,0,$L$56)</f>
        <v>0</v>
      </c>
      <c r="D54" s="56"/>
      <c r="E54" s="56">
        <f>$D$15+$N$15</f>
        <v>9.9078263065441998</v>
      </c>
      <c r="F54" s="56">
        <f>$E$15</f>
        <v>0</v>
      </c>
      <c r="G54" s="56">
        <f>$F$15+$P$15</f>
        <v>3</v>
      </c>
      <c r="H54" s="56">
        <f>$G$15+$Q$15</f>
        <v>1.7339881849062175</v>
      </c>
      <c r="I54" s="56"/>
      <c r="J54" s="56"/>
      <c r="K54" s="57"/>
      <c r="L54" s="383">
        <f>SUM(D15:G15)</f>
        <v>14.641814491450418</v>
      </c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58"/>
      <c r="AK54" s="345"/>
    </row>
    <row r="55" spans="1:37" ht="11.25" customHeight="1" x14ac:dyDescent="0.2">
      <c r="A55" s="344" t="str">
        <f>CONCATENATE($B$52,$H$3)</f>
        <v>PM2</v>
      </c>
      <c r="B55" s="66" t="s">
        <v>159</v>
      </c>
      <c r="C55" s="56">
        <f>IF($L$54=0,0,SUM(C54:H54))</f>
        <v>14.641814491450418</v>
      </c>
      <c r="D55" s="56">
        <f>$I$15</f>
        <v>17.786353427237934</v>
      </c>
      <c r="E55" s="56"/>
      <c r="F55" s="56">
        <f>$J$15</f>
        <v>0</v>
      </c>
      <c r="G55" s="56">
        <f>$K$15</f>
        <v>3.0022522522522523</v>
      </c>
      <c r="H55" s="56">
        <f>$L$15</f>
        <v>2.7339881849062175</v>
      </c>
      <c r="I55" s="56"/>
      <c r="J55" s="56"/>
      <c r="K55" s="57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58"/>
      <c r="AK55" s="345"/>
    </row>
    <row r="56" spans="1:37" ht="11.25" customHeight="1" x14ac:dyDescent="0.2">
      <c r="A56" s="344" t="str">
        <f>CONCATENATE($B$52,$C$3,$H$3)</f>
        <v>PM12</v>
      </c>
      <c r="B56" s="66" t="s">
        <v>160</v>
      </c>
      <c r="C56" s="56">
        <f>IF($L$54=0,0,SUM(C59:H59))</f>
        <v>0</v>
      </c>
      <c r="D56" s="56">
        <f>$L$54+$I$15</f>
        <v>32.428167918688352</v>
      </c>
      <c r="E56" s="56"/>
      <c r="F56" s="56">
        <f>$J$15</f>
        <v>0</v>
      </c>
      <c r="G56" s="56">
        <f>$K$15</f>
        <v>3.0022522522522523</v>
      </c>
      <c r="H56" s="56">
        <f>$L$15</f>
        <v>2.7339881849062175</v>
      </c>
      <c r="I56" s="56"/>
      <c r="J56" s="56"/>
      <c r="K56" s="57"/>
      <c r="L56" s="383">
        <f>SUM(I15:L15)</f>
        <v>23.522593864396402</v>
      </c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7"/>
      <c r="AH56" s="8"/>
      <c r="AI56" s="8"/>
      <c r="AJ56" s="8"/>
      <c r="AK56" s="233"/>
    </row>
    <row r="57" spans="1:37" ht="11.25" customHeight="1" x14ac:dyDescent="0.2">
      <c r="A57" s="344" t="str">
        <f>CONCATENATE($B$52,$H$3)</f>
        <v>PM2</v>
      </c>
      <c r="B57" s="66" t="s">
        <v>27</v>
      </c>
      <c r="C57" s="56">
        <f>C55</f>
        <v>14.641814491450418</v>
      </c>
      <c r="D57" s="56"/>
      <c r="E57" s="56"/>
      <c r="F57" s="56"/>
      <c r="G57" s="56"/>
      <c r="H57" s="56"/>
      <c r="I57" s="56">
        <f>IF(J57=0,0,$AH$15)</f>
        <v>7.7886056794901855</v>
      </c>
      <c r="J57" s="56">
        <f>IF(GEOM!$AA$21="y",'+s4we'!$AI$15,0)</f>
        <v>9.9977477477477485</v>
      </c>
      <c r="K57" s="57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1330" t="str">
        <f>EX!I58</f>
        <v xml:space="preserve">TS0862 </v>
      </c>
      <c r="AH57" s="1331"/>
      <c r="AI57" s="1331"/>
      <c r="AJ57" s="1331"/>
      <c r="AK57" s="1332"/>
    </row>
    <row r="58" spans="1:37" ht="11.25" customHeight="1" x14ac:dyDescent="0.2">
      <c r="A58" s="344" t="str">
        <f>CONCATENATE($B$52,$C$3,$H$3)</f>
        <v>PM12</v>
      </c>
      <c r="B58" s="66" t="s">
        <v>28</v>
      </c>
      <c r="C58" s="56">
        <f>C56</f>
        <v>0</v>
      </c>
      <c r="D58" s="56"/>
      <c r="E58" s="56"/>
      <c r="F58" s="56"/>
      <c r="G58" s="56"/>
      <c r="H58" s="56"/>
      <c r="I58" s="56">
        <f>IF(J58=0,0,$AH$15+L54)</f>
        <v>22.430420170940604</v>
      </c>
      <c r="J58" s="56">
        <f>IF(GEOM!$I$26="y",'+s4we'!$AI$15,0)</f>
        <v>9.9977477477477485</v>
      </c>
      <c r="K58" s="57"/>
      <c r="L58" s="3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1333"/>
      <c r="AH58" s="1334"/>
      <c r="AI58" s="1334"/>
      <c r="AJ58" s="1334"/>
      <c r="AK58" s="1335"/>
    </row>
    <row r="59" spans="1:37" ht="11.25" customHeight="1" x14ac:dyDescent="0.2">
      <c r="A59" s="344"/>
      <c r="B59" s="66"/>
      <c r="C59" s="56"/>
      <c r="D59" s="56"/>
      <c r="E59" s="56"/>
      <c r="F59" s="56"/>
      <c r="G59" s="56"/>
      <c r="H59" s="56"/>
      <c r="I59" s="56"/>
      <c r="J59" s="56"/>
      <c r="K59" s="57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1336" t="str">
        <f>EX!I59</f>
        <v>name</v>
      </c>
      <c r="AH59" s="1337"/>
      <c r="AI59" s="1337"/>
      <c r="AJ59" s="1337"/>
      <c r="AK59" s="1338"/>
    </row>
    <row r="60" spans="1:37" ht="11.25" customHeight="1" x14ac:dyDescent="0.2">
      <c r="A60" s="344"/>
      <c r="B60" s="66"/>
      <c r="C60" s="56"/>
      <c r="D60" s="56"/>
      <c r="E60" s="56"/>
      <c r="F60" s="56"/>
      <c r="G60" s="56"/>
      <c r="H60" s="56"/>
      <c r="I60" s="56"/>
      <c r="J60" s="56"/>
      <c r="K60" s="57"/>
      <c r="L60" s="3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1333"/>
      <c r="AH60" s="1334"/>
      <c r="AI60" s="1334"/>
      <c r="AJ60" s="1334"/>
      <c r="AK60" s="1335"/>
    </row>
    <row r="61" spans="1:37" ht="11.25" customHeight="1" x14ac:dyDescent="0.2">
      <c r="A61" s="344" t="str">
        <f>CONCATENATE($B$52,$W$3)</f>
        <v>PM3</v>
      </c>
      <c r="B61" s="66" t="s">
        <v>161</v>
      </c>
      <c r="C61" s="56">
        <f>IF($L$62=0,$L$54+$L$56+$L$58,SUM(C66:H66))</f>
        <v>38.164408355846817</v>
      </c>
      <c r="D61" s="56">
        <f>$L$62+$X$15</f>
        <v>32.435015605484352</v>
      </c>
      <c r="E61" s="56"/>
      <c r="F61" s="56">
        <f>$Y$15</f>
        <v>0</v>
      </c>
      <c r="G61" s="56">
        <f>$Z$15</f>
        <v>3</v>
      </c>
      <c r="H61" s="56">
        <f>$AA$15</f>
        <v>2</v>
      </c>
      <c r="I61" s="56"/>
      <c r="J61" s="56"/>
      <c r="K61" s="57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1336" t="str">
        <f>EX!I60</f>
        <v>position</v>
      </c>
      <c r="AH61" s="1337"/>
      <c r="AI61" s="1337"/>
      <c r="AJ61" s="1337"/>
      <c r="AK61" s="1338"/>
    </row>
    <row r="62" spans="1:37" ht="11.25" customHeight="1" x14ac:dyDescent="0.2">
      <c r="A62" s="344" t="str">
        <f>CONCATENATE($B$52,$W$3)</f>
        <v>PM3</v>
      </c>
      <c r="B62" s="66" t="s">
        <v>162</v>
      </c>
      <c r="C62" s="56">
        <f>IF($L$62=0,$L$54+$L$56+$L$58,SUM(C65:H65))</f>
        <v>38.164408355846817</v>
      </c>
      <c r="D62" s="56">
        <f>$L$62+$X$15</f>
        <v>32.435015605484352</v>
      </c>
      <c r="E62" s="56"/>
      <c r="F62" s="56">
        <f>$Y$15</f>
        <v>0</v>
      </c>
      <c r="G62" s="56">
        <f>$Z$15</f>
        <v>3</v>
      </c>
      <c r="H62" s="56">
        <f>$AA$15</f>
        <v>2</v>
      </c>
      <c r="I62" s="56"/>
      <c r="J62" s="56"/>
      <c r="K62" s="57"/>
      <c r="L62" s="3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1333"/>
      <c r="AH62" s="1334"/>
      <c r="AI62" s="1334"/>
      <c r="AJ62" s="1334"/>
      <c r="AK62" s="1335"/>
    </row>
    <row r="63" spans="1:37" ht="11.25" customHeight="1" x14ac:dyDescent="0.2">
      <c r="A63" s="344" t="str">
        <f>CONCATENATE($B$52,$W$3)</f>
        <v>PM3</v>
      </c>
      <c r="B63" s="66" t="s">
        <v>29</v>
      </c>
      <c r="C63" s="56">
        <f>C61</f>
        <v>38.164408355846817</v>
      </c>
      <c r="D63" s="56"/>
      <c r="E63" s="56"/>
      <c r="F63" s="56"/>
      <c r="G63" s="56"/>
      <c r="H63" s="56"/>
      <c r="I63" s="56">
        <f>IF(J63=0,0,$AJ$15)</f>
        <v>25.812643233111977</v>
      </c>
      <c r="J63" s="56">
        <f>IF(GEOM!$P$14="y",$AK$15,0)</f>
        <v>6.6223723723723733</v>
      </c>
      <c r="K63" s="57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1336" t="str">
        <f>EX!I61</f>
        <v>registration</v>
      </c>
      <c r="AH63" s="1337"/>
      <c r="AI63" s="1337"/>
      <c r="AJ63" s="1337"/>
      <c r="AK63" s="1338"/>
    </row>
    <row r="64" spans="1:37" ht="11.25" customHeight="1" x14ac:dyDescent="0.2">
      <c r="A64" s="344" t="str">
        <f>CONCATENATE($B$52,$W$3)</f>
        <v>PM3</v>
      </c>
      <c r="B64" s="66" t="s">
        <v>30</v>
      </c>
      <c r="C64" s="56">
        <f>C62</f>
        <v>38.164408355846817</v>
      </c>
      <c r="D64" s="56"/>
      <c r="E64" s="56"/>
      <c r="F64" s="56"/>
      <c r="G64" s="56"/>
      <c r="H64" s="56"/>
      <c r="I64" s="56">
        <f>IF(J64=0,0,$AJ$15)</f>
        <v>25.812643233111977</v>
      </c>
      <c r="J64" s="56">
        <f>IF(GEOM!$U$32="y",$AK$15,0)</f>
        <v>6.6223723723723733</v>
      </c>
      <c r="K64" s="57"/>
      <c r="L64" s="383">
        <f>SUM(X15:AA15)</f>
        <v>37.435015605484352</v>
      </c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1333"/>
      <c r="AH64" s="1334"/>
      <c r="AI64" s="1334"/>
      <c r="AJ64" s="1334"/>
      <c r="AK64" s="1335"/>
    </row>
    <row r="65" spans="1:37" ht="11.25" customHeight="1" x14ac:dyDescent="0.2">
      <c r="A65" s="344" t="str">
        <f>CONCATENATE($B$52,$AB$3)</f>
        <v>PM4</v>
      </c>
      <c r="B65" s="66" t="s">
        <v>172</v>
      </c>
      <c r="C65" s="56">
        <f>$L$54+$L$56+$L$58+IF($L$62&gt;0,0,$L$64)</f>
        <v>75.599423961331169</v>
      </c>
      <c r="D65" s="56"/>
      <c r="E65" s="56">
        <f>$S$15+$AC$15</f>
        <v>8.8758093381608081</v>
      </c>
      <c r="F65" s="56">
        <f>$AD$15</f>
        <v>0</v>
      </c>
      <c r="G65" s="56">
        <f>$U$15+$AE$15</f>
        <v>3.3776276276276271</v>
      </c>
      <c r="H65" s="56">
        <f>$V$15+$AF$15</f>
        <v>2.1471290728667785</v>
      </c>
      <c r="I65" s="56"/>
      <c r="J65" s="56"/>
      <c r="K65" s="57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1327" t="s">
        <v>291</v>
      </c>
      <c r="AH65" s="1328"/>
      <c r="AI65" s="1328"/>
      <c r="AJ65" s="1328"/>
      <c r="AK65" s="1329"/>
    </row>
    <row r="66" spans="1:37" ht="11.25" customHeight="1" x14ac:dyDescent="0.2">
      <c r="A66" s="344" t="str">
        <f>CONCATENATE($B$52,$AB$3)</f>
        <v>PM4</v>
      </c>
      <c r="B66" s="66" t="s">
        <v>173</v>
      </c>
      <c r="C66" s="56">
        <f>$L$54+$L$56+$L$58+IF($L$62&gt;0,0,$L$64)</f>
        <v>75.599423961331169</v>
      </c>
      <c r="D66" s="56"/>
      <c r="E66" s="56">
        <f>$S$15+$AC$15</f>
        <v>8.8758093381608081</v>
      </c>
      <c r="F66" s="56">
        <f>$AD$15</f>
        <v>0</v>
      </c>
      <c r="G66" s="56">
        <f>$U$15+$AE$15</f>
        <v>3.3776276276276271</v>
      </c>
      <c r="H66" s="56">
        <f>$V$15+$AF$15</f>
        <v>2.1471290728667785</v>
      </c>
      <c r="I66" s="56"/>
      <c r="J66" s="56"/>
      <c r="K66" s="57"/>
      <c r="L66" s="383">
        <f>SUM(AC15:AF15)</f>
        <v>14.400566038655214</v>
      </c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1324"/>
      <c r="AH66" s="1325"/>
      <c r="AI66" s="1325"/>
      <c r="AJ66" s="1325"/>
      <c r="AK66" s="1326"/>
    </row>
    <row r="67" spans="1:37" ht="11.25" customHeight="1" x14ac:dyDescent="0.2">
      <c r="A67" s="344" t="str">
        <f>CONCATENATE($B$52,$AB$3)</f>
        <v>PM4</v>
      </c>
      <c r="B67" s="66" t="s">
        <v>168</v>
      </c>
      <c r="C67" s="56">
        <f>C66</f>
        <v>75.599423961331169</v>
      </c>
      <c r="D67" s="56"/>
      <c r="E67" s="56">
        <f>IF(GEOM!$X$13=0,0,E66)</f>
        <v>0</v>
      </c>
      <c r="F67" s="56">
        <f>IF(GEOM!$X$13=0,0,F66)</f>
        <v>0</v>
      </c>
      <c r="G67" s="56">
        <f>IF(GEOM!$X$13=0,0,G66)</f>
        <v>0</v>
      </c>
      <c r="H67" s="56">
        <f>IF(GEOM!$X$13=0,0,H66)</f>
        <v>0</v>
      </c>
      <c r="I67" s="56"/>
      <c r="J67" s="56"/>
      <c r="K67" s="57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1327" t="s">
        <v>292</v>
      </c>
      <c r="AH67" s="1328"/>
      <c r="AI67" s="1328"/>
      <c r="AJ67" s="1328"/>
      <c r="AK67" s="1329"/>
    </row>
    <row r="68" spans="1:37" ht="11.25" customHeight="1" x14ac:dyDescent="0.2">
      <c r="A68" s="346" t="str">
        <f>CONCATENATE($B$52,$AB$3)</f>
        <v>PM4</v>
      </c>
      <c r="B68" s="67" t="s">
        <v>169</v>
      </c>
      <c r="C68" s="60">
        <f>C65</f>
        <v>75.599423961331169</v>
      </c>
      <c r="D68" s="60"/>
      <c r="E68" s="60">
        <f>IF(GEOM!$L$33=0,0,E65)</f>
        <v>0</v>
      </c>
      <c r="F68" s="60">
        <f>IF(GEOM!$L$33=0,0,F65)</f>
        <v>0</v>
      </c>
      <c r="G68" s="60">
        <f>IF(GEOM!$L$33=0,0,G65)</f>
        <v>0</v>
      </c>
      <c r="H68" s="60">
        <f>IF(GEOM!$L$33=0,0,H65)</f>
        <v>0</v>
      </c>
      <c r="I68" s="60"/>
      <c r="J68" s="60"/>
      <c r="K68" s="61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1324"/>
      <c r="AH68" s="1325"/>
      <c r="AI68" s="1325"/>
      <c r="AJ68" s="1325"/>
      <c r="AK68" s="1326"/>
    </row>
    <row r="69" spans="1:37" ht="13.5" thickBot="1" x14ac:dyDescent="0.25">
      <c r="A69" s="348"/>
      <c r="B69" s="349"/>
      <c r="C69" s="349"/>
      <c r="D69" s="349"/>
      <c r="E69" s="349"/>
      <c r="F69" s="349"/>
      <c r="G69" s="349"/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49"/>
      <c r="AI69" s="349"/>
      <c r="AJ69" s="349"/>
      <c r="AK69" s="350"/>
    </row>
    <row r="70" spans="1:37" ht="13.5" thickTop="1" x14ac:dyDescent="0.2"/>
  </sheetData>
  <mergeCells count="18">
    <mergeCell ref="AJ11:AK11"/>
    <mergeCell ref="AF1:AG1"/>
    <mergeCell ref="AJ2:AK2"/>
    <mergeCell ref="AG31:AK32"/>
    <mergeCell ref="V1:AE1"/>
    <mergeCell ref="AH1:AK1"/>
    <mergeCell ref="AH11:AI11"/>
    <mergeCell ref="AG67:AK68"/>
    <mergeCell ref="AG57:AK58"/>
    <mergeCell ref="AG59:AK60"/>
    <mergeCell ref="AG61:AK62"/>
    <mergeCell ref="AG63:AK64"/>
    <mergeCell ref="AG65:AK66"/>
    <mergeCell ref="AG33:AK34"/>
    <mergeCell ref="AG35:AK36"/>
    <mergeCell ref="AG37:AK38"/>
    <mergeCell ref="AG39:AK40"/>
    <mergeCell ref="AG41:AK42"/>
  </mergeCells>
  <printOptions horizontalCentered="1" verticalCentered="1"/>
  <pageMargins left="0.43307086614173229" right="0.43307086614173229" top="0.55118110236220474" bottom="0.35433070866141736" header="0.11811023622047245" footer="0.19685039370078741"/>
  <pageSetup paperSize="9" scale="64" orientation="landscape" r:id="rId1"/>
  <headerFooter>
    <oddFooter>&amp;L&amp;8copyright:
Dr John Sampson&amp;C&amp;9&amp;F
&amp;A&amp;R&amp;9print:
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D3FCA-5B18-47DE-98FD-24C81643C7BB}">
  <sheetPr>
    <tabColor theme="8" tint="0.39997558519241921"/>
  </sheetPr>
  <dimension ref="A1:B19"/>
  <sheetViews>
    <sheetView workbookViewId="0">
      <selection activeCell="A19" sqref="A19"/>
    </sheetView>
  </sheetViews>
  <sheetFormatPr defaultRowHeight="15" x14ac:dyDescent="0.25"/>
  <cols>
    <col min="1" max="1" width="6" customWidth="1"/>
  </cols>
  <sheetData>
    <row r="1" spans="1:2" x14ac:dyDescent="0.25">
      <c r="A1" t="s">
        <v>587</v>
      </c>
    </row>
    <row r="2" spans="1:2" x14ac:dyDescent="0.25">
      <c r="A2" t="s">
        <v>594</v>
      </c>
    </row>
    <row r="3" spans="1:2" x14ac:dyDescent="0.25">
      <c r="A3" t="s">
        <v>601</v>
      </c>
    </row>
    <row r="5" spans="1:2" x14ac:dyDescent="0.25">
      <c r="A5" t="s">
        <v>602</v>
      </c>
    </row>
    <row r="7" spans="1:2" x14ac:dyDescent="0.25">
      <c r="A7" s="1107">
        <v>1</v>
      </c>
      <c r="B7" t="s">
        <v>598</v>
      </c>
    </row>
    <row r="8" spans="1:2" x14ac:dyDescent="0.25">
      <c r="A8" s="1107">
        <v>2</v>
      </c>
      <c r="B8" t="s">
        <v>603</v>
      </c>
    </row>
    <row r="9" spans="1:2" x14ac:dyDescent="0.25">
      <c r="A9" s="1107">
        <v>3</v>
      </c>
      <c r="B9" t="s">
        <v>595</v>
      </c>
    </row>
    <row r="10" spans="1:2" x14ac:dyDescent="0.25">
      <c r="A10" s="1107">
        <v>4</v>
      </c>
      <c r="B10" t="s">
        <v>596</v>
      </c>
    </row>
    <row r="11" spans="1:2" x14ac:dyDescent="0.25">
      <c r="A11" s="1107">
        <v>5</v>
      </c>
      <c r="B11" t="s">
        <v>597</v>
      </c>
    </row>
    <row r="12" spans="1:2" x14ac:dyDescent="0.25">
      <c r="A12" s="1107">
        <v>6</v>
      </c>
      <c r="B12" t="s">
        <v>588</v>
      </c>
    </row>
    <row r="13" spans="1:2" x14ac:dyDescent="0.25">
      <c r="A13" s="1107">
        <v>7</v>
      </c>
      <c r="B13" t="s">
        <v>589</v>
      </c>
    </row>
    <row r="14" spans="1:2" x14ac:dyDescent="0.25">
      <c r="A14" s="1107">
        <v>8</v>
      </c>
      <c r="B14" t="s">
        <v>590</v>
      </c>
    </row>
    <row r="15" spans="1:2" x14ac:dyDescent="0.25">
      <c r="A15" s="1107">
        <v>9</v>
      </c>
      <c r="B15" t="s">
        <v>604</v>
      </c>
    </row>
    <row r="16" spans="1:2" x14ac:dyDescent="0.25">
      <c r="A16" s="1107">
        <v>10</v>
      </c>
      <c r="B16" s="1129" t="s">
        <v>591</v>
      </c>
    </row>
    <row r="17" spans="1:2" x14ac:dyDescent="0.25">
      <c r="A17" s="1107">
        <v>11</v>
      </c>
      <c r="B17" s="1129" t="s">
        <v>592</v>
      </c>
    </row>
    <row r="19" spans="1:2" x14ac:dyDescent="0.25">
      <c r="A19" t="s">
        <v>593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39997558519241921"/>
    <pageSetUpPr fitToPage="1"/>
  </sheetPr>
  <dimension ref="A1:O63"/>
  <sheetViews>
    <sheetView showGridLines="0" showZeros="0" zoomScale="110" zoomScaleNormal="110" workbookViewId="0"/>
  </sheetViews>
  <sheetFormatPr defaultColWidth="9.140625" defaultRowHeight="12.75" x14ac:dyDescent="0.2"/>
  <cols>
    <col min="1" max="1" width="2" style="1" customWidth="1"/>
    <col min="2" max="14" width="7" style="1" customWidth="1"/>
    <col min="15" max="15" width="2" style="1" customWidth="1"/>
    <col min="16" max="16384" width="9.140625" style="1"/>
  </cols>
  <sheetData>
    <row r="1" spans="1:15" ht="19.5" customHeight="1" thickTop="1" x14ac:dyDescent="0.3">
      <c r="A1" s="223"/>
      <c r="B1" s="224"/>
      <c r="C1" s="224"/>
      <c r="D1" s="224"/>
      <c r="E1" s="224"/>
      <c r="F1" s="224"/>
      <c r="G1" s="433" t="str">
        <f>CVR!E7</f>
        <v>Queen Street</v>
      </c>
      <c r="H1" s="283" t="s">
        <v>298</v>
      </c>
      <c r="I1" s="434" t="str">
        <f>CVR!E9</f>
        <v>Albertina Sisulu Road</v>
      </c>
      <c r="J1" s="224"/>
      <c r="K1" s="224"/>
      <c r="L1" s="224"/>
      <c r="M1" s="224"/>
      <c r="N1" s="224"/>
      <c r="O1" s="613"/>
    </row>
    <row r="2" spans="1:15" ht="15" customHeight="1" x14ac:dyDescent="0.2">
      <c r="A2" s="226"/>
      <c r="E2" s="10"/>
      <c r="H2" s="26" t="str">
        <f>CVR!E11</f>
        <v>example</v>
      </c>
      <c r="O2" s="228"/>
    </row>
    <row r="3" spans="1:15" ht="15" customHeight="1" x14ac:dyDescent="0.25">
      <c r="A3" s="226"/>
      <c r="C3" s="281"/>
      <c r="D3" s="281"/>
      <c r="E3" s="10"/>
      <c r="F3" s="285"/>
      <c r="G3" s="290"/>
      <c r="H3" s="286" t="s">
        <v>308</v>
      </c>
      <c r="I3" s="290"/>
      <c r="J3" s="287"/>
      <c r="O3" s="228"/>
    </row>
    <row r="4" spans="1:15" ht="12.75" customHeight="1" x14ac:dyDescent="0.25">
      <c r="A4" s="226"/>
      <c r="C4" s="281"/>
      <c r="D4" s="281"/>
      <c r="E4" s="10"/>
      <c r="H4" s="46" t="s">
        <v>384</v>
      </c>
      <c r="O4" s="228"/>
    </row>
    <row r="5" spans="1:15" ht="12.75" customHeight="1" x14ac:dyDescent="0.25">
      <c r="A5" s="614" t="str">
        <f>cap!$A$1</f>
        <v>&amp;AutoJ 2408</v>
      </c>
      <c r="B5" s="10"/>
      <c r="C5" s="281"/>
      <c r="D5" s="281"/>
      <c r="H5" s="46"/>
      <c r="O5" s="233"/>
    </row>
    <row r="6" spans="1:15" ht="10.5" customHeight="1" x14ac:dyDescent="0.2">
      <c r="A6" s="1032"/>
      <c r="B6" s="1162" t="str">
        <f>CVR!$E$7</f>
        <v>Queen Street</v>
      </c>
      <c r="C6" s="1162"/>
      <c r="D6" s="1162"/>
      <c r="E6" s="1162"/>
      <c r="F6" s="1162"/>
      <c r="G6" s="1162"/>
      <c r="H6" s="1162"/>
      <c r="I6" s="1162"/>
      <c r="J6" s="1162"/>
      <c r="K6" s="1162"/>
      <c r="L6" s="1162"/>
      <c r="M6" s="1162"/>
      <c r="N6" s="1162"/>
      <c r="O6" s="1031"/>
    </row>
    <row r="7" spans="1:15" ht="15" customHeight="1" x14ac:dyDescent="0.2">
      <c r="A7" s="1175" t="str">
        <f>CVR!$E$9</f>
        <v>Albertina Sisulu Road</v>
      </c>
      <c r="B7" s="19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1163" t="str">
        <f>CVR!$E$9</f>
        <v>Albertina Sisulu Road</v>
      </c>
    </row>
    <row r="8" spans="1:15" x14ac:dyDescent="0.2">
      <c r="A8" s="1175"/>
      <c r="B8" s="5"/>
      <c r="O8" s="1163"/>
    </row>
    <row r="9" spans="1:15" x14ac:dyDescent="0.2">
      <c r="A9" s="1175"/>
      <c r="B9" s="5"/>
      <c r="O9" s="1163"/>
    </row>
    <row r="10" spans="1:15" x14ac:dyDescent="0.2">
      <c r="A10" s="1175"/>
      <c r="B10" s="5"/>
      <c r="O10" s="1163"/>
    </row>
    <row r="11" spans="1:15" x14ac:dyDescent="0.2">
      <c r="A11" s="1175"/>
      <c r="B11" s="5"/>
      <c r="O11" s="1163"/>
    </row>
    <row r="12" spans="1:15" x14ac:dyDescent="0.2">
      <c r="A12" s="1175"/>
      <c r="B12" s="5"/>
      <c r="O12" s="1163"/>
    </row>
    <row r="13" spans="1:15" x14ac:dyDescent="0.2">
      <c r="A13" s="1175"/>
      <c r="B13" s="5"/>
      <c r="O13" s="1163"/>
    </row>
    <row r="14" spans="1:15" x14ac:dyDescent="0.2">
      <c r="A14" s="1175"/>
      <c r="B14" s="5"/>
      <c r="O14" s="1163"/>
    </row>
    <row r="15" spans="1:15" x14ac:dyDescent="0.2">
      <c r="A15" s="1175"/>
      <c r="B15" s="5"/>
      <c r="O15" s="1163"/>
    </row>
    <row r="16" spans="1:15" x14ac:dyDescent="0.2">
      <c r="A16" s="1175"/>
      <c r="B16" s="5"/>
      <c r="O16" s="1163"/>
    </row>
    <row r="17" spans="1:15" x14ac:dyDescent="0.2">
      <c r="A17" s="1175"/>
      <c r="B17" s="5"/>
      <c r="O17" s="1163"/>
    </row>
    <row r="18" spans="1:15" x14ac:dyDescent="0.2">
      <c r="A18" s="1175"/>
      <c r="B18" s="5"/>
      <c r="O18" s="1163"/>
    </row>
    <row r="19" spans="1:15" x14ac:dyDescent="0.2">
      <c r="A19" s="1175"/>
      <c r="B19" s="5"/>
      <c r="O19" s="1163"/>
    </row>
    <row r="20" spans="1:15" x14ac:dyDescent="0.2">
      <c r="A20" s="1175"/>
      <c r="B20" s="5"/>
      <c r="O20" s="1163"/>
    </row>
    <row r="21" spans="1:15" x14ac:dyDescent="0.2">
      <c r="A21" s="1175"/>
      <c r="B21" s="5"/>
      <c r="H21" s="11" t="s">
        <v>176</v>
      </c>
      <c r="O21" s="1163"/>
    </row>
    <row r="22" spans="1:15" x14ac:dyDescent="0.2">
      <c r="A22" s="1175"/>
      <c r="B22" s="5"/>
      <c r="H22" s="11" t="s">
        <v>309</v>
      </c>
      <c r="O22" s="1163"/>
    </row>
    <row r="23" spans="1:15" x14ac:dyDescent="0.2">
      <c r="A23" s="1175"/>
      <c r="B23" s="5"/>
      <c r="H23" s="11"/>
      <c r="O23" s="1163"/>
    </row>
    <row r="24" spans="1:15" x14ac:dyDescent="0.2">
      <c r="A24" s="1175"/>
      <c r="B24" s="5"/>
      <c r="O24" s="1163"/>
    </row>
    <row r="25" spans="1:15" ht="12.75" customHeight="1" x14ac:dyDescent="0.2">
      <c r="A25" s="1175"/>
      <c r="B25" s="5"/>
      <c r="O25" s="1163"/>
    </row>
    <row r="26" spans="1:15" x14ac:dyDescent="0.2">
      <c r="A26" s="1175"/>
      <c r="B26" s="5"/>
      <c r="O26" s="1163"/>
    </row>
    <row r="27" spans="1:15" x14ac:dyDescent="0.2">
      <c r="A27" s="1175"/>
      <c r="B27" s="5"/>
      <c r="O27" s="1163"/>
    </row>
    <row r="28" spans="1:15" x14ac:dyDescent="0.2">
      <c r="A28" s="1175"/>
      <c r="B28" s="5"/>
      <c r="O28" s="1163"/>
    </row>
    <row r="29" spans="1:15" x14ac:dyDescent="0.2">
      <c r="A29" s="1175"/>
      <c r="B29" s="5"/>
      <c r="O29" s="1163"/>
    </row>
    <row r="30" spans="1:15" x14ac:dyDescent="0.2">
      <c r="A30" s="1175"/>
      <c r="B30" s="5"/>
      <c r="O30" s="1163"/>
    </row>
    <row r="31" spans="1:15" x14ac:dyDescent="0.2">
      <c r="A31" s="1175"/>
      <c r="B31" s="5"/>
      <c r="O31" s="1163"/>
    </row>
    <row r="32" spans="1:15" x14ac:dyDescent="0.2">
      <c r="A32" s="1175"/>
      <c r="B32" s="5"/>
      <c r="O32" s="1163"/>
    </row>
    <row r="33" spans="1:15" x14ac:dyDescent="0.2">
      <c r="A33" s="1175"/>
      <c r="B33" s="5"/>
      <c r="O33" s="1163"/>
    </row>
    <row r="34" spans="1:15" x14ac:dyDescent="0.2">
      <c r="A34" s="1175"/>
      <c r="B34" s="5"/>
      <c r="O34" s="1163"/>
    </row>
    <row r="35" spans="1:15" x14ac:dyDescent="0.2">
      <c r="A35" s="1175"/>
      <c r="B35" s="5"/>
      <c r="O35" s="1163"/>
    </row>
    <row r="36" spans="1:15" x14ac:dyDescent="0.2">
      <c r="A36" s="1175"/>
      <c r="B36" s="5"/>
      <c r="O36" s="1163"/>
    </row>
    <row r="37" spans="1:15" x14ac:dyDescent="0.2">
      <c r="A37" s="1175"/>
      <c r="B37" s="5"/>
      <c r="O37" s="1163"/>
    </row>
    <row r="38" spans="1:15" x14ac:dyDescent="0.2">
      <c r="A38" s="1175"/>
      <c r="B38" s="5"/>
      <c r="O38" s="1163"/>
    </row>
    <row r="39" spans="1:15" x14ac:dyDescent="0.2">
      <c r="A39" s="1175"/>
      <c r="B39" s="5"/>
      <c r="O39" s="1163"/>
    </row>
    <row r="40" spans="1:15" x14ac:dyDescent="0.2">
      <c r="A40" s="1175"/>
      <c r="B40" s="5"/>
      <c r="O40" s="1163"/>
    </row>
    <row r="41" spans="1:15" x14ac:dyDescent="0.2">
      <c r="A41" s="1175"/>
      <c r="B41" s="5"/>
      <c r="O41" s="1163"/>
    </row>
    <row r="42" spans="1:15" x14ac:dyDescent="0.2">
      <c r="A42" s="1175"/>
      <c r="B42" s="5"/>
      <c r="O42" s="1163"/>
    </row>
    <row r="43" spans="1:15" x14ac:dyDescent="0.2">
      <c r="A43" s="1175"/>
      <c r="B43" s="5"/>
      <c r="O43" s="1163"/>
    </row>
    <row r="44" spans="1:15" x14ac:dyDescent="0.2">
      <c r="A44" s="1175"/>
      <c r="B44" s="5"/>
      <c r="O44" s="1163"/>
    </row>
    <row r="45" spans="1:15" x14ac:dyDescent="0.2">
      <c r="A45" s="1175"/>
      <c r="B45" s="5"/>
      <c r="O45" s="1163"/>
    </row>
    <row r="46" spans="1:15" x14ac:dyDescent="0.2">
      <c r="A46" s="1175"/>
      <c r="B46" s="7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461" t="s">
        <v>385</v>
      </c>
      <c r="O46" s="1163"/>
    </row>
    <row r="47" spans="1:15" ht="10.5" customHeight="1" x14ac:dyDescent="0.2">
      <c r="A47" s="1033"/>
      <c r="B47" s="1164" t="str">
        <f>CVR!$E$7</f>
        <v>Queen Street</v>
      </c>
      <c r="C47" s="1164"/>
      <c r="D47" s="1164"/>
      <c r="E47" s="1164"/>
      <c r="F47" s="1164"/>
      <c r="G47" s="1164"/>
      <c r="H47" s="1164"/>
      <c r="I47" s="1164"/>
      <c r="J47" s="1164"/>
      <c r="K47" s="1164"/>
      <c r="L47" s="1164"/>
      <c r="M47" s="1164"/>
      <c r="N47" s="1164"/>
      <c r="O47" s="1034"/>
    </row>
    <row r="48" spans="1:15" x14ac:dyDescent="0.2">
      <c r="A48" s="248" t="s">
        <v>6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231"/>
    </row>
    <row r="49" spans="1:15" x14ac:dyDescent="0.2">
      <c r="A49" s="246" t="s">
        <v>284</v>
      </c>
      <c r="O49" s="228"/>
    </row>
    <row r="50" spans="1:15" x14ac:dyDescent="0.2">
      <c r="A50" s="360" t="s">
        <v>338</v>
      </c>
      <c r="B50" s="8"/>
      <c r="C50" s="8"/>
      <c r="D50" s="8"/>
      <c r="E50" s="8"/>
      <c r="F50" s="8"/>
      <c r="G50" s="8"/>
      <c r="I50" s="8"/>
      <c r="J50" s="8"/>
      <c r="K50" s="8"/>
      <c r="L50" s="8"/>
      <c r="M50" s="8"/>
      <c r="N50" s="8"/>
      <c r="O50" s="233"/>
    </row>
    <row r="51" spans="1:15" x14ac:dyDescent="0.2">
      <c r="A51" s="247" t="s">
        <v>295</v>
      </c>
      <c r="B51" s="3"/>
      <c r="C51" s="3"/>
      <c r="D51" s="3"/>
      <c r="E51" s="3"/>
      <c r="F51" s="3"/>
      <c r="G51" s="4"/>
      <c r="H51" s="368"/>
      <c r="I51" s="219" t="s">
        <v>296</v>
      </c>
      <c r="J51" s="3"/>
      <c r="K51" s="3"/>
      <c r="L51" s="3"/>
      <c r="M51" s="3"/>
      <c r="N51" s="3"/>
      <c r="O51" s="231"/>
    </row>
    <row r="52" spans="1:15" x14ac:dyDescent="0.2">
      <c r="A52" s="226"/>
      <c r="G52" s="6"/>
      <c r="I52" s="5"/>
      <c r="O52" s="228"/>
    </row>
    <row r="53" spans="1:15" x14ac:dyDescent="0.2">
      <c r="A53" s="226"/>
      <c r="G53" s="6"/>
      <c r="I53" s="5"/>
      <c r="O53" s="228"/>
    </row>
    <row r="54" spans="1:15" x14ac:dyDescent="0.2">
      <c r="A54" s="226"/>
      <c r="D54" s="354" t="s">
        <v>334</v>
      </c>
      <c r="G54" s="6"/>
      <c r="I54" s="5"/>
      <c r="K54" s="354" t="s">
        <v>334</v>
      </c>
      <c r="O54" s="228"/>
    </row>
    <row r="55" spans="1:15" x14ac:dyDescent="0.2">
      <c r="A55" s="226"/>
      <c r="G55" s="6"/>
      <c r="I55" s="5"/>
      <c r="O55" s="228"/>
    </row>
    <row r="56" spans="1:15" x14ac:dyDescent="0.2">
      <c r="A56" s="226"/>
      <c r="G56" s="6"/>
      <c r="I56" s="5"/>
      <c r="O56" s="228"/>
    </row>
    <row r="57" spans="1:15" x14ac:dyDescent="0.2">
      <c r="A57" s="232"/>
      <c r="B57" s="8"/>
      <c r="C57" s="8"/>
      <c r="D57" s="8"/>
      <c r="E57" s="8"/>
      <c r="F57" s="8"/>
      <c r="G57" s="9"/>
      <c r="I57" s="7"/>
      <c r="J57" s="8"/>
      <c r="K57" s="8"/>
      <c r="L57" s="8"/>
      <c r="M57" s="8"/>
      <c r="N57" s="8"/>
      <c r="O57" s="233"/>
    </row>
    <row r="58" spans="1:15" ht="13.5" customHeight="1" x14ac:dyDescent="0.2">
      <c r="A58" s="1176" t="s">
        <v>5</v>
      </c>
      <c r="B58" s="1177"/>
      <c r="C58" s="1177"/>
      <c r="D58" s="1177"/>
      <c r="E58" s="1177"/>
      <c r="F58" s="1177"/>
      <c r="G58" s="1178"/>
      <c r="H58" s="242"/>
      <c r="I58" s="1182" t="str">
        <f>CVR!E54</f>
        <v xml:space="preserve">TS0862 </v>
      </c>
      <c r="J58" s="1177"/>
      <c r="K58" s="1177"/>
      <c r="L58" s="1177"/>
      <c r="M58" s="1177"/>
      <c r="N58" s="1177"/>
      <c r="O58" s="1183"/>
    </row>
    <row r="59" spans="1:15" ht="13.5" customHeight="1" x14ac:dyDescent="0.2">
      <c r="A59" s="1179" t="s">
        <v>599</v>
      </c>
      <c r="B59" s="1180"/>
      <c r="C59" s="1180"/>
      <c r="D59" s="1180"/>
      <c r="E59" s="1180"/>
      <c r="F59" s="1180"/>
      <c r="G59" s="1181"/>
      <c r="H59" s="242"/>
      <c r="I59" s="1165" t="s">
        <v>297</v>
      </c>
      <c r="J59" s="1166"/>
      <c r="K59" s="1166"/>
      <c r="L59" s="1166"/>
      <c r="M59" s="1166"/>
      <c r="N59" s="1166"/>
      <c r="O59" s="1167"/>
    </row>
    <row r="60" spans="1:15" ht="13.5" customHeight="1" x14ac:dyDescent="0.2">
      <c r="A60" s="1179" t="s">
        <v>600</v>
      </c>
      <c r="B60" s="1180"/>
      <c r="C60" s="1180"/>
      <c r="D60" s="1180"/>
      <c r="E60" s="1180"/>
      <c r="F60" s="1180"/>
      <c r="G60" s="1181"/>
      <c r="H60" s="242"/>
      <c r="I60" s="1165" t="s">
        <v>282</v>
      </c>
      <c r="J60" s="1166"/>
      <c r="K60" s="1166"/>
      <c r="L60" s="1166"/>
      <c r="M60" s="1166"/>
      <c r="N60" s="1166"/>
      <c r="O60" s="1167"/>
    </row>
    <row r="61" spans="1:15" ht="13.5" customHeight="1" x14ac:dyDescent="0.2">
      <c r="A61" s="1179" t="s">
        <v>283</v>
      </c>
      <c r="B61" s="1180"/>
      <c r="C61" s="1180"/>
      <c r="D61" s="1180"/>
      <c r="E61" s="1180"/>
      <c r="F61" s="1180"/>
      <c r="G61" s="1181"/>
      <c r="H61" s="242"/>
      <c r="I61" s="1165" t="s">
        <v>283</v>
      </c>
      <c r="J61" s="1166"/>
      <c r="K61" s="1166"/>
      <c r="L61" s="1166"/>
      <c r="M61" s="1166"/>
      <c r="N61" s="1166"/>
      <c r="O61" s="1167"/>
    </row>
    <row r="62" spans="1:15" ht="23.25" customHeight="1" thickBot="1" x14ac:dyDescent="0.25">
      <c r="A62" s="1170" t="s">
        <v>386</v>
      </c>
      <c r="B62" s="1171"/>
      <c r="C62" s="1171"/>
      <c r="D62" s="1171"/>
      <c r="E62" s="1171"/>
      <c r="F62" s="1168">
        <f>CVR!G54</f>
        <v>0</v>
      </c>
      <c r="G62" s="1169"/>
      <c r="H62" s="234"/>
      <c r="I62" s="1174" t="s">
        <v>386</v>
      </c>
      <c r="J62" s="1171"/>
      <c r="K62" s="1171"/>
      <c r="L62" s="1171"/>
      <c r="M62" s="1172" t="s">
        <v>292</v>
      </c>
      <c r="N62" s="1171"/>
      <c r="O62" s="1173"/>
    </row>
    <row r="63" spans="1:15" ht="13.5" thickTop="1" x14ac:dyDescent="0.2"/>
  </sheetData>
  <mergeCells count="16">
    <mergeCell ref="B6:N6"/>
    <mergeCell ref="O7:O46"/>
    <mergeCell ref="B47:N47"/>
    <mergeCell ref="I60:O60"/>
    <mergeCell ref="F62:G62"/>
    <mergeCell ref="A62:E62"/>
    <mergeCell ref="M62:O62"/>
    <mergeCell ref="I62:L62"/>
    <mergeCell ref="A7:A46"/>
    <mergeCell ref="I61:O61"/>
    <mergeCell ref="A58:G58"/>
    <mergeCell ref="A59:G59"/>
    <mergeCell ref="A60:G60"/>
    <mergeCell ref="A61:G61"/>
    <mergeCell ref="I58:O58"/>
    <mergeCell ref="I59:O59"/>
  </mergeCells>
  <printOptions horizontalCentered="1" verticalCentered="1"/>
  <pageMargins left="0.47244094488188981" right="0.47244094488188981" top="0.55118110236220474" bottom="0.55118110236220474" header="0.11811023622047245" footer="0.19685039370078741"/>
  <pageSetup paperSize="9" scale="97" orientation="portrait" r:id="rId1"/>
  <headerFooter>
    <oddFooter>&amp;L&amp;8copyright:
Dr John Sampson&amp;C&amp;9&amp;F
&amp;A&amp;R&amp;9print:
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39997558519241921"/>
    <pageSetUpPr fitToPage="1"/>
  </sheetPr>
  <dimension ref="A1:O63"/>
  <sheetViews>
    <sheetView showGridLines="0" showZeros="0" zoomScale="110" zoomScaleNormal="110" workbookViewId="0">
      <selection activeCell="Q27" sqref="Q27"/>
    </sheetView>
  </sheetViews>
  <sheetFormatPr defaultColWidth="9.140625" defaultRowHeight="12.75" x14ac:dyDescent="0.2"/>
  <cols>
    <col min="1" max="1" width="2" style="1" customWidth="1"/>
    <col min="2" max="14" width="7" style="1" customWidth="1"/>
    <col min="15" max="15" width="2" style="1" customWidth="1"/>
    <col min="16" max="16384" width="9.140625" style="1"/>
  </cols>
  <sheetData>
    <row r="1" spans="1:15" ht="19.5" customHeight="1" thickTop="1" x14ac:dyDescent="0.3">
      <c r="A1" s="223"/>
      <c r="B1" s="224"/>
      <c r="C1" s="224"/>
      <c r="D1" s="224"/>
      <c r="E1" s="224"/>
      <c r="F1" s="224"/>
      <c r="G1" s="433" t="str">
        <f>CVR!E7</f>
        <v>Queen Street</v>
      </c>
      <c r="H1" s="283" t="s">
        <v>298</v>
      </c>
      <c r="I1" s="434" t="str">
        <f>CVR!E9</f>
        <v>Albertina Sisulu Road</v>
      </c>
      <c r="J1" s="224"/>
      <c r="K1" s="224"/>
      <c r="L1" s="224"/>
      <c r="M1" s="224"/>
      <c r="N1" s="224"/>
      <c r="O1" s="289"/>
    </row>
    <row r="2" spans="1:15" ht="15" customHeight="1" x14ac:dyDescent="0.2">
      <c r="A2" s="226"/>
      <c r="E2" s="10"/>
      <c r="H2" s="26" t="str">
        <f>CVR!E11</f>
        <v>example</v>
      </c>
      <c r="O2" s="228"/>
    </row>
    <row r="3" spans="1:15" ht="15" customHeight="1" x14ac:dyDescent="0.25">
      <c r="A3" s="226"/>
      <c r="C3" s="281"/>
      <c r="D3" s="281"/>
      <c r="E3" s="1184" t="s">
        <v>487</v>
      </c>
      <c r="F3" s="1185"/>
      <c r="G3" s="1185"/>
      <c r="H3" s="1185"/>
      <c r="I3" s="1185"/>
      <c r="J3" s="1185"/>
      <c r="K3" s="1186"/>
      <c r="O3" s="228"/>
    </row>
    <row r="4" spans="1:15" ht="12.75" customHeight="1" x14ac:dyDescent="0.25">
      <c r="A4" s="226"/>
      <c r="C4" s="281"/>
      <c r="D4" s="281"/>
      <c r="E4" s="10"/>
      <c r="H4" s="46" t="s">
        <v>384</v>
      </c>
      <c r="O4" s="228"/>
    </row>
    <row r="5" spans="1:15" ht="12.75" customHeight="1" x14ac:dyDescent="0.25">
      <c r="A5" s="614" t="str">
        <f>cap!$A$1</f>
        <v>&amp;AutoJ 2408</v>
      </c>
      <c r="B5" s="10"/>
      <c r="C5" s="281"/>
      <c r="D5" s="281"/>
      <c r="H5" s="46"/>
      <c r="O5" s="233"/>
    </row>
    <row r="6" spans="1:15" ht="10.5" customHeight="1" x14ac:dyDescent="0.2">
      <c r="A6" s="1032"/>
      <c r="B6" s="1162" t="str">
        <f>EX!$B$6</f>
        <v>Queen Street</v>
      </c>
      <c r="C6" s="1162"/>
      <c r="D6" s="1162"/>
      <c r="E6" s="1162"/>
      <c r="F6" s="1162"/>
      <c r="G6" s="1162"/>
      <c r="H6" s="1162"/>
      <c r="I6" s="1162"/>
      <c r="J6" s="1162"/>
      <c r="K6" s="1162"/>
      <c r="L6" s="1162"/>
      <c r="M6" s="1162"/>
      <c r="N6" s="1162"/>
      <c r="O6" s="1031"/>
    </row>
    <row r="7" spans="1:15" ht="15" customHeight="1" x14ac:dyDescent="0.2">
      <c r="A7" s="1175" t="str">
        <f>EX!$A$7</f>
        <v>Albertina Sisulu Road</v>
      </c>
      <c r="B7" s="19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4"/>
      <c r="O7" s="1187" t="str">
        <f>EX!$O$7</f>
        <v>Albertina Sisulu Road</v>
      </c>
    </row>
    <row r="8" spans="1:15" x14ac:dyDescent="0.2">
      <c r="A8" s="1175"/>
      <c r="B8" s="5"/>
      <c r="N8" s="6"/>
      <c r="O8" s="1187"/>
    </row>
    <row r="9" spans="1:15" x14ac:dyDescent="0.2">
      <c r="A9" s="1175"/>
      <c r="B9" s="5"/>
      <c r="N9" s="6"/>
      <c r="O9" s="1187"/>
    </row>
    <row r="10" spans="1:15" x14ac:dyDescent="0.2">
      <c r="A10" s="1175"/>
      <c r="B10" s="5"/>
      <c r="N10" s="6"/>
      <c r="O10" s="1187"/>
    </row>
    <row r="11" spans="1:15" x14ac:dyDescent="0.2">
      <c r="A11" s="1175"/>
      <c r="B11" s="5"/>
      <c r="N11" s="6"/>
      <c r="O11" s="1187"/>
    </row>
    <row r="12" spans="1:15" x14ac:dyDescent="0.2">
      <c r="A12" s="1175"/>
      <c r="B12" s="5"/>
      <c r="N12" s="6"/>
      <c r="O12" s="1187"/>
    </row>
    <row r="13" spans="1:15" x14ac:dyDescent="0.2">
      <c r="A13" s="1175"/>
      <c r="B13" s="5"/>
      <c r="N13" s="6"/>
      <c r="O13" s="1187"/>
    </row>
    <row r="14" spans="1:15" x14ac:dyDescent="0.2">
      <c r="A14" s="1175"/>
      <c r="B14" s="5"/>
      <c r="N14" s="6"/>
      <c r="O14" s="1187"/>
    </row>
    <row r="15" spans="1:15" x14ac:dyDescent="0.2">
      <c r="A15" s="1175"/>
      <c r="B15" s="5"/>
      <c r="N15" s="6"/>
      <c r="O15" s="1187"/>
    </row>
    <row r="16" spans="1:15" x14ac:dyDescent="0.2">
      <c r="A16" s="1175"/>
      <c r="B16" s="5"/>
      <c r="N16" s="6"/>
      <c r="O16" s="1187"/>
    </row>
    <row r="17" spans="1:15" x14ac:dyDescent="0.2">
      <c r="A17" s="1175"/>
      <c r="B17" s="5"/>
      <c r="N17" s="6"/>
      <c r="O17" s="1187"/>
    </row>
    <row r="18" spans="1:15" x14ac:dyDescent="0.2">
      <c r="A18" s="1175"/>
      <c r="B18" s="5"/>
      <c r="N18" s="6"/>
      <c r="O18" s="1187"/>
    </row>
    <row r="19" spans="1:15" x14ac:dyDescent="0.2">
      <c r="A19" s="1175"/>
      <c r="B19" s="5"/>
      <c r="N19" s="6"/>
      <c r="O19" s="1187"/>
    </row>
    <row r="20" spans="1:15" x14ac:dyDescent="0.2">
      <c r="A20" s="1175"/>
      <c r="B20" s="5"/>
      <c r="N20" s="6"/>
      <c r="O20" s="1187"/>
    </row>
    <row r="21" spans="1:15" x14ac:dyDescent="0.2">
      <c r="A21" s="1175"/>
      <c r="B21" s="5"/>
      <c r="H21" s="11" t="s">
        <v>489</v>
      </c>
      <c r="N21" s="6"/>
      <c r="O21" s="1187"/>
    </row>
    <row r="22" spans="1:15" x14ac:dyDescent="0.2">
      <c r="A22" s="1175"/>
      <c r="B22" s="5"/>
      <c r="H22" s="11" t="s">
        <v>488</v>
      </c>
      <c r="N22" s="6"/>
      <c r="O22" s="1187"/>
    </row>
    <row r="23" spans="1:15" x14ac:dyDescent="0.2">
      <c r="A23" s="1175"/>
      <c r="B23" s="5"/>
      <c r="H23" s="11" t="s">
        <v>490</v>
      </c>
      <c r="N23" s="6"/>
      <c r="O23" s="1187"/>
    </row>
    <row r="24" spans="1:15" x14ac:dyDescent="0.2">
      <c r="A24" s="1175"/>
      <c r="B24" s="5"/>
      <c r="N24" s="6"/>
      <c r="O24" s="1187"/>
    </row>
    <row r="25" spans="1:15" ht="12.75" customHeight="1" x14ac:dyDescent="0.2">
      <c r="A25" s="1175"/>
      <c r="B25" s="5"/>
      <c r="N25" s="6"/>
      <c r="O25" s="1187"/>
    </row>
    <row r="26" spans="1:15" x14ac:dyDescent="0.2">
      <c r="A26" s="1175"/>
      <c r="B26" s="5"/>
      <c r="N26" s="6"/>
      <c r="O26" s="1187"/>
    </row>
    <row r="27" spans="1:15" x14ac:dyDescent="0.2">
      <c r="A27" s="1175"/>
      <c r="B27" s="5"/>
      <c r="N27" s="6"/>
      <c r="O27" s="1187"/>
    </row>
    <row r="28" spans="1:15" x14ac:dyDescent="0.2">
      <c r="A28" s="1175"/>
      <c r="B28" s="5"/>
      <c r="N28" s="6"/>
      <c r="O28" s="1187"/>
    </row>
    <row r="29" spans="1:15" x14ac:dyDescent="0.2">
      <c r="A29" s="1175"/>
      <c r="B29" s="5"/>
      <c r="N29" s="6"/>
      <c r="O29" s="1187"/>
    </row>
    <row r="30" spans="1:15" x14ac:dyDescent="0.2">
      <c r="A30" s="1175"/>
      <c r="B30" s="5"/>
      <c r="N30" s="6"/>
      <c r="O30" s="1187"/>
    </row>
    <row r="31" spans="1:15" x14ac:dyDescent="0.2">
      <c r="A31" s="1175"/>
      <c r="B31" s="5"/>
      <c r="N31" s="6"/>
      <c r="O31" s="1187"/>
    </row>
    <row r="32" spans="1:15" x14ac:dyDescent="0.2">
      <c r="A32" s="1175"/>
      <c r="B32" s="5"/>
      <c r="N32" s="6"/>
      <c r="O32" s="1187"/>
    </row>
    <row r="33" spans="1:15" x14ac:dyDescent="0.2">
      <c r="A33" s="1175"/>
      <c r="B33" s="5"/>
      <c r="N33" s="6"/>
      <c r="O33" s="1187"/>
    </row>
    <row r="34" spans="1:15" x14ac:dyDescent="0.2">
      <c r="A34" s="1175"/>
      <c r="B34" s="5"/>
      <c r="N34" s="6"/>
      <c r="O34" s="1187"/>
    </row>
    <row r="35" spans="1:15" x14ac:dyDescent="0.2">
      <c r="A35" s="1175"/>
      <c r="B35" s="5"/>
      <c r="N35" s="6"/>
      <c r="O35" s="1187"/>
    </row>
    <row r="36" spans="1:15" x14ac:dyDescent="0.2">
      <c r="A36" s="1175"/>
      <c r="B36" s="5"/>
      <c r="N36" s="6"/>
      <c r="O36" s="1187"/>
    </row>
    <row r="37" spans="1:15" x14ac:dyDescent="0.2">
      <c r="A37" s="1175"/>
      <c r="B37" s="5"/>
      <c r="N37" s="6"/>
      <c r="O37" s="1187"/>
    </row>
    <row r="38" spans="1:15" x14ac:dyDescent="0.2">
      <c r="A38" s="1175"/>
      <c r="B38" s="5"/>
      <c r="N38" s="6"/>
      <c r="O38" s="1187"/>
    </row>
    <row r="39" spans="1:15" x14ac:dyDescent="0.2">
      <c r="A39" s="1175"/>
      <c r="B39" s="5"/>
      <c r="N39" s="6"/>
      <c r="O39" s="1187"/>
    </row>
    <row r="40" spans="1:15" x14ac:dyDescent="0.2">
      <c r="A40" s="1175"/>
      <c r="B40" s="5"/>
      <c r="N40" s="6"/>
      <c r="O40" s="1187"/>
    </row>
    <row r="41" spans="1:15" x14ac:dyDescent="0.2">
      <c r="A41" s="1175"/>
      <c r="B41" s="5"/>
      <c r="N41" s="6"/>
      <c r="O41" s="1187"/>
    </row>
    <row r="42" spans="1:15" x14ac:dyDescent="0.2">
      <c r="A42" s="1175"/>
      <c r="B42" s="5"/>
      <c r="N42" s="6"/>
      <c r="O42" s="1187"/>
    </row>
    <row r="43" spans="1:15" x14ac:dyDescent="0.2">
      <c r="A43" s="1175"/>
      <c r="B43" s="5"/>
      <c r="N43" s="6"/>
      <c r="O43" s="1187"/>
    </row>
    <row r="44" spans="1:15" x14ac:dyDescent="0.2">
      <c r="A44" s="1175"/>
      <c r="B44" s="5"/>
      <c r="N44" s="6"/>
      <c r="O44" s="1187"/>
    </row>
    <row r="45" spans="1:15" x14ac:dyDescent="0.2">
      <c r="A45" s="1175"/>
      <c r="B45" s="5"/>
      <c r="N45" s="6"/>
      <c r="O45" s="1187"/>
    </row>
    <row r="46" spans="1:15" x14ac:dyDescent="0.2">
      <c r="A46" s="1175"/>
      <c r="B46" s="7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291" t="s">
        <v>385</v>
      </c>
      <c r="O46" s="1187"/>
    </row>
    <row r="47" spans="1:15" ht="10.5" customHeight="1" x14ac:dyDescent="0.2">
      <c r="A47" s="1033"/>
      <c r="B47" s="1164" t="str">
        <f>EX!$B$47</f>
        <v>Queen Street</v>
      </c>
      <c r="C47" s="1164"/>
      <c r="D47" s="1164"/>
      <c r="E47" s="1164"/>
      <c r="F47" s="1164"/>
      <c r="G47" s="1164"/>
      <c r="H47" s="1164"/>
      <c r="I47" s="1164"/>
      <c r="J47" s="1164"/>
      <c r="K47" s="1164"/>
      <c r="L47" s="1164"/>
      <c r="M47" s="1164"/>
      <c r="N47" s="1164"/>
      <c r="O47" s="1034"/>
    </row>
    <row r="48" spans="1:15" x14ac:dyDescent="0.2">
      <c r="A48" s="248" t="s">
        <v>6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231"/>
    </row>
    <row r="49" spans="1:15" x14ac:dyDescent="0.2">
      <c r="A49" s="246" t="s">
        <v>284</v>
      </c>
      <c r="O49" s="228"/>
    </row>
    <row r="50" spans="1:15" x14ac:dyDescent="0.2">
      <c r="A50" s="360" t="s">
        <v>338</v>
      </c>
      <c r="B50" s="8"/>
      <c r="C50" s="8"/>
      <c r="D50" s="8"/>
      <c r="E50" s="8"/>
      <c r="F50" s="8"/>
      <c r="G50" s="8"/>
      <c r="I50" s="8"/>
      <c r="J50" s="8"/>
      <c r="K50" s="8"/>
      <c r="L50" s="8"/>
      <c r="M50" s="8"/>
      <c r="N50" s="8"/>
      <c r="O50" s="233"/>
    </row>
    <row r="51" spans="1:15" x14ac:dyDescent="0.2">
      <c r="A51" s="247" t="s">
        <v>295</v>
      </c>
      <c r="B51" s="3"/>
      <c r="C51" s="3"/>
      <c r="D51" s="3"/>
      <c r="E51" s="3"/>
      <c r="F51" s="3"/>
      <c r="G51" s="4"/>
      <c r="H51" s="368"/>
      <c r="I51" s="219" t="s">
        <v>296</v>
      </c>
      <c r="J51" s="3"/>
      <c r="K51" s="3"/>
      <c r="L51" s="3"/>
      <c r="M51" s="3"/>
      <c r="N51" s="3"/>
      <c r="O51" s="231"/>
    </row>
    <row r="52" spans="1:15" x14ac:dyDescent="0.2">
      <c r="A52" s="226"/>
      <c r="G52" s="6"/>
      <c r="I52" s="5"/>
      <c r="O52" s="228"/>
    </row>
    <row r="53" spans="1:15" x14ac:dyDescent="0.2">
      <c r="A53" s="226"/>
      <c r="G53" s="6"/>
      <c r="I53" s="5"/>
      <c r="O53" s="228"/>
    </row>
    <row r="54" spans="1:15" x14ac:dyDescent="0.2">
      <c r="A54" s="226"/>
      <c r="D54" s="354" t="s">
        <v>334</v>
      </c>
      <c r="G54" s="6"/>
      <c r="I54" s="5"/>
      <c r="K54" s="354" t="s">
        <v>334</v>
      </c>
      <c r="O54" s="228"/>
    </row>
    <row r="55" spans="1:15" x14ac:dyDescent="0.2">
      <c r="A55" s="226"/>
      <c r="G55" s="6"/>
      <c r="I55" s="5"/>
      <c r="O55" s="228"/>
    </row>
    <row r="56" spans="1:15" x14ac:dyDescent="0.2">
      <c r="A56" s="226"/>
      <c r="G56" s="6"/>
      <c r="I56" s="5"/>
      <c r="O56" s="228"/>
    </row>
    <row r="57" spans="1:15" x14ac:dyDescent="0.2">
      <c r="A57" s="232"/>
      <c r="B57" s="8"/>
      <c r="C57" s="8"/>
      <c r="D57" s="8"/>
      <c r="E57" s="8"/>
      <c r="F57" s="8"/>
      <c r="G57" s="9"/>
      <c r="I57" s="7"/>
      <c r="J57" s="8"/>
      <c r="K57" s="8"/>
      <c r="L57" s="8"/>
      <c r="M57" s="8"/>
      <c r="N57" s="8"/>
      <c r="O57" s="233"/>
    </row>
    <row r="58" spans="1:15" ht="13.5" customHeight="1" x14ac:dyDescent="0.2">
      <c r="A58" s="1176" t="str">
        <f>EX!A58</f>
        <v>job no.</v>
      </c>
      <c r="B58" s="1177"/>
      <c r="C58" s="1177"/>
      <c r="D58" s="1177"/>
      <c r="E58" s="1177"/>
      <c r="F58" s="1177"/>
      <c r="G58" s="1178"/>
      <c r="H58" s="242"/>
      <c r="I58" s="1182" t="str">
        <f>EX!I58</f>
        <v xml:space="preserve">TS0862 </v>
      </c>
      <c r="J58" s="1177"/>
      <c r="K58" s="1177"/>
      <c r="L58" s="1177"/>
      <c r="M58" s="1177"/>
      <c r="N58" s="1177"/>
      <c r="O58" s="1183"/>
    </row>
    <row r="59" spans="1:15" ht="13.5" customHeight="1" x14ac:dyDescent="0.2">
      <c r="A59" s="1179" t="str">
        <f>EX!A59</f>
        <v>John Sampson</v>
      </c>
      <c r="B59" s="1180"/>
      <c r="C59" s="1180"/>
      <c r="D59" s="1180"/>
      <c r="E59" s="1180"/>
      <c r="F59" s="1180"/>
      <c r="G59" s="1181"/>
      <c r="H59" s="242"/>
      <c r="I59" s="1165" t="str">
        <f>EX!I59</f>
        <v>name</v>
      </c>
      <c r="J59" s="1166"/>
      <c r="K59" s="1166"/>
      <c r="L59" s="1166"/>
      <c r="M59" s="1166"/>
      <c r="N59" s="1166"/>
      <c r="O59" s="1167"/>
    </row>
    <row r="60" spans="1:15" ht="13.5" customHeight="1" x14ac:dyDescent="0.2">
      <c r="A60" s="1179" t="str">
        <f>EX!A60</f>
        <v>Pr Eng</v>
      </c>
      <c r="B60" s="1180"/>
      <c r="C60" s="1180"/>
      <c r="D60" s="1180"/>
      <c r="E60" s="1180"/>
      <c r="F60" s="1180"/>
      <c r="G60" s="1181"/>
      <c r="H60" s="242"/>
      <c r="I60" s="1165" t="str">
        <f>EX!I60</f>
        <v>position</v>
      </c>
      <c r="J60" s="1166"/>
      <c r="K60" s="1166"/>
      <c r="L60" s="1166"/>
      <c r="M60" s="1166"/>
      <c r="N60" s="1166"/>
      <c r="O60" s="1167"/>
    </row>
    <row r="61" spans="1:15" ht="13.5" customHeight="1" x14ac:dyDescent="0.2">
      <c r="A61" s="1179" t="str">
        <f>EX!A61</f>
        <v>registration</v>
      </c>
      <c r="B61" s="1180"/>
      <c r="C61" s="1180"/>
      <c r="D61" s="1180"/>
      <c r="E61" s="1180"/>
      <c r="F61" s="1180"/>
      <c r="G61" s="1181"/>
      <c r="H61" s="242"/>
      <c r="I61" s="1165" t="str">
        <f>EX!I61</f>
        <v>registration</v>
      </c>
      <c r="J61" s="1166"/>
      <c r="K61" s="1166"/>
      <c r="L61" s="1166"/>
      <c r="M61" s="1166"/>
      <c r="N61" s="1166"/>
      <c r="O61" s="1167"/>
    </row>
    <row r="62" spans="1:15" ht="23.25" customHeight="1" thickBot="1" x14ac:dyDescent="0.25">
      <c r="A62" s="1170" t="str">
        <f>EX!A62</f>
        <v>sign</v>
      </c>
      <c r="B62" s="1171"/>
      <c r="C62" s="1171"/>
      <c r="D62" s="1171"/>
      <c r="E62" s="1171"/>
      <c r="F62" s="1168">
        <f>EX!F62</f>
        <v>0</v>
      </c>
      <c r="G62" s="1169"/>
      <c r="H62" s="234"/>
      <c r="I62" s="1174" t="str">
        <f>EX!I62</f>
        <v>sign</v>
      </c>
      <c r="J62" s="1171"/>
      <c r="K62" s="1171"/>
      <c r="L62" s="1171"/>
      <c r="M62" s="1172" t="str">
        <f>EX!M62</f>
        <v>date</v>
      </c>
      <c r="N62" s="1171"/>
      <c r="O62" s="1173"/>
    </row>
    <row r="63" spans="1:15" ht="13.5" thickTop="1" x14ac:dyDescent="0.2"/>
  </sheetData>
  <mergeCells count="17">
    <mergeCell ref="E3:K3"/>
    <mergeCell ref="B6:N6"/>
    <mergeCell ref="A7:A46"/>
    <mergeCell ref="O7:O46"/>
    <mergeCell ref="B47:N47"/>
    <mergeCell ref="A58:G58"/>
    <mergeCell ref="I58:O58"/>
    <mergeCell ref="A62:E62"/>
    <mergeCell ref="F62:G62"/>
    <mergeCell ref="I62:L62"/>
    <mergeCell ref="M62:O62"/>
    <mergeCell ref="A59:G59"/>
    <mergeCell ref="I59:O59"/>
    <mergeCell ref="A60:G60"/>
    <mergeCell ref="I60:O60"/>
    <mergeCell ref="A61:G61"/>
    <mergeCell ref="I61:O61"/>
  </mergeCells>
  <printOptions horizontalCentered="1" verticalCentered="1"/>
  <pageMargins left="0.47244094488188981" right="0.47244094488188981" top="0.55118110236220474" bottom="0.55118110236220474" header="0.11811023622047245" footer="0.19685039370078741"/>
  <pageSetup paperSize="9" scale="97" orientation="portrait" r:id="rId1"/>
  <headerFooter>
    <oddFooter>&amp;L&amp;8copyright:
Dr John Sampson&amp;C&amp;9&amp;F
&amp;A&amp;R&amp;9print:
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99"/>
    <pageSetUpPr fitToPage="1"/>
  </sheetPr>
  <dimension ref="A1:BI70"/>
  <sheetViews>
    <sheetView showGridLines="0" zoomScale="110" zoomScaleNormal="110" workbookViewId="0">
      <pane ySplit="7" topLeftCell="A8" activePane="bottomLeft" state="frozen"/>
      <selection pane="bottomLeft"/>
    </sheetView>
  </sheetViews>
  <sheetFormatPr defaultColWidth="9.140625" defaultRowHeight="12.75" x14ac:dyDescent="0.2"/>
  <cols>
    <col min="1" max="14" width="6.5703125" style="1" customWidth="1"/>
    <col min="15" max="17" width="6.7109375" style="1" customWidth="1"/>
    <col min="18" max="31" width="8.28515625" style="98" customWidth="1"/>
    <col min="32" max="32" width="6.5703125" style="44" customWidth="1"/>
    <col min="33" max="38" width="6.5703125" style="658" customWidth="1"/>
    <col min="39" max="40" width="8.28515625" style="658" customWidth="1"/>
    <col min="41" max="41" width="6.5703125" style="658" customWidth="1"/>
    <col min="42" max="54" width="9.140625" style="1" customWidth="1"/>
    <col min="55" max="61" width="6.5703125" style="1" customWidth="1"/>
    <col min="62" max="16384" width="9.140625" style="1"/>
  </cols>
  <sheetData>
    <row r="1" spans="1:61" ht="17.25" customHeight="1" thickTop="1" x14ac:dyDescent="0.3">
      <c r="A1" s="223"/>
      <c r="B1" s="292"/>
      <c r="C1" s="292"/>
      <c r="D1" s="293"/>
      <c r="E1" s="224"/>
      <c r="F1" s="224"/>
      <c r="G1" s="433" t="str">
        <f>CVR!E7</f>
        <v>Queen Street</v>
      </c>
      <c r="H1" s="283" t="s">
        <v>298</v>
      </c>
      <c r="I1" s="434" t="str">
        <f>CVR!E9</f>
        <v>Albertina Sisulu Road</v>
      </c>
      <c r="J1" s="224"/>
      <c r="K1" s="224"/>
      <c r="L1" s="224"/>
      <c r="M1" s="224"/>
      <c r="N1" s="224"/>
      <c r="O1" s="224"/>
      <c r="P1" s="289"/>
      <c r="Q1" s="664"/>
      <c r="R1" s="13"/>
      <c r="S1" s="1"/>
      <c r="T1" s="216" t="s">
        <v>270</v>
      </c>
      <c r="U1" s="1"/>
      <c r="V1" s="13"/>
      <c r="W1" s="371" t="s">
        <v>345</v>
      </c>
      <c r="X1" s="797" t="s">
        <v>267</v>
      </c>
      <c r="Y1" s="797" t="s">
        <v>266</v>
      </c>
      <c r="Z1" s="797" t="s">
        <v>265</v>
      </c>
      <c r="AA1" s="216" t="s">
        <v>268</v>
      </c>
      <c r="AB1" s="309" t="str">
        <f>EX!B6</f>
        <v>Queen Street</v>
      </c>
      <c r="AC1" s="13"/>
      <c r="AD1" s="1"/>
      <c r="AF1" s="711"/>
      <c r="AL1" s="659"/>
      <c r="AO1" s="659"/>
    </row>
    <row r="2" spans="1:61" ht="12.75" customHeight="1" x14ac:dyDescent="0.2">
      <c r="A2" s="251"/>
      <c r="B2" s="27"/>
      <c r="C2" s="27"/>
      <c r="E2" s="10"/>
      <c r="H2" s="195" t="str">
        <f>CVR!E11</f>
        <v>example</v>
      </c>
      <c r="P2" s="228"/>
      <c r="R2" s="1"/>
      <c r="S2" s="1"/>
      <c r="T2" s="795" t="s">
        <v>256</v>
      </c>
      <c r="U2" s="1"/>
      <c r="V2" s="1"/>
      <c r="W2" s="1"/>
      <c r="X2" s="1"/>
      <c r="Y2" s="1"/>
      <c r="Z2" s="1"/>
      <c r="AA2" s="1"/>
      <c r="AB2" s="1"/>
      <c r="AC2" s="311"/>
      <c r="AD2" s="1"/>
    </row>
    <row r="3" spans="1:61" x14ac:dyDescent="0.2">
      <c r="A3" s="226"/>
      <c r="E3" s="10"/>
      <c r="N3" s="203"/>
      <c r="O3" s="24" t="str">
        <f>hr!A9</f>
        <v>AM</v>
      </c>
      <c r="P3" s="294" t="str">
        <f>hr!A11</f>
        <v>PM</v>
      </c>
      <c r="Q3" s="24"/>
      <c r="R3" s="1"/>
      <c r="S3" s="312" t="str">
        <f>EX!A7</f>
        <v>Albertina Sisulu Road</v>
      </c>
      <c r="T3" s="795" t="s">
        <v>257</v>
      </c>
      <c r="U3" s="1"/>
      <c r="V3" s="1"/>
      <c r="W3" s="1"/>
      <c r="X3" s="1"/>
      <c r="Y3" s="1"/>
      <c r="Z3" s="1"/>
      <c r="AA3" s="1"/>
      <c r="AB3" s="1"/>
      <c r="AC3" s="371" t="s">
        <v>344</v>
      </c>
      <c r="AD3" s="1"/>
    </row>
    <row r="4" spans="1:61" ht="15.75" x14ac:dyDescent="0.2">
      <c r="A4" s="614" t="str">
        <f>cap!$A$1</f>
        <v>&amp;AutoJ 2408</v>
      </c>
      <c r="B4" s="8"/>
      <c r="C4" s="8"/>
      <c r="D4" s="8"/>
      <c r="E4" s="250"/>
      <c r="F4" s="285"/>
      <c r="G4" s="290"/>
      <c r="H4" s="286" t="s">
        <v>310</v>
      </c>
      <c r="I4" s="290"/>
      <c r="J4" s="287"/>
      <c r="K4" s="8"/>
      <c r="L4" s="8"/>
      <c r="M4" s="8"/>
      <c r="N4" s="201" t="s">
        <v>214</v>
      </c>
      <c r="O4" s="202">
        <f>IF(O65=0,0,P65/(4*O65))</f>
        <v>0.96106557377049184</v>
      </c>
      <c r="P4" s="295">
        <f>IF(O66=0,0,P66/(4*O66))</f>
        <v>0.98297342192691028</v>
      </c>
      <c r="Q4" s="665"/>
      <c r="R4" s="1"/>
      <c r="S4" s="1"/>
      <c r="T4" s="795" t="s">
        <v>258</v>
      </c>
      <c r="U4" s="1"/>
      <c r="V4" s="1"/>
      <c r="W4" s="242"/>
      <c r="X4" s="24" t="s">
        <v>496</v>
      </c>
      <c r="Y4" s="1"/>
      <c r="Z4" s="1"/>
      <c r="AA4" s="1"/>
      <c r="AB4" s="1"/>
      <c r="AC4" s="796" t="s">
        <v>264</v>
      </c>
      <c r="AD4" s="1"/>
    </row>
    <row r="5" spans="1:61" ht="13.5" thickBot="1" x14ac:dyDescent="0.25">
      <c r="A5" s="226"/>
      <c r="B5" s="20" t="s">
        <v>7</v>
      </c>
      <c r="C5" s="1188">
        <v>45292</v>
      </c>
      <c r="D5" s="1189"/>
      <c r="E5" s="20" t="s">
        <v>8</v>
      </c>
      <c r="F5" s="1190" t="s">
        <v>9</v>
      </c>
      <c r="G5" s="1191"/>
      <c r="H5" s="20" t="s">
        <v>10</v>
      </c>
      <c r="I5" s="1194"/>
      <c r="J5" s="1195"/>
      <c r="M5" s="98"/>
      <c r="N5" s="98"/>
      <c r="O5" s="98"/>
      <c r="P5" s="275"/>
      <c r="Q5" s="98"/>
      <c r="R5" s="1"/>
      <c r="S5" s="1"/>
      <c r="T5" s="371" t="s">
        <v>343</v>
      </c>
      <c r="U5" s="1"/>
      <c r="V5" s="1"/>
      <c r="W5" s="1"/>
      <c r="X5" s="1"/>
      <c r="Y5" s="1"/>
      <c r="Z5" s="1"/>
      <c r="AA5" s="1"/>
      <c r="AB5" s="1"/>
      <c r="AC5" s="796" t="s">
        <v>263</v>
      </c>
      <c r="AD5" s="309" t="str">
        <f>EX!O7</f>
        <v>Albertina Sisulu Road</v>
      </c>
      <c r="AQ5" s="242" t="s">
        <v>573</v>
      </c>
    </row>
    <row r="6" spans="1:61" x14ac:dyDescent="0.2">
      <c r="A6" s="248" t="s">
        <v>272</v>
      </c>
      <c r="B6" s="3"/>
      <c r="C6" s="772"/>
      <c r="D6" s="773" t="s">
        <v>11</v>
      </c>
      <c r="E6" s="774"/>
      <c r="F6" s="769"/>
      <c r="G6" s="770" t="s">
        <v>12</v>
      </c>
      <c r="H6" s="771"/>
      <c r="I6" s="778"/>
      <c r="J6" s="777" t="s">
        <v>13</v>
      </c>
      <c r="K6" s="779"/>
      <c r="L6" s="780"/>
      <c r="M6" s="781" t="s">
        <v>14</v>
      </c>
      <c r="N6" s="782"/>
      <c r="O6" s="21" t="s">
        <v>15</v>
      </c>
      <c r="P6" s="296" t="s">
        <v>16</v>
      </c>
      <c r="Q6" s="412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796" t="s">
        <v>262</v>
      </c>
      <c r="AD6" s="1"/>
      <c r="AE6" s="46"/>
      <c r="AG6" s="658" t="s">
        <v>377</v>
      </c>
      <c r="AH6" s="660" t="s">
        <v>378</v>
      </c>
      <c r="AI6" s="660" t="s">
        <v>64</v>
      </c>
      <c r="AJ6" s="660" t="s">
        <v>379</v>
      </c>
      <c r="AK6" s="660" t="s">
        <v>192</v>
      </c>
      <c r="AM6" s="661" t="s">
        <v>229</v>
      </c>
      <c r="AN6" s="661" t="s">
        <v>227</v>
      </c>
      <c r="AQ6" s="242" t="s">
        <v>340</v>
      </c>
    </row>
    <row r="7" spans="1:61" ht="13.5" thickBot="1" x14ac:dyDescent="0.25">
      <c r="A7" s="297" t="s">
        <v>17</v>
      </c>
      <c r="B7" s="208" t="s">
        <v>18</v>
      </c>
      <c r="C7" s="209" t="str">
        <f>Z1</f>
        <v>nL</v>
      </c>
      <c r="D7" s="210" t="str">
        <f>Y1</f>
        <v>nS</v>
      </c>
      <c r="E7" s="211" t="str">
        <f>X1</f>
        <v>nR</v>
      </c>
      <c r="F7" s="209" t="str">
        <f>W7</f>
        <v>sL</v>
      </c>
      <c r="G7" s="210" t="str">
        <f>X7</f>
        <v>sS</v>
      </c>
      <c r="H7" s="211" t="str">
        <f>Y7</f>
        <v>sR</v>
      </c>
      <c r="I7" s="209" t="str">
        <f>T2</f>
        <v>wL</v>
      </c>
      <c r="J7" s="210" t="str">
        <f>T3</f>
        <v>wS</v>
      </c>
      <c r="K7" s="211" t="str">
        <f>T4</f>
        <v>wR</v>
      </c>
      <c r="L7" s="209" t="str">
        <f>AC6</f>
        <v>eL</v>
      </c>
      <c r="M7" s="210" t="str">
        <f>AC5</f>
        <v>eS</v>
      </c>
      <c r="N7" s="211" t="str">
        <f>AC4</f>
        <v>eR</v>
      </c>
      <c r="O7" s="22" t="s">
        <v>19</v>
      </c>
      <c r="P7" s="298" t="s">
        <v>19</v>
      </c>
      <c r="Q7" s="412"/>
      <c r="R7" s="1"/>
      <c r="S7" s="1"/>
      <c r="T7" s="1"/>
      <c r="U7" s="312" t="str">
        <f>EX!B47</f>
        <v>Queen Street</v>
      </c>
      <c r="V7" s="216" t="s">
        <v>269</v>
      </c>
      <c r="W7" s="794" t="s">
        <v>259</v>
      </c>
      <c r="X7" s="794" t="s">
        <v>260</v>
      </c>
      <c r="Y7" s="794" t="s">
        <v>261</v>
      </c>
      <c r="Z7" s="371" t="s">
        <v>346</v>
      </c>
      <c r="AA7" s="1"/>
      <c r="AB7" s="1"/>
      <c r="AC7" s="216" t="s">
        <v>271</v>
      </c>
      <c r="AD7" s="2"/>
      <c r="AE7" s="46"/>
      <c r="AG7" s="662">
        <v>0.20833333333333334</v>
      </c>
      <c r="AH7" s="658">
        <v>0</v>
      </c>
      <c r="AI7" s="658">
        <v>0</v>
      </c>
      <c r="AJ7" s="658">
        <v>0</v>
      </c>
      <c r="AK7" s="658">
        <v>0</v>
      </c>
      <c r="AM7" s="661" t="s">
        <v>228</v>
      </c>
      <c r="AN7" s="661" t="s">
        <v>228</v>
      </c>
      <c r="AQ7" s="361" t="s">
        <v>265</v>
      </c>
      <c r="AR7" s="362" t="s">
        <v>266</v>
      </c>
      <c r="AS7" s="363" t="s">
        <v>267</v>
      </c>
      <c r="AT7" s="361" t="s">
        <v>259</v>
      </c>
      <c r="AU7" s="362" t="s">
        <v>260</v>
      </c>
      <c r="AV7" s="363" t="s">
        <v>261</v>
      </c>
      <c r="AW7" s="361" t="s">
        <v>256</v>
      </c>
      <c r="AX7" s="362" t="s">
        <v>257</v>
      </c>
      <c r="AY7" s="363" t="s">
        <v>258</v>
      </c>
      <c r="AZ7" s="361" t="s">
        <v>262</v>
      </c>
      <c r="BA7" s="362" t="s">
        <v>263</v>
      </c>
      <c r="BB7" s="363" t="s">
        <v>264</v>
      </c>
    </row>
    <row r="8" spans="1:61" x14ac:dyDescent="0.2">
      <c r="A8" s="408">
        <v>0.20833333333333301</v>
      </c>
      <c r="B8" s="409">
        <v>0.21875</v>
      </c>
      <c r="C8" s="621"/>
      <c r="D8" s="621"/>
      <c r="E8" s="621"/>
      <c r="F8" s="621"/>
      <c r="G8" s="621"/>
      <c r="H8" s="621"/>
      <c r="I8" s="621"/>
      <c r="J8" s="621"/>
      <c r="K8" s="621"/>
      <c r="L8" s="621"/>
      <c r="M8" s="621"/>
      <c r="N8" s="621"/>
      <c r="O8" s="207">
        <f t="shared" ref="O8:O11" si="0">SUM(C8:N8)</f>
        <v>0</v>
      </c>
      <c r="P8" s="299"/>
      <c r="Q8" s="213"/>
      <c r="R8" s="131"/>
      <c r="S8" s="131"/>
      <c r="T8" s="131"/>
      <c r="U8" s="131"/>
      <c r="V8" s="131"/>
      <c r="W8" s="131"/>
      <c r="X8" s="131"/>
      <c r="Y8" s="131"/>
      <c r="Z8" s="131"/>
      <c r="AA8" s="131"/>
      <c r="AB8" s="131"/>
      <c r="AC8" s="131"/>
      <c r="AD8" s="131"/>
      <c r="AE8" s="131"/>
      <c r="AG8" s="662">
        <f t="shared" ref="AG8:AG39" si="1">B8</f>
        <v>0.21875</v>
      </c>
      <c r="AH8" s="260">
        <f t="shared" ref="AH8:AH39" si="2">SUM(C8:E8)</f>
        <v>0</v>
      </c>
      <c r="AI8" s="260">
        <f t="shared" ref="AI8:AI39" si="3">SUM(F8:H8)</f>
        <v>0</v>
      </c>
      <c r="AJ8" s="260">
        <f t="shared" ref="AJ8:AJ39" si="4">SUM(I8:K8)</f>
        <v>0</v>
      </c>
      <c r="AK8" s="260">
        <f t="shared" ref="AK8:AK39" si="5">SUM(L8:N8)</f>
        <v>0</v>
      </c>
      <c r="AM8" s="663" t="str">
        <f>IF(O8=0,"",O8*4/hr!$O$51)</f>
        <v/>
      </c>
      <c r="AN8" s="663"/>
      <c r="AP8" s="366">
        <f>IF(P8=$P$65,B8,0)</f>
        <v>0</v>
      </c>
      <c r="AQ8" s="364"/>
      <c r="AR8" s="364"/>
      <c r="AS8" s="364"/>
      <c r="AT8" s="364"/>
      <c r="AU8" s="364"/>
      <c r="AV8" s="364"/>
      <c r="AW8" s="364"/>
      <c r="AX8" s="364"/>
      <c r="AY8" s="364"/>
      <c r="AZ8" s="364"/>
      <c r="BA8" s="364"/>
      <c r="BB8" s="364"/>
      <c r="BC8" s="14"/>
      <c r="BD8" s="14"/>
      <c r="BF8" s="14"/>
      <c r="BG8" s="14"/>
      <c r="BI8" s="311"/>
    </row>
    <row r="9" spans="1:61" x14ac:dyDescent="0.2">
      <c r="A9" s="408">
        <v>0.21875</v>
      </c>
      <c r="B9" s="409">
        <v>0.22916666666666699</v>
      </c>
      <c r="C9" s="621"/>
      <c r="D9" s="621"/>
      <c r="E9" s="621"/>
      <c r="F9" s="621"/>
      <c r="G9" s="621"/>
      <c r="H9" s="621"/>
      <c r="I9" s="621"/>
      <c r="J9" s="621"/>
      <c r="K9" s="621"/>
      <c r="L9" s="621"/>
      <c r="M9" s="621"/>
      <c r="N9" s="621"/>
      <c r="O9" s="23">
        <f t="shared" si="0"/>
        <v>0</v>
      </c>
      <c r="P9" s="301"/>
      <c r="Q9" s="213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  <c r="AE9" s="131"/>
      <c r="AG9" s="662">
        <f t="shared" si="1"/>
        <v>0.22916666666666699</v>
      </c>
      <c r="AH9" s="260">
        <f t="shared" si="2"/>
        <v>0</v>
      </c>
      <c r="AI9" s="260">
        <f t="shared" si="3"/>
        <v>0</v>
      </c>
      <c r="AJ9" s="260">
        <f t="shared" si="4"/>
        <v>0</v>
      </c>
      <c r="AK9" s="260">
        <f t="shared" si="5"/>
        <v>0</v>
      </c>
      <c r="AM9" s="663" t="str">
        <f>IF(O9=0,"",O9*4/hr!$O$51)</f>
        <v/>
      </c>
      <c r="AN9" s="663"/>
      <c r="AP9" s="366">
        <f t="shared" ref="AP9:AP11" si="6">IF(P9=$P$65,B9,0)</f>
        <v>0</v>
      </c>
      <c r="AQ9" s="364"/>
      <c r="AR9" s="364"/>
      <c r="AS9" s="364"/>
      <c r="AT9" s="364"/>
      <c r="AU9" s="364"/>
      <c r="AV9" s="364"/>
      <c r="AW9" s="364"/>
      <c r="AX9" s="364"/>
      <c r="AY9" s="364"/>
      <c r="AZ9" s="364"/>
      <c r="BA9" s="364"/>
      <c r="BB9" s="364"/>
      <c r="BI9" s="311"/>
    </row>
    <row r="10" spans="1:61" x14ac:dyDescent="0.2">
      <c r="A10" s="408">
        <v>0.22916666666666699</v>
      </c>
      <c r="B10" s="409">
        <v>0.23958333333333301</v>
      </c>
      <c r="C10" s="621"/>
      <c r="D10" s="621"/>
      <c r="E10" s="621"/>
      <c r="F10" s="621"/>
      <c r="G10" s="621"/>
      <c r="H10" s="621"/>
      <c r="I10" s="621"/>
      <c r="J10" s="621"/>
      <c r="K10" s="621"/>
      <c r="L10" s="621"/>
      <c r="M10" s="621"/>
      <c r="N10" s="621"/>
      <c r="O10" s="23">
        <f t="shared" si="0"/>
        <v>0</v>
      </c>
      <c r="P10" s="301"/>
      <c r="Q10" s="213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G10" s="662">
        <f t="shared" si="1"/>
        <v>0.23958333333333301</v>
      </c>
      <c r="AH10" s="260">
        <f t="shared" si="2"/>
        <v>0</v>
      </c>
      <c r="AI10" s="260">
        <f t="shared" si="3"/>
        <v>0</v>
      </c>
      <c r="AJ10" s="260">
        <f t="shared" si="4"/>
        <v>0</v>
      </c>
      <c r="AK10" s="260">
        <f t="shared" si="5"/>
        <v>0</v>
      </c>
      <c r="AM10" s="663" t="str">
        <f>IF(O10=0,"",O10*4/hr!$O$51)</f>
        <v/>
      </c>
      <c r="AN10" s="663"/>
      <c r="AP10" s="366">
        <f t="shared" si="6"/>
        <v>0</v>
      </c>
      <c r="AQ10" s="364"/>
      <c r="AR10" s="364"/>
      <c r="AS10" s="364"/>
      <c r="AT10" s="364"/>
      <c r="AU10" s="364"/>
      <c r="AV10" s="364"/>
      <c r="AW10" s="364"/>
      <c r="AX10" s="364"/>
      <c r="AY10" s="364"/>
      <c r="AZ10" s="364"/>
      <c r="BA10" s="364"/>
      <c r="BB10" s="364"/>
    </row>
    <row r="11" spans="1:61" x14ac:dyDescent="0.2">
      <c r="A11" s="410">
        <v>0.23958333333333301</v>
      </c>
      <c r="B11" s="411">
        <v>0.25</v>
      </c>
      <c r="C11" s="621"/>
      <c r="D11" s="621"/>
      <c r="E11" s="621"/>
      <c r="F11" s="621"/>
      <c r="G11" s="621"/>
      <c r="H11" s="621"/>
      <c r="I11" s="621"/>
      <c r="J11" s="621"/>
      <c r="K11" s="621"/>
      <c r="L11" s="621"/>
      <c r="M11" s="621"/>
      <c r="N11" s="621"/>
      <c r="O11" s="23">
        <f t="shared" si="0"/>
        <v>0</v>
      </c>
      <c r="P11" s="301">
        <f>SUM(O8:O11)</f>
        <v>0</v>
      </c>
      <c r="Q11" s="213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G11" s="662">
        <f t="shared" si="1"/>
        <v>0.25</v>
      </c>
      <c r="AH11" s="260">
        <f t="shared" si="2"/>
        <v>0</v>
      </c>
      <c r="AI11" s="260">
        <f t="shared" si="3"/>
        <v>0</v>
      </c>
      <c r="AJ11" s="260">
        <f t="shared" si="4"/>
        <v>0</v>
      </c>
      <c r="AK11" s="260">
        <f t="shared" si="5"/>
        <v>0</v>
      </c>
      <c r="AM11" s="663" t="str">
        <f>IF(O11=0,"",O11*4/hr!$O$51)</f>
        <v/>
      </c>
      <c r="AN11" s="663">
        <f>hr!$O$40</f>
        <v>9.6628032515969603E-2</v>
      </c>
      <c r="AP11" s="366">
        <f t="shared" si="6"/>
        <v>0</v>
      </c>
      <c r="AQ11" s="365">
        <f t="shared" ref="AQ11:AQ14" si="7">SUM(C8:C11)</f>
        <v>0</v>
      </c>
      <c r="AR11" s="365">
        <f t="shared" ref="AR11:AR14" si="8">SUM(D8:D11)</f>
        <v>0</v>
      </c>
      <c r="AS11" s="365">
        <f t="shared" ref="AS11:AS14" si="9">SUM(E8:E11)</f>
        <v>0</v>
      </c>
      <c r="AT11" s="365">
        <f t="shared" ref="AT11:AT14" si="10">SUM(F8:F11)</f>
        <v>0</v>
      </c>
      <c r="AU11" s="365">
        <f t="shared" ref="AU11:AU14" si="11">SUM(G8:G11)</f>
        <v>0</v>
      </c>
      <c r="AV11" s="365">
        <f t="shared" ref="AV11:AV14" si="12">SUM(H8:H11)</f>
        <v>0</v>
      </c>
      <c r="AW11" s="365">
        <f t="shared" ref="AW11:AW14" si="13">SUM(I8:I11)</f>
        <v>0</v>
      </c>
      <c r="AX11" s="365">
        <f t="shared" ref="AX11:AX14" si="14">SUM(J8:J11)</f>
        <v>0</v>
      </c>
      <c r="AY11" s="365">
        <f t="shared" ref="AY11:AY14" si="15">SUM(K8:K11)</f>
        <v>0</v>
      </c>
      <c r="AZ11" s="365">
        <f t="shared" ref="AZ11:AZ14" si="16">SUM(L8:L11)</f>
        <v>0</v>
      </c>
      <c r="BA11" s="365">
        <f t="shared" ref="BA11:BA14" si="17">SUM(M8:M11)</f>
        <v>0</v>
      </c>
      <c r="BB11" s="365">
        <f t="shared" ref="BB11:BB14" si="18">SUM(N8:N11)</f>
        <v>0</v>
      </c>
    </row>
    <row r="12" spans="1:61" x14ac:dyDescent="0.2">
      <c r="A12" s="300">
        <v>0.25</v>
      </c>
      <c r="B12" s="13">
        <v>0.26041666666666669</v>
      </c>
      <c r="C12" s="621">
        <v>8</v>
      </c>
      <c r="D12" s="621">
        <v>24</v>
      </c>
      <c r="E12" s="621">
        <v>5</v>
      </c>
      <c r="F12" s="621">
        <v>2</v>
      </c>
      <c r="G12" s="621">
        <v>38</v>
      </c>
      <c r="H12" s="621">
        <v>7</v>
      </c>
      <c r="I12" s="621">
        <v>15</v>
      </c>
      <c r="J12" s="621">
        <v>126</v>
      </c>
      <c r="K12" s="621">
        <v>6</v>
      </c>
      <c r="L12" s="621">
        <v>4</v>
      </c>
      <c r="M12" s="621">
        <v>173</v>
      </c>
      <c r="N12" s="621">
        <v>21</v>
      </c>
      <c r="O12" s="207">
        <f t="shared" ref="O12:O57" si="19">SUM(C12:N12)</f>
        <v>429</v>
      </c>
      <c r="P12" s="301">
        <f t="shared" ref="P12:P14" si="20">SUM(O9:O12)</f>
        <v>429</v>
      </c>
      <c r="Q12" s="213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G12" s="662">
        <f t="shared" si="1"/>
        <v>0.26041666666666669</v>
      </c>
      <c r="AH12" s="260">
        <f t="shared" si="2"/>
        <v>37</v>
      </c>
      <c r="AI12" s="260">
        <f t="shared" si="3"/>
        <v>47</v>
      </c>
      <c r="AJ12" s="260">
        <f t="shared" si="4"/>
        <v>147</v>
      </c>
      <c r="AK12" s="260">
        <f t="shared" si="5"/>
        <v>198</v>
      </c>
      <c r="AM12" s="663">
        <f>IF(O12=0,"",O12*4/hr!$O$51)</f>
        <v>3.1578048697173691E-2</v>
      </c>
      <c r="AN12" s="663">
        <f>hr!$O$40</f>
        <v>9.6628032515969603E-2</v>
      </c>
      <c r="AP12" s="366">
        <f>IF(P12=$P$65,B12,0)</f>
        <v>0</v>
      </c>
      <c r="AQ12" s="365">
        <f t="shared" si="7"/>
        <v>8</v>
      </c>
      <c r="AR12" s="365">
        <f t="shared" si="8"/>
        <v>24</v>
      </c>
      <c r="AS12" s="365">
        <f t="shared" si="9"/>
        <v>5</v>
      </c>
      <c r="AT12" s="365">
        <f t="shared" si="10"/>
        <v>2</v>
      </c>
      <c r="AU12" s="365">
        <f t="shared" si="11"/>
        <v>38</v>
      </c>
      <c r="AV12" s="365">
        <f t="shared" si="12"/>
        <v>7</v>
      </c>
      <c r="AW12" s="365">
        <f t="shared" si="13"/>
        <v>15</v>
      </c>
      <c r="AX12" s="365">
        <f t="shared" si="14"/>
        <v>126</v>
      </c>
      <c r="AY12" s="365">
        <f t="shared" si="15"/>
        <v>6</v>
      </c>
      <c r="AZ12" s="365">
        <f t="shared" si="16"/>
        <v>4</v>
      </c>
      <c r="BA12" s="365">
        <f t="shared" si="17"/>
        <v>173</v>
      </c>
      <c r="BB12" s="365">
        <f t="shared" si="18"/>
        <v>21</v>
      </c>
      <c r="BI12" s="311"/>
    </row>
    <row r="13" spans="1:61" x14ac:dyDescent="0.2">
      <c r="A13" s="300">
        <v>0.26041666666666669</v>
      </c>
      <c r="B13" s="13">
        <v>0.27083333333333337</v>
      </c>
      <c r="C13" s="621">
        <v>13</v>
      </c>
      <c r="D13" s="621">
        <v>23</v>
      </c>
      <c r="E13" s="621">
        <v>10</v>
      </c>
      <c r="F13" s="621">
        <v>5</v>
      </c>
      <c r="G13" s="621">
        <v>75</v>
      </c>
      <c r="H13" s="621">
        <v>18</v>
      </c>
      <c r="I13" s="621">
        <v>17</v>
      </c>
      <c r="J13" s="621">
        <v>186</v>
      </c>
      <c r="K13" s="621">
        <v>4</v>
      </c>
      <c r="L13" s="621">
        <v>4</v>
      </c>
      <c r="M13" s="621">
        <v>212</v>
      </c>
      <c r="N13" s="621">
        <v>38</v>
      </c>
      <c r="O13" s="23">
        <f t="shared" si="19"/>
        <v>605</v>
      </c>
      <c r="P13" s="301">
        <f t="shared" si="20"/>
        <v>1034</v>
      </c>
      <c r="Q13" s="213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G13" s="662">
        <f t="shared" si="1"/>
        <v>0.27083333333333337</v>
      </c>
      <c r="AH13" s="260">
        <f t="shared" si="2"/>
        <v>46</v>
      </c>
      <c r="AI13" s="260">
        <f t="shared" si="3"/>
        <v>98</v>
      </c>
      <c r="AJ13" s="260">
        <f t="shared" si="4"/>
        <v>207</v>
      </c>
      <c r="AK13" s="260">
        <f t="shared" si="5"/>
        <v>254</v>
      </c>
      <c r="AM13" s="663">
        <f>IF(O13=0,"",O13*4/hr!$O$51)</f>
        <v>4.453314559857828E-2</v>
      </c>
      <c r="AN13" s="663">
        <f>hr!$O$40</f>
        <v>9.6628032515969603E-2</v>
      </c>
      <c r="AP13" s="366">
        <f t="shared" ref="AP13:AP35" si="21">IF(P13=$P$65,B13,0)</f>
        <v>0</v>
      </c>
      <c r="AQ13" s="365">
        <f t="shared" si="7"/>
        <v>21</v>
      </c>
      <c r="AR13" s="365">
        <f t="shared" si="8"/>
        <v>47</v>
      </c>
      <c r="AS13" s="365">
        <f t="shared" si="9"/>
        <v>15</v>
      </c>
      <c r="AT13" s="365">
        <f t="shared" si="10"/>
        <v>7</v>
      </c>
      <c r="AU13" s="365">
        <f t="shared" si="11"/>
        <v>113</v>
      </c>
      <c r="AV13" s="365">
        <f t="shared" si="12"/>
        <v>25</v>
      </c>
      <c r="AW13" s="365">
        <f t="shared" si="13"/>
        <v>32</v>
      </c>
      <c r="AX13" s="365">
        <f t="shared" si="14"/>
        <v>312</v>
      </c>
      <c r="AY13" s="365">
        <f t="shared" si="15"/>
        <v>10</v>
      </c>
      <c r="AZ13" s="365">
        <f t="shared" si="16"/>
        <v>8</v>
      </c>
      <c r="BA13" s="365">
        <f t="shared" si="17"/>
        <v>385</v>
      </c>
      <c r="BB13" s="365">
        <f t="shared" si="18"/>
        <v>59</v>
      </c>
      <c r="BI13" s="311"/>
    </row>
    <row r="14" spans="1:61" x14ac:dyDescent="0.2">
      <c r="A14" s="300">
        <v>0.27083333333333337</v>
      </c>
      <c r="B14" s="13">
        <v>0.28125000000000006</v>
      </c>
      <c r="C14" s="621">
        <v>20</v>
      </c>
      <c r="D14" s="621">
        <v>43</v>
      </c>
      <c r="E14" s="621">
        <v>12</v>
      </c>
      <c r="F14" s="621">
        <v>6</v>
      </c>
      <c r="G14" s="621">
        <v>100</v>
      </c>
      <c r="H14" s="621">
        <v>17</v>
      </c>
      <c r="I14" s="621">
        <v>19</v>
      </c>
      <c r="J14" s="621">
        <v>199</v>
      </c>
      <c r="K14" s="621">
        <v>7</v>
      </c>
      <c r="L14" s="621">
        <v>12</v>
      </c>
      <c r="M14" s="621">
        <v>295</v>
      </c>
      <c r="N14" s="621">
        <v>42</v>
      </c>
      <c r="O14" s="23">
        <f t="shared" si="19"/>
        <v>772</v>
      </c>
      <c r="P14" s="301">
        <f t="shared" si="20"/>
        <v>1806</v>
      </c>
      <c r="Q14" s="213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G14" s="662">
        <f t="shared" si="1"/>
        <v>0.28125000000000006</v>
      </c>
      <c r="AH14" s="260">
        <f t="shared" si="2"/>
        <v>75</v>
      </c>
      <c r="AI14" s="260">
        <f t="shared" si="3"/>
        <v>123</v>
      </c>
      <c r="AJ14" s="260">
        <f t="shared" si="4"/>
        <v>225</v>
      </c>
      <c r="AK14" s="260">
        <f t="shared" si="5"/>
        <v>349</v>
      </c>
      <c r="AM14" s="663">
        <f>IF(O14=0,"",O14*4/hr!$O$51)</f>
        <v>5.6825765953888316E-2</v>
      </c>
      <c r="AN14" s="663">
        <f>hr!$O$40</f>
        <v>9.6628032515969603E-2</v>
      </c>
      <c r="AP14" s="366">
        <f t="shared" si="21"/>
        <v>0</v>
      </c>
      <c r="AQ14" s="365">
        <f t="shared" si="7"/>
        <v>41</v>
      </c>
      <c r="AR14" s="365">
        <f t="shared" si="8"/>
        <v>90</v>
      </c>
      <c r="AS14" s="365">
        <f t="shared" si="9"/>
        <v>27</v>
      </c>
      <c r="AT14" s="365">
        <f t="shared" si="10"/>
        <v>13</v>
      </c>
      <c r="AU14" s="365">
        <f t="shared" si="11"/>
        <v>213</v>
      </c>
      <c r="AV14" s="365">
        <f t="shared" si="12"/>
        <v>42</v>
      </c>
      <c r="AW14" s="365">
        <f t="shared" si="13"/>
        <v>51</v>
      </c>
      <c r="AX14" s="365">
        <f t="shared" si="14"/>
        <v>511</v>
      </c>
      <c r="AY14" s="365">
        <f t="shared" si="15"/>
        <v>17</v>
      </c>
      <c r="AZ14" s="365">
        <f t="shared" si="16"/>
        <v>20</v>
      </c>
      <c r="BA14" s="365">
        <f t="shared" si="17"/>
        <v>680</v>
      </c>
      <c r="BB14" s="365">
        <f t="shared" si="18"/>
        <v>101</v>
      </c>
    </row>
    <row r="15" spans="1:61" x14ac:dyDescent="0.2">
      <c r="A15" s="302">
        <v>0.28125000000000006</v>
      </c>
      <c r="B15" s="99">
        <v>0.29166666666666674</v>
      </c>
      <c r="C15" s="621">
        <v>12</v>
      </c>
      <c r="D15" s="621">
        <v>61</v>
      </c>
      <c r="E15" s="621">
        <v>18</v>
      </c>
      <c r="F15" s="621">
        <v>5</v>
      </c>
      <c r="G15" s="621">
        <v>132</v>
      </c>
      <c r="H15" s="621">
        <v>26</v>
      </c>
      <c r="I15" s="621">
        <v>14</v>
      </c>
      <c r="J15" s="621">
        <v>218</v>
      </c>
      <c r="K15" s="621">
        <v>7</v>
      </c>
      <c r="L15" s="621">
        <v>6</v>
      </c>
      <c r="M15" s="621">
        <v>272</v>
      </c>
      <c r="N15" s="621">
        <v>69</v>
      </c>
      <c r="O15" s="23">
        <f t="shared" si="19"/>
        <v>840</v>
      </c>
      <c r="P15" s="301">
        <f>SUM(O12:O15)</f>
        <v>2646</v>
      </c>
      <c r="Q15" s="213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G15" s="662">
        <f t="shared" si="1"/>
        <v>0.29166666666666674</v>
      </c>
      <c r="AH15" s="260">
        <f t="shared" si="2"/>
        <v>91</v>
      </c>
      <c r="AI15" s="260">
        <f t="shared" si="3"/>
        <v>163</v>
      </c>
      <c r="AJ15" s="260">
        <f t="shared" si="4"/>
        <v>239</v>
      </c>
      <c r="AK15" s="260">
        <f t="shared" si="5"/>
        <v>347</v>
      </c>
      <c r="AM15" s="663">
        <f>IF(O15=0,"",O15*4/hr!$O$51)</f>
        <v>6.1831144302158275E-2</v>
      </c>
      <c r="AN15" s="663">
        <f>hr!$O$40</f>
        <v>9.6628032515969603E-2</v>
      </c>
      <c r="AP15" s="366">
        <f t="shared" si="21"/>
        <v>0</v>
      </c>
      <c r="AQ15" s="365">
        <f>SUM(C12:C15)</f>
        <v>53</v>
      </c>
      <c r="AR15" s="365">
        <f t="shared" ref="AR15:BB15" si="22">SUM(D12:D15)</f>
        <v>151</v>
      </c>
      <c r="AS15" s="365">
        <f t="shared" si="22"/>
        <v>45</v>
      </c>
      <c r="AT15" s="365">
        <f t="shared" si="22"/>
        <v>18</v>
      </c>
      <c r="AU15" s="365">
        <f t="shared" si="22"/>
        <v>345</v>
      </c>
      <c r="AV15" s="365">
        <f t="shared" si="22"/>
        <v>68</v>
      </c>
      <c r="AW15" s="365">
        <f t="shared" si="22"/>
        <v>65</v>
      </c>
      <c r="AX15" s="365">
        <f t="shared" si="22"/>
        <v>729</v>
      </c>
      <c r="AY15" s="365">
        <f t="shared" si="22"/>
        <v>24</v>
      </c>
      <c r="AZ15" s="365">
        <f t="shared" si="22"/>
        <v>26</v>
      </c>
      <c r="BA15" s="365">
        <f t="shared" si="22"/>
        <v>952</v>
      </c>
      <c r="BB15" s="365">
        <f t="shared" si="22"/>
        <v>170</v>
      </c>
    </row>
    <row r="16" spans="1:61" x14ac:dyDescent="0.2">
      <c r="A16" s="798">
        <v>0.29166666666666674</v>
      </c>
      <c r="B16" s="799">
        <v>0.30208333333333343</v>
      </c>
      <c r="C16" s="621">
        <v>18</v>
      </c>
      <c r="D16" s="621">
        <v>93</v>
      </c>
      <c r="E16" s="621">
        <v>11</v>
      </c>
      <c r="F16" s="621">
        <v>16</v>
      </c>
      <c r="G16" s="621">
        <v>129</v>
      </c>
      <c r="H16" s="621">
        <v>50</v>
      </c>
      <c r="I16" s="621">
        <v>18</v>
      </c>
      <c r="J16" s="621">
        <v>207</v>
      </c>
      <c r="K16" s="621">
        <v>12</v>
      </c>
      <c r="L16" s="621">
        <v>25</v>
      </c>
      <c r="M16" s="621">
        <v>339</v>
      </c>
      <c r="N16" s="621">
        <v>77</v>
      </c>
      <c r="O16" s="23">
        <f t="shared" si="19"/>
        <v>995</v>
      </c>
      <c r="P16" s="301">
        <f t="shared" ref="P16:P35" si="23">SUM(O13:O16)</f>
        <v>3212</v>
      </c>
      <c r="Q16" s="213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G16" s="662">
        <f t="shared" si="1"/>
        <v>0.30208333333333343</v>
      </c>
      <c r="AH16" s="260">
        <f t="shared" si="2"/>
        <v>122</v>
      </c>
      <c r="AI16" s="260">
        <f t="shared" si="3"/>
        <v>195</v>
      </c>
      <c r="AJ16" s="260">
        <f t="shared" si="4"/>
        <v>237</v>
      </c>
      <c r="AK16" s="260">
        <f t="shared" si="5"/>
        <v>441</v>
      </c>
      <c r="AM16" s="663">
        <f>IF(O16=0,"",O16*4/hr!$O$51)</f>
        <v>7.3240462596008901E-2</v>
      </c>
      <c r="AN16" s="663">
        <f>hr!$O$40</f>
        <v>9.6628032515969603E-2</v>
      </c>
      <c r="AP16" s="366">
        <f t="shared" si="21"/>
        <v>0</v>
      </c>
      <c r="AQ16" s="365">
        <f t="shared" ref="AQ16:AQ59" si="24">SUM(C13:C16)</f>
        <v>63</v>
      </c>
      <c r="AR16" s="365">
        <f t="shared" ref="AR16:AR59" si="25">SUM(D13:D16)</f>
        <v>220</v>
      </c>
      <c r="AS16" s="365">
        <f t="shared" ref="AS16:AS59" si="26">SUM(E13:E16)</f>
        <v>51</v>
      </c>
      <c r="AT16" s="365">
        <f t="shared" ref="AT16:AT59" si="27">SUM(F13:F16)</f>
        <v>32</v>
      </c>
      <c r="AU16" s="365">
        <f t="shared" ref="AU16:AU59" si="28">SUM(G13:G16)</f>
        <v>436</v>
      </c>
      <c r="AV16" s="365">
        <f t="shared" ref="AV16:AV59" si="29">SUM(H13:H16)</f>
        <v>111</v>
      </c>
      <c r="AW16" s="365">
        <f t="shared" ref="AW16:AW59" si="30">SUM(I13:I16)</f>
        <v>68</v>
      </c>
      <c r="AX16" s="365">
        <f t="shared" ref="AX16:AX59" si="31">SUM(J13:J16)</f>
        <v>810</v>
      </c>
      <c r="AY16" s="365">
        <f t="shared" ref="AY16:AY59" si="32">SUM(K13:K16)</f>
        <v>30</v>
      </c>
      <c r="AZ16" s="365">
        <f t="shared" ref="AZ16:AZ59" si="33">SUM(L13:L16)</f>
        <v>47</v>
      </c>
      <c r="BA16" s="365">
        <f t="shared" ref="BA16:BA59" si="34">SUM(M13:M16)</f>
        <v>1118</v>
      </c>
      <c r="BB16" s="365">
        <f t="shared" ref="BB16:BB59" si="35">SUM(N13:N16)</f>
        <v>226</v>
      </c>
    </row>
    <row r="17" spans="1:54" x14ac:dyDescent="0.2">
      <c r="A17" s="798">
        <v>0.30208333333333343</v>
      </c>
      <c r="B17" s="799">
        <v>0.31250000000000011</v>
      </c>
      <c r="C17" s="621">
        <v>20</v>
      </c>
      <c r="D17" s="621">
        <v>103</v>
      </c>
      <c r="E17" s="621">
        <v>13</v>
      </c>
      <c r="F17" s="621">
        <v>18</v>
      </c>
      <c r="G17" s="621">
        <v>198</v>
      </c>
      <c r="H17" s="621">
        <v>54</v>
      </c>
      <c r="I17" s="621">
        <v>32</v>
      </c>
      <c r="J17" s="621">
        <v>308</v>
      </c>
      <c r="K17" s="621">
        <v>10</v>
      </c>
      <c r="L17" s="621">
        <v>16</v>
      </c>
      <c r="M17" s="621">
        <v>387</v>
      </c>
      <c r="N17" s="621">
        <v>61</v>
      </c>
      <c r="O17" s="23">
        <f t="shared" si="19"/>
        <v>1220</v>
      </c>
      <c r="P17" s="301">
        <f t="shared" si="23"/>
        <v>3827</v>
      </c>
      <c r="Q17" s="213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G17" s="662">
        <f t="shared" si="1"/>
        <v>0.31250000000000011</v>
      </c>
      <c r="AH17" s="260">
        <f t="shared" si="2"/>
        <v>136</v>
      </c>
      <c r="AI17" s="260">
        <f t="shared" si="3"/>
        <v>270</v>
      </c>
      <c r="AJ17" s="260">
        <f t="shared" si="4"/>
        <v>350</v>
      </c>
      <c r="AK17" s="260">
        <f t="shared" si="5"/>
        <v>464</v>
      </c>
      <c r="AM17" s="663">
        <f>IF(O17=0,"",O17*4/hr!$O$51)</f>
        <v>8.9802376248372728E-2</v>
      </c>
      <c r="AN17" s="663">
        <f>hr!$O$40</f>
        <v>9.6628032515969603E-2</v>
      </c>
      <c r="AP17" s="366">
        <f t="shared" si="21"/>
        <v>0</v>
      </c>
      <c r="AQ17" s="365">
        <f t="shared" si="24"/>
        <v>70</v>
      </c>
      <c r="AR17" s="365">
        <f t="shared" si="25"/>
        <v>300</v>
      </c>
      <c r="AS17" s="365">
        <f t="shared" si="26"/>
        <v>54</v>
      </c>
      <c r="AT17" s="365">
        <f t="shared" si="27"/>
        <v>45</v>
      </c>
      <c r="AU17" s="365">
        <f t="shared" si="28"/>
        <v>559</v>
      </c>
      <c r="AV17" s="365">
        <f t="shared" si="29"/>
        <v>147</v>
      </c>
      <c r="AW17" s="365">
        <f t="shared" si="30"/>
        <v>83</v>
      </c>
      <c r="AX17" s="365">
        <f t="shared" si="31"/>
        <v>932</v>
      </c>
      <c r="AY17" s="365">
        <f t="shared" si="32"/>
        <v>36</v>
      </c>
      <c r="AZ17" s="365">
        <f t="shared" si="33"/>
        <v>59</v>
      </c>
      <c r="BA17" s="365">
        <f t="shared" si="34"/>
        <v>1293</v>
      </c>
      <c r="BB17" s="365">
        <f t="shared" si="35"/>
        <v>249</v>
      </c>
    </row>
    <row r="18" spans="1:54" x14ac:dyDescent="0.2">
      <c r="A18" s="800">
        <v>0.31250000000000011</v>
      </c>
      <c r="B18" s="801">
        <v>0.3229166666666668</v>
      </c>
      <c r="C18" s="621">
        <v>27</v>
      </c>
      <c r="D18" s="621">
        <v>105</v>
      </c>
      <c r="E18" s="621">
        <v>16</v>
      </c>
      <c r="F18" s="621">
        <v>6</v>
      </c>
      <c r="G18" s="621">
        <v>183</v>
      </c>
      <c r="H18" s="621">
        <v>67</v>
      </c>
      <c r="I18" s="621">
        <v>40</v>
      </c>
      <c r="J18" s="621">
        <v>227</v>
      </c>
      <c r="K18" s="621">
        <v>16</v>
      </c>
      <c r="L18" s="621">
        <v>14</v>
      </c>
      <c r="M18" s="621">
        <v>387</v>
      </c>
      <c r="N18" s="621">
        <v>85</v>
      </c>
      <c r="O18" s="23">
        <f t="shared" si="19"/>
        <v>1173</v>
      </c>
      <c r="P18" s="301">
        <f t="shared" si="23"/>
        <v>4228</v>
      </c>
      <c r="Q18" s="213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G18" s="662">
        <f t="shared" si="1"/>
        <v>0.3229166666666668</v>
      </c>
      <c r="AH18" s="260">
        <f t="shared" si="2"/>
        <v>148</v>
      </c>
      <c r="AI18" s="260">
        <f t="shared" si="3"/>
        <v>256</v>
      </c>
      <c r="AJ18" s="260">
        <f t="shared" si="4"/>
        <v>283</v>
      </c>
      <c r="AK18" s="260">
        <f t="shared" si="5"/>
        <v>486</v>
      </c>
      <c r="AM18" s="663">
        <f>IF(O18=0,"",O18*4/hr!$O$51)</f>
        <v>8.6342776507656732E-2</v>
      </c>
      <c r="AN18" s="663">
        <f>hr!$O$40</f>
        <v>9.6628032515969603E-2</v>
      </c>
      <c r="AP18" s="366">
        <f t="shared" si="21"/>
        <v>0</v>
      </c>
      <c r="AQ18" s="365">
        <f t="shared" si="24"/>
        <v>77</v>
      </c>
      <c r="AR18" s="365">
        <f t="shared" si="25"/>
        <v>362</v>
      </c>
      <c r="AS18" s="365">
        <f t="shared" si="26"/>
        <v>58</v>
      </c>
      <c r="AT18" s="365">
        <f t="shared" si="27"/>
        <v>45</v>
      </c>
      <c r="AU18" s="365">
        <f t="shared" si="28"/>
        <v>642</v>
      </c>
      <c r="AV18" s="365">
        <f t="shared" si="29"/>
        <v>197</v>
      </c>
      <c r="AW18" s="365">
        <f t="shared" si="30"/>
        <v>104</v>
      </c>
      <c r="AX18" s="365">
        <f t="shared" si="31"/>
        <v>960</v>
      </c>
      <c r="AY18" s="365">
        <f t="shared" si="32"/>
        <v>45</v>
      </c>
      <c r="AZ18" s="365">
        <f t="shared" si="33"/>
        <v>61</v>
      </c>
      <c r="BA18" s="365">
        <f t="shared" si="34"/>
        <v>1385</v>
      </c>
      <c r="BB18" s="365">
        <f t="shared" si="35"/>
        <v>292</v>
      </c>
    </row>
    <row r="19" spans="1:54" x14ac:dyDescent="0.2">
      <c r="A19" s="802">
        <v>0.3229166666666668</v>
      </c>
      <c r="B19" s="803">
        <v>0.33333333333333348</v>
      </c>
      <c r="C19" s="621">
        <v>18</v>
      </c>
      <c r="D19" s="621">
        <v>111</v>
      </c>
      <c r="E19" s="621">
        <v>17</v>
      </c>
      <c r="F19" s="621">
        <v>10</v>
      </c>
      <c r="G19" s="621">
        <v>164</v>
      </c>
      <c r="H19" s="621">
        <v>60</v>
      </c>
      <c r="I19" s="621">
        <v>44</v>
      </c>
      <c r="J19" s="621">
        <v>237</v>
      </c>
      <c r="K19" s="621">
        <v>17</v>
      </c>
      <c r="L19" s="621">
        <v>14</v>
      </c>
      <c r="M19" s="621">
        <v>393</v>
      </c>
      <c r="N19" s="621">
        <v>72</v>
      </c>
      <c r="O19" s="23">
        <f t="shared" si="19"/>
        <v>1157</v>
      </c>
      <c r="P19" s="301">
        <f t="shared" si="23"/>
        <v>4545</v>
      </c>
      <c r="Q19" s="213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G19" s="662">
        <f t="shared" si="1"/>
        <v>0.33333333333333348</v>
      </c>
      <c r="AH19" s="260">
        <f t="shared" si="2"/>
        <v>146</v>
      </c>
      <c r="AI19" s="260">
        <f t="shared" si="3"/>
        <v>234</v>
      </c>
      <c r="AJ19" s="260">
        <f t="shared" si="4"/>
        <v>298</v>
      </c>
      <c r="AK19" s="260">
        <f t="shared" si="5"/>
        <v>479</v>
      </c>
      <c r="AM19" s="663">
        <f>IF(O19=0,"",O19*4/hr!$O$51)</f>
        <v>8.5165040425710867E-2</v>
      </c>
      <c r="AN19" s="663">
        <f>hr!$O$40</f>
        <v>9.6628032515969603E-2</v>
      </c>
      <c r="AP19" s="366">
        <f t="shared" si="21"/>
        <v>0</v>
      </c>
      <c r="AQ19" s="365">
        <f t="shared" si="24"/>
        <v>83</v>
      </c>
      <c r="AR19" s="365">
        <f t="shared" si="25"/>
        <v>412</v>
      </c>
      <c r="AS19" s="365">
        <f t="shared" si="26"/>
        <v>57</v>
      </c>
      <c r="AT19" s="365">
        <f t="shared" si="27"/>
        <v>50</v>
      </c>
      <c r="AU19" s="365">
        <f t="shared" si="28"/>
        <v>674</v>
      </c>
      <c r="AV19" s="365">
        <f t="shared" si="29"/>
        <v>231</v>
      </c>
      <c r="AW19" s="365">
        <f t="shared" si="30"/>
        <v>134</v>
      </c>
      <c r="AX19" s="365">
        <f t="shared" si="31"/>
        <v>979</v>
      </c>
      <c r="AY19" s="365">
        <f t="shared" si="32"/>
        <v>55</v>
      </c>
      <c r="AZ19" s="365">
        <f t="shared" si="33"/>
        <v>69</v>
      </c>
      <c r="BA19" s="365">
        <f t="shared" si="34"/>
        <v>1506</v>
      </c>
      <c r="BB19" s="365">
        <f t="shared" si="35"/>
        <v>295</v>
      </c>
    </row>
    <row r="20" spans="1:54" x14ac:dyDescent="0.2">
      <c r="A20" s="300">
        <v>0.33333333333333348</v>
      </c>
      <c r="B20" s="13">
        <v>0.34375000000000017</v>
      </c>
      <c r="C20" s="621">
        <v>19</v>
      </c>
      <c r="D20" s="621">
        <v>113</v>
      </c>
      <c r="E20" s="621">
        <v>11</v>
      </c>
      <c r="F20" s="621">
        <v>11</v>
      </c>
      <c r="G20" s="621">
        <v>150</v>
      </c>
      <c r="H20" s="621">
        <v>51</v>
      </c>
      <c r="I20" s="621">
        <v>46</v>
      </c>
      <c r="J20" s="621">
        <v>301</v>
      </c>
      <c r="K20" s="621">
        <v>10</v>
      </c>
      <c r="L20" s="621">
        <v>7</v>
      </c>
      <c r="M20" s="621">
        <v>362</v>
      </c>
      <c r="N20" s="621">
        <v>59</v>
      </c>
      <c r="O20" s="23">
        <f t="shared" si="19"/>
        <v>1140</v>
      </c>
      <c r="P20" s="301">
        <f t="shared" si="23"/>
        <v>4690</v>
      </c>
      <c r="Q20" s="213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G20" s="662">
        <f t="shared" si="1"/>
        <v>0.34375000000000017</v>
      </c>
      <c r="AH20" s="260">
        <f t="shared" si="2"/>
        <v>143</v>
      </c>
      <c r="AI20" s="260">
        <f t="shared" si="3"/>
        <v>212</v>
      </c>
      <c r="AJ20" s="260">
        <f t="shared" si="4"/>
        <v>357</v>
      </c>
      <c r="AK20" s="260">
        <f t="shared" si="5"/>
        <v>428</v>
      </c>
      <c r="AM20" s="663">
        <f>IF(O20=0,"",O20*4/hr!$O$51)</f>
        <v>8.3913695838643373E-2</v>
      </c>
      <c r="AN20" s="663">
        <f>hr!$O$40</f>
        <v>9.6628032515969603E-2</v>
      </c>
      <c r="AP20" s="366">
        <f>IF(P20=$P$65,B20,0)</f>
        <v>0.34375000000000017</v>
      </c>
      <c r="AQ20" s="365">
        <f t="shared" si="24"/>
        <v>84</v>
      </c>
      <c r="AR20" s="365">
        <f t="shared" si="25"/>
        <v>432</v>
      </c>
      <c r="AS20" s="365">
        <f t="shared" si="26"/>
        <v>57</v>
      </c>
      <c r="AT20" s="365">
        <f t="shared" si="27"/>
        <v>45</v>
      </c>
      <c r="AU20" s="365">
        <f t="shared" si="28"/>
        <v>695</v>
      </c>
      <c r="AV20" s="365">
        <f t="shared" si="29"/>
        <v>232</v>
      </c>
      <c r="AW20" s="365">
        <f t="shared" si="30"/>
        <v>162</v>
      </c>
      <c r="AX20" s="365">
        <f t="shared" si="31"/>
        <v>1073</v>
      </c>
      <c r="AY20" s="365">
        <f t="shared" si="32"/>
        <v>53</v>
      </c>
      <c r="AZ20" s="365">
        <f t="shared" si="33"/>
        <v>51</v>
      </c>
      <c r="BA20" s="365">
        <f t="shared" si="34"/>
        <v>1529</v>
      </c>
      <c r="BB20" s="365">
        <f t="shared" si="35"/>
        <v>277</v>
      </c>
    </row>
    <row r="21" spans="1:54" x14ac:dyDescent="0.2">
      <c r="A21" s="300">
        <v>0.34375000000000017</v>
      </c>
      <c r="B21" s="13">
        <v>0.35416666666666685</v>
      </c>
      <c r="C21" s="621">
        <v>22</v>
      </c>
      <c r="D21" s="621">
        <v>121</v>
      </c>
      <c r="E21" s="621">
        <v>19</v>
      </c>
      <c r="F21" s="621">
        <v>12</v>
      </c>
      <c r="G21" s="621">
        <v>158</v>
      </c>
      <c r="H21" s="621">
        <v>48</v>
      </c>
      <c r="I21" s="621">
        <v>33</v>
      </c>
      <c r="J21" s="621">
        <v>284</v>
      </c>
      <c r="K21" s="621">
        <v>15</v>
      </c>
      <c r="L21" s="621">
        <v>14</v>
      </c>
      <c r="M21" s="621">
        <v>324</v>
      </c>
      <c r="N21" s="621">
        <v>48</v>
      </c>
      <c r="O21" s="23">
        <f t="shared" si="19"/>
        <v>1098</v>
      </c>
      <c r="P21" s="301">
        <f t="shared" si="23"/>
        <v>4568</v>
      </c>
      <c r="Q21" s="213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G21" s="662">
        <f t="shared" si="1"/>
        <v>0.35416666666666685</v>
      </c>
      <c r="AH21" s="260">
        <f t="shared" si="2"/>
        <v>162</v>
      </c>
      <c r="AI21" s="260">
        <f t="shared" si="3"/>
        <v>218</v>
      </c>
      <c r="AJ21" s="260">
        <f t="shared" si="4"/>
        <v>332</v>
      </c>
      <c r="AK21" s="260">
        <f t="shared" si="5"/>
        <v>386</v>
      </c>
      <c r="AM21" s="663">
        <f>IF(O21=0,"",O21*4/hr!$O$51)</f>
        <v>8.0822138623535461E-2</v>
      </c>
      <c r="AN21" s="663">
        <f>hr!$O$40</f>
        <v>9.6628032515969603E-2</v>
      </c>
      <c r="AP21" s="366">
        <f t="shared" si="21"/>
        <v>0</v>
      </c>
      <c r="AQ21" s="365">
        <f t="shared" si="24"/>
        <v>86</v>
      </c>
      <c r="AR21" s="365">
        <f t="shared" si="25"/>
        <v>450</v>
      </c>
      <c r="AS21" s="365">
        <f t="shared" si="26"/>
        <v>63</v>
      </c>
      <c r="AT21" s="365">
        <f t="shared" si="27"/>
        <v>39</v>
      </c>
      <c r="AU21" s="365">
        <f t="shared" si="28"/>
        <v>655</v>
      </c>
      <c r="AV21" s="365">
        <f t="shared" si="29"/>
        <v>226</v>
      </c>
      <c r="AW21" s="365">
        <f t="shared" si="30"/>
        <v>163</v>
      </c>
      <c r="AX21" s="365">
        <f t="shared" si="31"/>
        <v>1049</v>
      </c>
      <c r="AY21" s="365">
        <f t="shared" si="32"/>
        <v>58</v>
      </c>
      <c r="AZ21" s="365">
        <f t="shared" si="33"/>
        <v>49</v>
      </c>
      <c r="BA21" s="365">
        <f t="shared" si="34"/>
        <v>1466</v>
      </c>
      <c r="BB21" s="365">
        <f t="shared" si="35"/>
        <v>264</v>
      </c>
    </row>
    <row r="22" spans="1:54" x14ac:dyDescent="0.2">
      <c r="A22" s="300">
        <v>0.35416666666666685</v>
      </c>
      <c r="B22" s="13">
        <v>0.36458333333333354</v>
      </c>
      <c r="C22" s="621">
        <v>31</v>
      </c>
      <c r="D22" s="621">
        <v>91</v>
      </c>
      <c r="E22" s="621">
        <v>15</v>
      </c>
      <c r="F22" s="621">
        <v>10</v>
      </c>
      <c r="G22" s="621">
        <v>143</v>
      </c>
      <c r="H22" s="621">
        <v>43</v>
      </c>
      <c r="I22" s="621">
        <v>28</v>
      </c>
      <c r="J22" s="621">
        <v>273</v>
      </c>
      <c r="K22" s="621">
        <v>14</v>
      </c>
      <c r="L22" s="621">
        <v>8</v>
      </c>
      <c r="M22" s="621">
        <v>292</v>
      </c>
      <c r="N22" s="621">
        <v>54</v>
      </c>
      <c r="O22" s="23">
        <f>SUM(C22:N22)</f>
        <v>1002</v>
      </c>
      <c r="P22" s="301">
        <f t="shared" si="23"/>
        <v>4397</v>
      </c>
      <c r="Q22" s="213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G22" s="662">
        <f t="shared" si="1"/>
        <v>0.36458333333333354</v>
      </c>
      <c r="AH22" s="260">
        <f t="shared" si="2"/>
        <v>137</v>
      </c>
      <c r="AI22" s="260">
        <f t="shared" si="3"/>
        <v>196</v>
      </c>
      <c r="AJ22" s="260">
        <f t="shared" si="4"/>
        <v>315</v>
      </c>
      <c r="AK22" s="260">
        <f t="shared" si="5"/>
        <v>354</v>
      </c>
      <c r="AM22" s="663">
        <f>IF(O22=0,"",O22*4/hr!$O$51)</f>
        <v>7.3755722131860227E-2</v>
      </c>
      <c r="AN22" s="663"/>
      <c r="AP22" s="366">
        <f t="shared" si="21"/>
        <v>0</v>
      </c>
      <c r="AQ22" s="365">
        <f t="shared" si="24"/>
        <v>90</v>
      </c>
      <c r="AR22" s="365">
        <f t="shared" si="25"/>
        <v>436</v>
      </c>
      <c r="AS22" s="365">
        <f t="shared" si="26"/>
        <v>62</v>
      </c>
      <c r="AT22" s="365">
        <f t="shared" si="27"/>
        <v>43</v>
      </c>
      <c r="AU22" s="365">
        <f t="shared" si="28"/>
        <v>615</v>
      </c>
      <c r="AV22" s="365">
        <f t="shared" si="29"/>
        <v>202</v>
      </c>
      <c r="AW22" s="365">
        <f t="shared" si="30"/>
        <v>151</v>
      </c>
      <c r="AX22" s="365">
        <f t="shared" si="31"/>
        <v>1095</v>
      </c>
      <c r="AY22" s="365">
        <f t="shared" si="32"/>
        <v>56</v>
      </c>
      <c r="AZ22" s="365">
        <f t="shared" si="33"/>
        <v>43</v>
      </c>
      <c r="BA22" s="365">
        <f t="shared" si="34"/>
        <v>1371</v>
      </c>
      <c r="BB22" s="365">
        <f t="shared" si="35"/>
        <v>233</v>
      </c>
    </row>
    <row r="23" spans="1:54" x14ac:dyDescent="0.2">
      <c r="A23" s="302">
        <v>0.36458333333333354</v>
      </c>
      <c r="B23" s="99">
        <v>0.37500000000000022</v>
      </c>
      <c r="C23" s="621">
        <v>36</v>
      </c>
      <c r="D23" s="621">
        <v>81</v>
      </c>
      <c r="E23" s="621">
        <v>10</v>
      </c>
      <c r="F23" s="621">
        <v>15</v>
      </c>
      <c r="G23" s="621">
        <v>149</v>
      </c>
      <c r="H23" s="621">
        <v>37</v>
      </c>
      <c r="I23" s="621">
        <v>21</v>
      </c>
      <c r="J23" s="621">
        <v>266</v>
      </c>
      <c r="K23" s="621">
        <v>16</v>
      </c>
      <c r="L23" s="621">
        <v>11</v>
      </c>
      <c r="M23" s="621">
        <v>277</v>
      </c>
      <c r="N23" s="621">
        <v>67</v>
      </c>
      <c r="O23" s="23">
        <f t="shared" si="19"/>
        <v>986</v>
      </c>
      <c r="P23" s="301">
        <f t="shared" si="23"/>
        <v>4226</v>
      </c>
      <c r="Q23" s="213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G23" s="662">
        <f t="shared" si="1"/>
        <v>0.37500000000000022</v>
      </c>
      <c r="AH23" s="260">
        <f t="shared" si="2"/>
        <v>127</v>
      </c>
      <c r="AI23" s="260">
        <f t="shared" si="3"/>
        <v>201</v>
      </c>
      <c r="AJ23" s="260">
        <f t="shared" si="4"/>
        <v>303</v>
      </c>
      <c r="AK23" s="260">
        <f t="shared" si="5"/>
        <v>355</v>
      </c>
      <c r="AM23" s="663">
        <f>IF(O23=0,"",O23*4/hr!$O$51)</f>
        <v>7.2577986049914361E-2</v>
      </c>
      <c r="AN23" s="663"/>
      <c r="AP23" s="366">
        <f t="shared" si="21"/>
        <v>0</v>
      </c>
      <c r="AQ23" s="365">
        <f t="shared" si="24"/>
        <v>108</v>
      </c>
      <c r="AR23" s="365">
        <f t="shared" si="25"/>
        <v>406</v>
      </c>
      <c r="AS23" s="365">
        <f t="shared" si="26"/>
        <v>55</v>
      </c>
      <c r="AT23" s="365">
        <f t="shared" si="27"/>
        <v>48</v>
      </c>
      <c r="AU23" s="365">
        <f t="shared" si="28"/>
        <v>600</v>
      </c>
      <c r="AV23" s="365">
        <f t="shared" si="29"/>
        <v>179</v>
      </c>
      <c r="AW23" s="365">
        <f t="shared" si="30"/>
        <v>128</v>
      </c>
      <c r="AX23" s="365">
        <f t="shared" si="31"/>
        <v>1124</v>
      </c>
      <c r="AY23" s="365">
        <f t="shared" si="32"/>
        <v>55</v>
      </c>
      <c r="AZ23" s="365">
        <f t="shared" si="33"/>
        <v>40</v>
      </c>
      <c r="BA23" s="365">
        <f t="shared" si="34"/>
        <v>1255</v>
      </c>
      <c r="BB23" s="365">
        <f t="shared" si="35"/>
        <v>228</v>
      </c>
    </row>
    <row r="24" spans="1:54" x14ac:dyDescent="0.2">
      <c r="A24" s="300">
        <v>0.37500000000000022</v>
      </c>
      <c r="B24" s="13">
        <v>0.38541666666666691</v>
      </c>
      <c r="C24" s="621"/>
      <c r="D24" s="621"/>
      <c r="E24" s="621"/>
      <c r="F24" s="621"/>
      <c r="G24" s="621"/>
      <c r="H24" s="621"/>
      <c r="I24" s="621"/>
      <c r="J24" s="621"/>
      <c r="K24" s="621"/>
      <c r="L24" s="621"/>
      <c r="M24" s="621"/>
      <c r="N24" s="621"/>
      <c r="O24" s="23">
        <f t="shared" si="19"/>
        <v>0</v>
      </c>
      <c r="P24" s="301">
        <f t="shared" si="23"/>
        <v>3086</v>
      </c>
      <c r="Q24" s="213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G24" s="662">
        <f t="shared" si="1"/>
        <v>0.38541666666666691</v>
      </c>
      <c r="AH24" s="260">
        <f t="shared" si="2"/>
        <v>0</v>
      </c>
      <c r="AI24" s="260">
        <f t="shared" si="3"/>
        <v>0</v>
      </c>
      <c r="AJ24" s="260">
        <f t="shared" si="4"/>
        <v>0</v>
      </c>
      <c r="AK24" s="260">
        <f t="shared" si="5"/>
        <v>0</v>
      </c>
      <c r="AM24" s="663" t="str">
        <f>IF(O24=0,"",O24*4/hr!$O$51)</f>
        <v/>
      </c>
      <c r="AN24" s="663">
        <f>hr!$O$41</f>
        <v>4.6537493013094462E-2</v>
      </c>
      <c r="AP24" s="366">
        <f t="shared" si="21"/>
        <v>0</v>
      </c>
      <c r="AQ24" s="365">
        <f t="shared" si="24"/>
        <v>89</v>
      </c>
      <c r="AR24" s="365">
        <f t="shared" si="25"/>
        <v>293</v>
      </c>
      <c r="AS24" s="365">
        <f t="shared" si="26"/>
        <v>44</v>
      </c>
      <c r="AT24" s="365">
        <f t="shared" si="27"/>
        <v>37</v>
      </c>
      <c r="AU24" s="365">
        <f t="shared" si="28"/>
        <v>450</v>
      </c>
      <c r="AV24" s="365">
        <f t="shared" si="29"/>
        <v>128</v>
      </c>
      <c r="AW24" s="365">
        <f t="shared" si="30"/>
        <v>82</v>
      </c>
      <c r="AX24" s="365">
        <f t="shared" si="31"/>
        <v>823</v>
      </c>
      <c r="AY24" s="365">
        <f t="shared" si="32"/>
        <v>45</v>
      </c>
      <c r="AZ24" s="365">
        <f t="shared" si="33"/>
        <v>33</v>
      </c>
      <c r="BA24" s="365">
        <f t="shared" si="34"/>
        <v>893</v>
      </c>
      <c r="BB24" s="365">
        <f t="shared" si="35"/>
        <v>169</v>
      </c>
    </row>
    <row r="25" spans="1:54" x14ac:dyDescent="0.2">
      <c r="A25" s="300">
        <v>0.38541666666666691</v>
      </c>
      <c r="B25" s="13">
        <v>0.39583333333333359</v>
      </c>
      <c r="C25" s="621"/>
      <c r="D25" s="621"/>
      <c r="E25" s="621"/>
      <c r="F25" s="621"/>
      <c r="G25" s="621"/>
      <c r="H25" s="621"/>
      <c r="I25" s="621"/>
      <c r="J25" s="621"/>
      <c r="K25" s="621"/>
      <c r="L25" s="621"/>
      <c r="M25" s="621"/>
      <c r="N25" s="621"/>
      <c r="O25" s="23">
        <f>SUM(C25:N25)</f>
        <v>0</v>
      </c>
      <c r="P25" s="301">
        <f>SUM(O22:O25)</f>
        <v>1988</v>
      </c>
      <c r="Q25" s="213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G25" s="662">
        <f t="shared" si="1"/>
        <v>0.39583333333333359</v>
      </c>
      <c r="AH25" s="260">
        <f t="shared" si="2"/>
        <v>0</v>
      </c>
      <c r="AI25" s="260">
        <f t="shared" si="3"/>
        <v>0</v>
      </c>
      <c r="AJ25" s="260">
        <f t="shared" si="4"/>
        <v>0</v>
      </c>
      <c r="AK25" s="260">
        <f t="shared" si="5"/>
        <v>0</v>
      </c>
      <c r="AM25" s="663" t="str">
        <f>IF(O25=0,"",O25*4/hr!$O$51)</f>
        <v/>
      </c>
      <c r="AN25" s="663">
        <f>hr!$O$41</f>
        <v>4.6537493013094462E-2</v>
      </c>
      <c r="AP25" s="366">
        <f t="shared" si="21"/>
        <v>0</v>
      </c>
      <c r="AQ25" s="365">
        <f t="shared" si="24"/>
        <v>67</v>
      </c>
      <c r="AR25" s="365">
        <f t="shared" si="25"/>
        <v>172</v>
      </c>
      <c r="AS25" s="365">
        <f t="shared" si="26"/>
        <v>25</v>
      </c>
      <c r="AT25" s="365">
        <f t="shared" si="27"/>
        <v>25</v>
      </c>
      <c r="AU25" s="365">
        <f t="shared" si="28"/>
        <v>292</v>
      </c>
      <c r="AV25" s="365">
        <f t="shared" si="29"/>
        <v>80</v>
      </c>
      <c r="AW25" s="365">
        <f t="shared" si="30"/>
        <v>49</v>
      </c>
      <c r="AX25" s="365">
        <f t="shared" si="31"/>
        <v>539</v>
      </c>
      <c r="AY25" s="365">
        <f t="shared" si="32"/>
        <v>30</v>
      </c>
      <c r="AZ25" s="365">
        <f t="shared" si="33"/>
        <v>19</v>
      </c>
      <c r="BA25" s="365">
        <f t="shared" si="34"/>
        <v>569</v>
      </c>
      <c r="BB25" s="365">
        <f t="shared" si="35"/>
        <v>121</v>
      </c>
    </row>
    <row r="26" spans="1:54" x14ac:dyDescent="0.2">
      <c r="A26" s="300">
        <v>0.39583333333333359</v>
      </c>
      <c r="B26" s="13">
        <v>0.40625000000000028</v>
      </c>
      <c r="C26" s="621"/>
      <c r="D26" s="621"/>
      <c r="E26" s="621"/>
      <c r="F26" s="621"/>
      <c r="G26" s="621"/>
      <c r="H26" s="621"/>
      <c r="I26" s="621"/>
      <c r="J26" s="621"/>
      <c r="K26" s="621"/>
      <c r="L26" s="621"/>
      <c r="M26" s="621"/>
      <c r="N26" s="621"/>
      <c r="O26" s="23">
        <f t="shared" si="19"/>
        <v>0</v>
      </c>
      <c r="P26" s="301">
        <f t="shared" si="23"/>
        <v>986</v>
      </c>
      <c r="Q26" s="213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G26" s="662">
        <f t="shared" si="1"/>
        <v>0.40625000000000028</v>
      </c>
      <c r="AH26" s="260">
        <f t="shared" si="2"/>
        <v>0</v>
      </c>
      <c r="AI26" s="260">
        <f t="shared" si="3"/>
        <v>0</v>
      </c>
      <c r="AJ26" s="260">
        <f t="shared" si="4"/>
        <v>0</v>
      </c>
      <c r="AK26" s="260">
        <f t="shared" si="5"/>
        <v>0</v>
      </c>
      <c r="AM26" s="663" t="str">
        <f>IF(O26=0,"",O26*4/hr!$O$51)</f>
        <v/>
      </c>
      <c r="AN26" s="663">
        <f>hr!$O$41</f>
        <v>4.6537493013094462E-2</v>
      </c>
      <c r="AP26" s="366">
        <f t="shared" si="21"/>
        <v>0</v>
      </c>
      <c r="AQ26" s="365">
        <f t="shared" si="24"/>
        <v>36</v>
      </c>
      <c r="AR26" s="365">
        <f t="shared" si="25"/>
        <v>81</v>
      </c>
      <c r="AS26" s="365">
        <f t="shared" si="26"/>
        <v>10</v>
      </c>
      <c r="AT26" s="365">
        <f t="shared" si="27"/>
        <v>15</v>
      </c>
      <c r="AU26" s="365">
        <f t="shared" si="28"/>
        <v>149</v>
      </c>
      <c r="AV26" s="365">
        <f t="shared" si="29"/>
        <v>37</v>
      </c>
      <c r="AW26" s="365">
        <f t="shared" si="30"/>
        <v>21</v>
      </c>
      <c r="AX26" s="365">
        <f t="shared" si="31"/>
        <v>266</v>
      </c>
      <c r="AY26" s="365">
        <f t="shared" si="32"/>
        <v>16</v>
      </c>
      <c r="AZ26" s="365">
        <f t="shared" si="33"/>
        <v>11</v>
      </c>
      <c r="BA26" s="365">
        <f t="shared" si="34"/>
        <v>277</v>
      </c>
      <c r="BB26" s="365">
        <f t="shared" si="35"/>
        <v>67</v>
      </c>
    </row>
    <row r="27" spans="1:54" x14ac:dyDescent="0.2">
      <c r="A27" s="302">
        <v>0.40625000000000028</v>
      </c>
      <c r="B27" s="99">
        <v>0.41666666666666696</v>
      </c>
      <c r="C27" s="621"/>
      <c r="D27" s="621"/>
      <c r="E27" s="621"/>
      <c r="F27" s="621"/>
      <c r="G27" s="621"/>
      <c r="H27" s="621"/>
      <c r="I27" s="621"/>
      <c r="J27" s="621"/>
      <c r="K27" s="621"/>
      <c r="L27" s="621"/>
      <c r="M27" s="621"/>
      <c r="N27" s="621"/>
      <c r="O27" s="23">
        <f t="shared" si="19"/>
        <v>0</v>
      </c>
      <c r="P27" s="301">
        <f t="shared" si="23"/>
        <v>0</v>
      </c>
      <c r="Q27" s="213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G27" s="662">
        <f t="shared" si="1"/>
        <v>0.41666666666666696</v>
      </c>
      <c r="AH27" s="260">
        <f t="shared" si="2"/>
        <v>0</v>
      </c>
      <c r="AI27" s="260">
        <f t="shared" si="3"/>
        <v>0</v>
      </c>
      <c r="AJ27" s="260">
        <f t="shared" si="4"/>
        <v>0</v>
      </c>
      <c r="AK27" s="260">
        <f t="shared" si="5"/>
        <v>0</v>
      </c>
      <c r="AM27" s="663" t="str">
        <f>IF(O27=0,"",O27*4/hr!$O$51)</f>
        <v/>
      </c>
      <c r="AN27" s="663">
        <f>hr!$O$41</f>
        <v>4.6537493013094462E-2</v>
      </c>
      <c r="AP27" s="366">
        <f t="shared" si="21"/>
        <v>0</v>
      </c>
      <c r="AQ27" s="365">
        <f t="shared" si="24"/>
        <v>0</v>
      </c>
      <c r="AR27" s="365">
        <f t="shared" si="25"/>
        <v>0</v>
      </c>
      <c r="AS27" s="365">
        <f t="shared" si="26"/>
        <v>0</v>
      </c>
      <c r="AT27" s="365">
        <f t="shared" si="27"/>
        <v>0</v>
      </c>
      <c r="AU27" s="365">
        <f t="shared" si="28"/>
        <v>0</v>
      </c>
      <c r="AV27" s="365">
        <f t="shared" si="29"/>
        <v>0</v>
      </c>
      <c r="AW27" s="365">
        <f t="shared" si="30"/>
        <v>0</v>
      </c>
      <c r="AX27" s="365">
        <f t="shared" si="31"/>
        <v>0</v>
      </c>
      <c r="AY27" s="365">
        <f t="shared" si="32"/>
        <v>0</v>
      </c>
      <c r="AZ27" s="365">
        <f t="shared" si="33"/>
        <v>0</v>
      </c>
      <c r="BA27" s="365">
        <f t="shared" si="34"/>
        <v>0</v>
      </c>
      <c r="BB27" s="365">
        <f t="shared" si="35"/>
        <v>0</v>
      </c>
    </row>
    <row r="28" spans="1:54" x14ac:dyDescent="0.2">
      <c r="A28" s="300">
        <v>0.41666666666666696</v>
      </c>
      <c r="B28" s="13">
        <v>0.42708333333333365</v>
      </c>
      <c r="C28" s="621"/>
      <c r="D28" s="621"/>
      <c r="E28" s="621"/>
      <c r="F28" s="621"/>
      <c r="G28" s="621"/>
      <c r="H28" s="621"/>
      <c r="I28" s="621"/>
      <c r="J28" s="621"/>
      <c r="K28" s="621"/>
      <c r="L28" s="621"/>
      <c r="M28" s="621"/>
      <c r="N28" s="621"/>
      <c r="O28" s="23">
        <f t="shared" si="19"/>
        <v>0</v>
      </c>
      <c r="P28" s="301">
        <f t="shared" si="23"/>
        <v>0</v>
      </c>
      <c r="Q28" s="213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G28" s="662">
        <f t="shared" si="1"/>
        <v>0.42708333333333365</v>
      </c>
      <c r="AH28" s="260">
        <f t="shared" si="2"/>
        <v>0</v>
      </c>
      <c r="AI28" s="260">
        <f t="shared" si="3"/>
        <v>0</v>
      </c>
      <c r="AJ28" s="260">
        <f t="shared" si="4"/>
        <v>0</v>
      </c>
      <c r="AK28" s="260">
        <f t="shared" si="5"/>
        <v>0</v>
      </c>
      <c r="AM28" s="663" t="str">
        <f>IF(O28=0,"",O28*4/hr!$O$51)</f>
        <v/>
      </c>
      <c r="AN28" s="663">
        <f>hr!$O$41</f>
        <v>4.6537493013094462E-2</v>
      </c>
      <c r="AP28" s="366">
        <f t="shared" si="21"/>
        <v>0</v>
      </c>
      <c r="AQ28" s="365">
        <f t="shared" si="24"/>
        <v>0</v>
      </c>
      <c r="AR28" s="365">
        <f t="shared" si="25"/>
        <v>0</v>
      </c>
      <c r="AS28" s="365">
        <f t="shared" si="26"/>
        <v>0</v>
      </c>
      <c r="AT28" s="365">
        <f t="shared" si="27"/>
        <v>0</v>
      </c>
      <c r="AU28" s="365">
        <f t="shared" si="28"/>
        <v>0</v>
      </c>
      <c r="AV28" s="365">
        <f t="shared" si="29"/>
        <v>0</v>
      </c>
      <c r="AW28" s="365">
        <f t="shared" si="30"/>
        <v>0</v>
      </c>
      <c r="AX28" s="365">
        <f t="shared" si="31"/>
        <v>0</v>
      </c>
      <c r="AY28" s="365">
        <f t="shared" si="32"/>
        <v>0</v>
      </c>
      <c r="AZ28" s="365">
        <f t="shared" si="33"/>
        <v>0</v>
      </c>
      <c r="BA28" s="365">
        <f t="shared" si="34"/>
        <v>0</v>
      </c>
      <c r="BB28" s="365">
        <f t="shared" si="35"/>
        <v>0</v>
      </c>
    </row>
    <row r="29" spans="1:54" x14ac:dyDescent="0.2">
      <c r="A29" s="300">
        <v>0.42708333333333365</v>
      </c>
      <c r="B29" s="13">
        <v>0.43750000000000033</v>
      </c>
      <c r="C29" s="621"/>
      <c r="D29" s="621"/>
      <c r="E29" s="621"/>
      <c r="F29" s="621"/>
      <c r="G29" s="621"/>
      <c r="H29" s="621"/>
      <c r="I29" s="621"/>
      <c r="J29" s="621"/>
      <c r="K29" s="621"/>
      <c r="L29" s="621"/>
      <c r="M29" s="621"/>
      <c r="N29" s="621"/>
      <c r="O29" s="23">
        <f t="shared" si="19"/>
        <v>0</v>
      </c>
      <c r="P29" s="301">
        <f t="shared" si="23"/>
        <v>0</v>
      </c>
      <c r="Q29" s="213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G29" s="662">
        <f t="shared" si="1"/>
        <v>0.43750000000000033</v>
      </c>
      <c r="AH29" s="260">
        <f t="shared" si="2"/>
        <v>0</v>
      </c>
      <c r="AI29" s="260">
        <f t="shared" si="3"/>
        <v>0</v>
      </c>
      <c r="AJ29" s="260">
        <f t="shared" si="4"/>
        <v>0</v>
      </c>
      <c r="AK29" s="260">
        <f t="shared" si="5"/>
        <v>0</v>
      </c>
      <c r="AM29" s="663" t="str">
        <f>IF(O29=0,"",O29*4/hr!$O$51)</f>
        <v/>
      </c>
      <c r="AN29" s="663">
        <f>hr!$O$41</f>
        <v>4.6537493013094462E-2</v>
      </c>
      <c r="AP29" s="366">
        <f t="shared" si="21"/>
        <v>0</v>
      </c>
      <c r="AQ29" s="365">
        <f t="shared" si="24"/>
        <v>0</v>
      </c>
      <c r="AR29" s="365">
        <f t="shared" si="25"/>
        <v>0</v>
      </c>
      <c r="AS29" s="365">
        <f t="shared" si="26"/>
        <v>0</v>
      </c>
      <c r="AT29" s="365">
        <f t="shared" si="27"/>
        <v>0</v>
      </c>
      <c r="AU29" s="365">
        <f t="shared" si="28"/>
        <v>0</v>
      </c>
      <c r="AV29" s="365">
        <f t="shared" si="29"/>
        <v>0</v>
      </c>
      <c r="AW29" s="365">
        <f t="shared" si="30"/>
        <v>0</v>
      </c>
      <c r="AX29" s="365">
        <f t="shared" si="31"/>
        <v>0</v>
      </c>
      <c r="AY29" s="365">
        <f t="shared" si="32"/>
        <v>0</v>
      </c>
      <c r="AZ29" s="365">
        <f t="shared" si="33"/>
        <v>0</v>
      </c>
      <c r="BA29" s="365">
        <f t="shared" si="34"/>
        <v>0</v>
      </c>
      <c r="BB29" s="365">
        <f t="shared" si="35"/>
        <v>0</v>
      </c>
    </row>
    <row r="30" spans="1:54" x14ac:dyDescent="0.2">
      <c r="A30" s="300">
        <v>0.43750000000000033</v>
      </c>
      <c r="B30" s="13">
        <v>0.44791666666666702</v>
      </c>
      <c r="C30" s="621"/>
      <c r="D30" s="621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23">
        <f t="shared" si="19"/>
        <v>0</v>
      </c>
      <c r="P30" s="301">
        <f t="shared" si="23"/>
        <v>0</v>
      </c>
      <c r="Q30" s="213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G30" s="662">
        <f t="shared" si="1"/>
        <v>0.44791666666666702</v>
      </c>
      <c r="AH30" s="260">
        <f t="shared" si="2"/>
        <v>0</v>
      </c>
      <c r="AI30" s="260">
        <f t="shared" si="3"/>
        <v>0</v>
      </c>
      <c r="AJ30" s="260">
        <f t="shared" si="4"/>
        <v>0</v>
      </c>
      <c r="AK30" s="260">
        <f t="shared" si="5"/>
        <v>0</v>
      </c>
      <c r="AM30" s="663" t="str">
        <f>IF(O30=0,"",O30*4/hr!$O$51)</f>
        <v/>
      </c>
      <c r="AN30" s="663">
        <f>hr!$O$41</f>
        <v>4.6537493013094462E-2</v>
      </c>
      <c r="AP30" s="366">
        <f t="shared" si="21"/>
        <v>0</v>
      </c>
      <c r="AQ30" s="365">
        <f t="shared" si="24"/>
        <v>0</v>
      </c>
      <c r="AR30" s="365">
        <f t="shared" si="25"/>
        <v>0</v>
      </c>
      <c r="AS30" s="365">
        <f t="shared" si="26"/>
        <v>0</v>
      </c>
      <c r="AT30" s="365">
        <f t="shared" si="27"/>
        <v>0</v>
      </c>
      <c r="AU30" s="365">
        <f t="shared" si="28"/>
        <v>0</v>
      </c>
      <c r="AV30" s="365">
        <f t="shared" si="29"/>
        <v>0</v>
      </c>
      <c r="AW30" s="365">
        <f t="shared" si="30"/>
        <v>0</v>
      </c>
      <c r="AX30" s="365">
        <f t="shared" si="31"/>
        <v>0</v>
      </c>
      <c r="AY30" s="365">
        <f t="shared" si="32"/>
        <v>0</v>
      </c>
      <c r="AZ30" s="365">
        <f t="shared" si="33"/>
        <v>0</v>
      </c>
      <c r="BA30" s="365">
        <f t="shared" si="34"/>
        <v>0</v>
      </c>
      <c r="BB30" s="365">
        <f t="shared" si="35"/>
        <v>0</v>
      </c>
    </row>
    <row r="31" spans="1:54" x14ac:dyDescent="0.2">
      <c r="A31" s="302">
        <v>0.44791666666666702</v>
      </c>
      <c r="B31" s="99">
        <v>0.4583333333333337</v>
      </c>
      <c r="C31" s="621"/>
      <c r="D31" s="621"/>
      <c r="E31" s="621"/>
      <c r="F31" s="621"/>
      <c r="G31" s="621"/>
      <c r="H31" s="621"/>
      <c r="I31" s="621"/>
      <c r="J31" s="621"/>
      <c r="K31" s="621"/>
      <c r="L31" s="621"/>
      <c r="M31" s="621"/>
      <c r="N31" s="621"/>
      <c r="O31" s="23">
        <f t="shared" si="19"/>
        <v>0</v>
      </c>
      <c r="P31" s="301">
        <f t="shared" si="23"/>
        <v>0</v>
      </c>
      <c r="Q31" s="213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G31" s="662">
        <f t="shared" si="1"/>
        <v>0.4583333333333337</v>
      </c>
      <c r="AH31" s="260">
        <f t="shared" si="2"/>
        <v>0</v>
      </c>
      <c r="AI31" s="260">
        <f t="shared" si="3"/>
        <v>0</v>
      </c>
      <c r="AJ31" s="260">
        <f t="shared" si="4"/>
        <v>0</v>
      </c>
      <c r="AK31" s="260">
        <f t="shared" si="5"/>
        <v>0</v>
      </c>
      <c r="AM31" s="663" t="str">
        <f>IF(O31=0,"",O31*4/hr!$O$51)</f>
        <v/>
      </c>
      <c r="AN31" s="663">
        <f>hr!$O$41</f>
        <v>4.6537493013094462E-2</v>
      </c>
      <c r="AP31" s="366">
        <f t="shared" si="21"/>
        <v>0</v>
      </c>
      <c r="AQ31" s="365">
        <f t="shared" si="24"/>
        <v>0</v>
      </c>
      <c r="AR31" s="365">
        <f t="shared" si="25"/>
        <v>0</v>
      </c>
      <c r="AS31" s="365">
        <f t="shared" si="26"/>
        <v>0</v>
      </c>
      <c r="AT31" s="365">
        <f t="shared" si="27"/>
        <v>0</v>
      </c>
      <c r="AU31" s="365">
        <f t="shared" si="28"/>
        <v>0</v>
      </c>
      <c r="AV31" s="365">
        <f t="shared" si="29"/>
        <v>0</v>
      </c>
      <c r="AW31" s="365">
        <f t="shared" si="30"/>
        <v>0</v>
      </c>
      <c r="AX31" s="365">
        <f t="shared" si="31"/>
        <v>0</v>
      </c>
      <c r="AY31" s="365">
        <f t="shared" si="32"/>
        <v>0</v>
      </c>
      <c r="AZ31" s="365">
        <f t="shared" si="33"/>
        <v>0</v>
      </c>
      <c r="BA31" s="365">
        <f t="shared" si="34"/>
        <v>0</v>
      </c>
      <c r="BB31" s="365">
        <f t="shared" si="35"/>
        <v>0</v>
      </c>
    </row>
    <row r="32" spans="1:54" x14ac:dyDescent="0.2">
      <c r="A32" s="300">
        <v>0.4583333333333337</v>
      </c>
      <c r="B32" s="13">
        <v>0.46875000000000039</v>
      </c>
      <c r="C32" s="621">
        <v>11</v>
      </c>
      <c r="D32" s="621">
        <v>61</v>
      </c>
      <c r="E32" s="621">
        <v>22</v>
      </c>
      <c r="F32" s="621">
        <v>11</v>
      </c>
      <c r="G32" s="621">
        <v>86</v>
      </c>
      <c r="H32" s="621">
        <v>23</v>
      </c>
      <c r="I32" s="621">
        <v>19</v>
      </c>
      <c r="J32" s="621">
        <v>141</v>
      </c>
      <c r="K32" s="621">
        <v>6</v>
      </c>
      <c r="L32" s="621">
        <v>13</v>
      </c>
      <c r="M32" s="621">
        <v>164</v>
      </c>
      <c r="N32" s="621">
        <v>18</v>
      </c>
      <c r="O32" s="23">
        <f t="shared" si="19"/>
        <v>575</v>
      </c>
      <c r="P32" s="301">
        <f t="shared" si="23"/>
        <v>575</v>
      </c>
      <c r="Q32" s="213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G32" s="662">
        <f t="shared" si="1"/>
        <v>0.46875000000000039</v>
      </c>
      <c r="AH32" s="260">
        <f t="shared" si="2"/>
        <v>94</v>
      </c>
      <c r="AI32" s="260">
        <f t="shared" si="3"/>
        <v>120</v>
      </c>
      <c r="AJ32" s="260">
        <f t="shared" si="4"/>
        <v>166</v>
      </c>
      <c r="AK32" s="260">
        <f t="shared" si="5"/>
        <v>195</v>
      </c>
      <c r="AM32" s="663">
        <f>IF(O32=0,"",O32*4/hr!$O$51)</f>
        <v>4.2324890444929771E-2</v>
      </c>
      <c r="AN32" s="663">
        <f>hr!$O$41</f>
        <v>4.6537493013094462E-2</v>
      </c>
      <c r="AP32" s="366">
        <f t="shared" si="21"/>
        <v>0</v>
      </c>
      <c r="AQ32" s="365">
        <f t="shared" si="24"/>
        <v>11</v>
      </c>
      <c r="AR32" s="365">
        <f t="shared" si="25"/>
        <v>61</v>
      </c>
      <c r="AS32" s="365">
        <f t="shared" si="26"/>
        <v>22</v>
      </c>
      <c r="AT32" s="365">
        <f t="shared" si="27"/>
        <v>11</v>
      </c>
      <c r="AU32" s="365">
        <f t="shared" si="28"/>
        <v>86</v>
      </c>
      <c r="AV32" s="365">
        <f t="shared" si="29"/>
        <v>23</v>
      </c>
      <c r="AW32" s="365">
        <f t="shared" si="30"/>
        <v>19</v>
      </c>
      <c r="AX32" s="365">
        <f t="shared" si="31"/>
        <v>141</v>
      </c>
      <c r="AY32" s="365">
        <f t="shared" si="32"/>
        <v>6</v>
      </c>
      <c r="AZ32" s="365">
        <f t="shared" si="33"/>
        <v>13</v>
      </c>
      <c r="BA32" s="365">
        <f t="shared" si="34"/>
        <v>164</v>
      </c>
      <c r="BB32" s="365">
        <f t="shared" si="35"/>
        <v>18</v>
      </c>
    </row>
    <row r="33" spans="1:54" x14ac:dyDescent="0.2">
      <c r="A33" s="300">
        <v>0.46875000000000039</v>
      </c>
      <c r="B33" s="13">
        <v>0.47916666666666707</v>
      </c>
      <c r="C33" s="621">
        <v>19</v>
      </c>
      <c r="D33" s="621">
        <v>73</v>
      </c>
      <c r="E33" s="621">
        <v>26</v>
      </c>
      <c r="F33" s="621">
        <v>11</v>
      </c>
      <c r="G33" s="621">
        <v>98</v>
      </c>
      <c r="H33" s="621">
        <v>21</v>
      </c>
      <c r="I33" s="621">
        <v>22</v>
      </c>
      <c r="J33" s="621">
        <v>144</v>
      </c>
      <c r="K33" s="621">
        <v>8</v>
      </c>
      <c r="L33" s="621">
        <v>13</v>
      </c>
      <c r="M33" s="621">
        <v>167</v>
      </c>
      <c r="N33" s="621">
        <v>20</v>
      </c>
      <c r="O33" s="23">
        <f t="shared" si="19"/>
        <v>622</v>
      </c>
      <c r="P33" s="301">
        <f t="shared" si="23"/>
        <v>1197</v>
      </c>
      <c r="Q33" s="213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G33" s="662">
        <f t="shared" si="1"/>
        <v>0.47916666666666707</v>
      </c>
      <c r="AH33" s="260">
        <f t="shared" si="2"/>
        <v>118</v>
      </c>
      <c r="AI33" s="260">
        <f t="shared" si="3"/>
        <v>130</v>
      </c>
      <c r="AJ33" s="260">
        <f t="shared" si="4"/>
        <v>174</v>
      </c>
      <c r="AK33" s="260">
        <f t="shared" si="5"/>
        <v>200</v>
      </c>
      <c r="AM33" s="663">
        <f>IF(O33=0,"",O33*4/hr!$O$51)</f>
        <v>4.5784490185645767E-2</v>
      </c>
      <c r="AN33" s="663">
        <f>hr!$O$41</f>
        <v>4.6537493013094462E-2</v>
      </c>
      <c r="AP33" s="366">
        <f t="shared" si="21"/>
        <v>0</v>
      </c>
      <c r="AQ33" s="365">
        <f t="shared" si="24"/>
        <v>30</v>
      </c>
      <c r="AR33" s="365">
        <f t="shared" si="25"/>
        <v>134</v>
      </c>
      <c r="AS33" s="365">
        <f t="shared" si="26"/>
        <v>48</v>
      </c>
      <c r="AT33" s="365">
        <f t="shared" si="27"/>
        <v>22</v>
      </c>
      <c r="AU33" s="365">
        <f t="shared" si="28"/>
        <v>184</v>
      </c>
      <c r="AV33" s="365">
        <f t="shared" si="29"/>
        <v>44</v>
      </c>
      <c r="AW33" s="365">
        <f t="shared" si="30"/>
        <v>41</v>
      </c>
      <c r="AX33" s="365">
        <f t="shared" si="31"/>
        <v>285</v>
      </c>
      <c r="AY33" s="365">
        <f t="shared" si="32"/>
        <v>14</v>
      </c>
      <c r="AZ33" s="365">
        <f t="shared" si="33"/>
        <v>26</v>
      </c>
      <c r="BA33" s="365">
        <f t="shared" si="34"/>
        <v>331</v>
      </c>
      <c r="BB33" s="365">
        <f t="shared" si="35"/>
        <v>38</v>
      </c>
    </row>
    <row r="34" spans="1:54" x14ac:dyDescent="0.2">
      <c r="A34" s="300">
        <v>0.47916666666666707</v>
      </c>
      <c r="B34" s="13">
        <v>0.48958333333333376</v>
      </c>
      <c r="C34" s="621">
        <v>12</v>
      </c>
      <c r="D34" s="621">
        <v>71</v>
      </c>
      <c r="E34" s="621">
        <v>22</v>
      </c>
      <c r="F34" s="621">
        <v>9</v>
      </c>
      <c r="G34" s="621">
        <v>90</v>
      </c>
      <c r="H34" s="621">
        <v>19</v>
      </c>
      <c r="I34" s="621">
        <v>18</v>
      </c>
      <c r="J34" s="621">
        <v>123</v>
      </c>
      <c r="K34" s="621">
        <v>11</v>
      </c>
      <c r="L34" s="621">
        <v>10</v>
      </c>
      <c r="M34" s="621">
        <v>158</v>
      </c>
      <c r="N34" s="621">
        <v>21</v>
      </c>
      <c r="O34" s="23">
        <f t="shared" si="19"/>
        <v>564</v>
      </c>
      <c r="P34" s="301">
        <f t="shared" si="23"/>
        <v>1761</v>
      </c>
      <c r="Q34" s="213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G34" s="662">
        <f t="shared" si="1"/>
        <v>0.48958333333333376</v>
      </c>
      <c r="AH34" s="260">
        <f t="shared" si="2"/>
        <v>105</v>
      </c>
      <c r="AI34" s="260">
        <f t="shared" si="3"/>
        <v>118</v>
      </c>
      <c r="AJ34" s="260">
        <f t="shared" si="4"/>
        <v>152</v>
      </c>
      <c r="AK34" s="260">
        <f t="shared" si="5"/>
        <v>189</v>
      </c>
      <c r="AM34" s="663">
        <f>IF(O34=0,"",O34*4/hr!$O$51)</f>
        <v>4.1515196888591982E-2</v>
      </c>
      <c r="AN34" s="663">
        <f>hr!$O$41</f>
        <v>4.6537493013094462E-2</v>
      </c>
      <c r="AP34" s="366">
        <f t="shared" si="21"/>
        <v>0</v>
      </c>
      <c r="AQ34" s="365">
        <f t="shared" si="24"/>
        <v>42</v>
      </c>
      <c r="AR34" s="365">
        <f t="shared" si="25"/>
        <v>205</v>
      </c>
      <c r="AS34" s="365">
        <f t="shared" si="26"/>
        <v>70</v>
      </c>
      <c r="AT34" s="365">
        <f t="shared" si="27"/>
        <v>31</v>
      </c>
      <c r="AU34" s="365">
        <f t="shared" si="28"/>
        <v>274</v>
      </c>
      <c r="AV34" s="365">
        <f t="shared" si="29"/>
        <v>63</v>
      </c>
      <c r="AW34" s="365">
        <f t="shared" si="30"/>
        <v>59</v>
      </c>
      <c r="AX34" s="365">
        <f t="shared" si="31"/>
        <v>408</v>
      </c>
      <c r="AY34" s="365">
        <f t="shared" si="32"/>
        <v>25</v>
      </c>
      <c r="AZ34" s="365">
        <f t="shared" si="33"/>
        <v>36</v>
      </c>
      <c r="BA34" s="365">
        <f t="shared" si="34"/>
        <v>489</v>
      </c>
      <c r="BB34" s="365">
        <f t="shared" si="35"/>
        <v>59</v>
      </c>
    </row>
    <row r="35" spans="1:54" x14ac:dyDescent="0.2">
      <c r="A35" s="302">
        <v>0.48958333333333376</v>
      </c>
      <c r="B35" s="99">
        <v>0.50000000000000044</v>
      </c>
      <c r="C35" s="621">
        <v>14</v>
      </c>
      <c r="D35" s="621">
        <v>80</v>
      </c>
      <c r="E35" s="621">
        <v>27</v>
      </c>
      <c r="F35" s="621">
        <v>7</v>
      </c>
      <c r="G35" s="621">
        <v>82</v>
      </c>
      <c r="H35" s="621">
        <v>17</v>
      </c>
      <c r="I35" s="621">
        <v>16</v>
      </c>
      <c r="J35" s="621">
        <v>125</v>
      </c>
      <c r="K35" s="621">
        <v>10</v>
      </c>
      <c r="L35" s="621">
        <v>12</v>
      </c>
      <c r="M35" s="621">
        <v>157</v>
      </c>
      <c r="N35" s="621">
        <v>38</v>
      </c>
      <c r="O35" s="23">
        <f t="shared" si="19"/>
        <v>585</v>
      </c>
      <c r="P35" s="301">
        <f t="shared" si="23"/>
        <v>2346</v>
      </c>
      <c r="Q35" s="213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G35" s="662">
        <f t="shared" si="1"/>
        <v>0.50000000000000044</v>
      </c>
      <c r="AH35" s="260">
        <f t="shared" si="2"/>
        <v>121</v>
      </c>
      <c r="AI35" s="260">
        <f t="shared" si="3"/>
        <v>106</v>
      </c>
      <c r="AJ35" s="260">
        <f t="shared" si="4"/>
        <v>151</v>
      </c>
      <c r="AK35" s="260">
        <f t="shared" si="5"/>
        <v>207</v>
      </c>
      <c r="AM35" s="663">
        <f>IF(O35=0,"",O35*4/hr!$O$51)</f>
        <v>4.3060975496145938E-2</v>
      </c>
      <c r="AN35" s="663">
        <f>hr!$O$41</f>
        <v>4.6537493013094462E-2</v>
      </c>
      <c r="AP35" s="366">
        <f t="shared" si="21"/>
        <v>0</v>
      </c>
      <c r="AQ35" s="365">
        <f t="shared" si="24"/>
        <v>56</v>
      </c>
      <c r="AR35" s="365">
        <f t="shared" si="25"/>
        <v>285</v>
      </c>
      <c r="AS35" s="365">
        <f t="shared" si="26"/>
        <v>97</v>
      </c>
      <c r="AT35" s="365">
        <f t="shared" si="27"/>
        <v>38</v>
      </c>
      <c r="AU35" s="365">
        <f t="shared" si="28"/>
        <v>356</v>
      </c>
      <c r="AV35" s="365">
        <f t="shared" si="29"/>
        <v>80</v>
      </c>
      <c r="AW35" s="365">
        <f t="shared" si="30"/>
        <v>75</v>
      </c>
      <c r="AX35" s="365">
        <f t="shared" si="31"/>
        <v>533</v>
      </c>
      <c r="AY35" s="365">
        <f t="shared" si="32"/>
        <v>35</v>
      </c>
      <c r="AZ35" s="365">
        <f t="shared" si="33"/>
        <v>48</v>
      </c>
      <c r="BA35" s="365">
        <f t="shared" si="34"/>
        <v>646</v>
      </c>
      <c r="BB35" s="365">
        <f t="shared" si="35"/>
        <v>97</v>
      </c>
    </row>
    <row r="36" spans="1:54" x14ac:dyDescent="0.2">
      <c r="A36" s="300">
        <v>0.50000000000000044</v>
      </c>
      <c r="B36" s="13">
        <v>0.51041666666666707</v>
      </c>
      <c r="C36" s="621">
        <v>16</v>
      </c>
      <c r="D36" s="621">
        <v>81</v>
      </c>
      <c r="E36" s="621">
        <v>31</v>
      </c>
      <c r="F36" s="621">
        <v>5</v>
      </c>
      <c r="G36" s="621">
        <v>100</v>
      </c>
      <c r="H36" s="621">
        <v>19</v>
      </c>
      <c r="I36" s="621">
        <v>17</v>
      </c>
      <c r="J36" s="621">
        <v>114</v>
      </c>
      <c r="K36" s="621">
        <v>15</v>
      </c>
      <c r="L36" s="621">
        <v>14</v>
      </c>
      <c r="M36" s="621">
        <v>138</v>
      </c>
      <c r="N36" s="621">
        <v>24</v>
      </c>
      <c r="O36" s="23">
        <f t="shared" si="19"/>
        <v>574</v>
      </c>
      <c r="P36" s="301">
        <f>SUM(O33:O36)</f>
        <v>2345</v>
      </c>
      <c r="Q36" s="213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G36" s="662">
        <f t="shared" si="1"/>
        <v>0.51041666666666707</v>
      </c>
      <c r="AH36" s="260">
        <f t="shared" si="2"/>
        <v>128</v>
      </c>
      <c r="AI36" s="260">
        <f t="shared" si="3"/>
        <v>124</v>
      </c>
      <c r="AJ36" s="260">
        <f t="shared" si="4"/>
        <v>146</v>
      </c>
      <c r="AK36" s="260">
        <f t="shared" si="5"/>
        <v>176</v>
      </c>
      <c r="AM36" s="663">
        <f>IF(O36=0,"",O36*4/hr!$O$51)</f>
        <v>4.2251281939808157E-2</v>
      </c>
      <c r="AN36" s="663">
        <f>hr!$O$41</f>
        <v>4.6537493013094462E-2</v>
      </c>
      <c r="AP36" s="366">
        <f>IF(P36=$P$66,B36,0)</f>
        <v>0</v>
      </c>
      <c r="AQ36" s="365">
        <f t="shared" si="24"/>
        <v>61</v>
      </c>
      <c r="AR36" s="365">
        <f t="shared" si="25"/>
        <v>305</v>
      </c>
      <c r="AS36" s="365">
        <f t="shared" si="26"/>
        <v>106</v>
      </c>
      <c r="AT36" s="365">
        <f t="shared" si="27"/>
        <v>32</v>
      </c>
      <c r="AU36" s="365">
        <f t="shared" si="28"/>
        <v>370</v>
      </c>
      <c r="AV36" s="365">
        <f t="shared" si="29"/>
        <v>76</v>
      </c>
      <c r="AW36" s="365">
        <f t="shared" si="30"/>
        <v>73</v>
      </c>
      <c r="AX36" s="365">
        <f t="shared" si="31"/>
        <v>506</v>
      </c>
      <c r="AY36" s="365">
        <f t="shared" si="32"/>
        <v>44</v>
      </c>
      <c r="AZ36" s="365">
        <f t="shared" si="33"/>
        <v>49</v>
      </c>
      <c r="BA36" s="365">
        <f t="shared" si="34"/>
        <v>620</v>
      </c>
      <c r="BB36" s="365">
        <f t="shared" si="35"/>
        <v>103</v>
      </c>
    </row>
    <row r="37" spans="1:54" x14ac:dyDescent="0.2">
      <c r="A37" s="300">
        <v>0.51041666666666707</v>
      </c>
      <c r="B37" s="13">
        <v>0.5208333333333337</v>
      </c>
      <c r="C37" s="621">
        <v>24</v>
      </c>
      <c r="D37" s="621">
        <v>72</v>
      </c>
      <c r="E37" s="621">
        <v>29</v>
      </c>
      <c r="F37" s="621">
        <v>6</v>
      </c>
      <c r="G37" s="621">
        <v>89</v>
      </c>
      <c r="H37" s="621">
        <v>18</v>
      </c>
      <c r="I37" s="621">
        <v>19</v>
      </c>
      <c r="J37" s="621">
        <v>106</v>
      </c>
      <c r="K37" s="621">
        <v>14</v>
      </c>
      <c r="L37" s="621">
        <v>18</v>
      </c>
      <c r="M37" s="621">
        <v>150</v>
      </c>
      <c r="N37" s="621">
        <v>31</v>
      </c>
      <c r="O37" s="23">
        <f t="shared" si="19"/>
        <v>576</v>
      </c>
      <c r="P37" s="301">
        <f t="shared" ref="P37:P58" si="36">SUM(O34:O37)</f>
        <v>2299</v>
      </c>
      <c r="Q37" s="213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G37" s="662">
        <f t="shared" si="1"/>
        <v>0.5208333333333337</v>
      </c>
      <c r="AH37" s="260">
        <f t="shared" si="2"/>
        <v>125</v>
      </c>
      <c r="AI37" s="260">
        <f t="shared" si="3"/>
        <v>113</v>
      </c>
      <c r="AJ37" s="260">
        <f t="shared" si="4"/>
        <v>139</v>
      </c>
      <c r="AK37" s="260">
        <f t="shared" si="5"/>
        <v>199</v>
      </c>
      <c r="AM37" s="663">
        <f>IF(O37=0,"",O37*4/hr!$O$51)</f>
        <v>4.2398498950051385E-2</v>
      </c>
      <c r="AN37" s="663">
        <f>hr!$O$41</f>
        <v>4.6537493013094462E-2</v>
      </c>
      <c r="AP37" s="366">
        <f t="shared" ref="AP37:AP58" si="37">IF(P37=$P$66,B37,0)</f>
        <v>0</v>
      </c>
      <c r="AQ37" s="365">
        <f t="shared" si="24"/>
        <v>66</v>
      </c>
      <c r="AR37" s="365">
        <f t="shared" si="25"/>
        <v>304</v>
      </c>
      <c r="AS37" s="365">
        <f t="shared" si="26"/>
        <v>109</v>
      </c>
      <c r="AT37" s="365">
        <f t="shared" si="27"/>
        <v>27</v>
      </c>
      <c r="AU37" s="365">
        <f t="shared" si="28"/>
        <v>361</v>
      </c>
      <c r="AV37" s="365">
        <f t="shared" si="29"/>
        <v>73</v>
      </c>
      <c r="AW37" s="365">
        <f t="shared" si="30"/>
        <v>70</v>
      </c>
      <c r="AX37" s="365">
        <f t="shared" si="31"/>
        <v>468</v>
      </c>
      <c r="AY37" s="365">
        <f t="shared" si="32"/>
        <v>50</v>
      </c>
      <c r="AZ37" s="365">
        <f t="shared" si="33"/>
        <v>54</v>
      </c>
      <c r="BA37" s="365">
        <f t="shared" si="34"/>
        <v>603</v>
      </c>
      <c r="BB37" s="365">
        <f t="shared" si="35"/>
        <v>114</v>
      </c>
    </row>
    <row r="38" spans="1:54" x14ac:dyDescent="0.2">
      <c r="A38" s="300">
        <v>0.5208333333333337</v>
      </c>
      <c r="B38" s="13">
        <v>0.53125000000000033</v>
      </c>
      <c r="C38" s="621">
        <v>20</v>
      </c>
      <c r="D38" s="621">
        <v>69</v>
      </c>
      <c r="E38" s="621">
        <v>31</v>
      </c>
      <c r="F38" s="621">
        <v>8</v>
      </c>
      <c r="G38" s="621">
        <v>79</v>
      </c>
      <c r="H38" s="621">
        <v>16</v>
      </c>
      <c r="I38" s="621">
        <v>14</v>
      </c>
      <c r="J38" s="621">
        <v>101</v>
      </c>
      <c r="K38" s="621">
        <v>11</v>
      </c>
      <c r="L38" s="621">
        <v>16</v>
      </c>
      <c r="M38" s="621">
        <v>135</v>
      </c>
      <c r="N38" s="621">
        <v>28</v>
      </c>
      <c r="O38" s="23">
        <f t="shared" si="19"/>
        <v>528</v>
      </c>
      <c r="P38" s="301">
        <f t="shared" si="36"/>
        <v>2263</v>
      </c>
      <c r="Q38" s="213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G38" s="662">
        <f t="shared" si="1"/>
        <v>0.53125000000000033</v>
      </c>
      <c r="AH38" s="260">
        <f t="shared" si="2"/>
        <v>120</v>
      </c>
      <c r="AI38" s="260">
        <f t="shared" si="3"/>
        <v>103</v>
      </c>
      <c r="AJ38" s="260">
        <f t="shared" si="4"/>
        <v>126</v>
      </c>
      <c r="AK38" s="260">
        <f t="shared" si="5"/>
        <v>179</v>
      </c>
      <c r="AM38" s="663">
        <f>IF(O38=0,"",O38*4/hr!$O$51)</f>
        <v>3.8865290704213774E-2</v>
      </c>
      <c r="AN38" s="663">
        <f>hr!$O$41</f>
        <v>4.6537493013094462E-2</v>
      </c>
      <c r="AP38" s="366">
        <f t="shared" si="37"/>
        <v>0</v>
      </c>
      <c r="AQ38" s="365">
        <f t="shared" si="24"/>
        <v>74</v>
      </c>
      <c r="AR38" s="365">
        <f t="shared" si="25"/>
        <v>302</v>
      </c>
      <c r="AS38" s="365">
        <f t="shared" si="26"/>
        <v>118</v>
      </c>
      <c r="AT38" s="365">
        <f t="shared" si="27"/>
        <v>26</v>
      </c>
      <c r="AU38" s="365">
        <f t="shared" si="28"/>
        <v>350</v>
      </c>
      <c r="AV38" s="365">
        <f t="shared" si="29"/>
        <v>70</v>
      </c>
      <c r="AW38" s="365">
        <f t="shared" si="30"/>
        <v>66</v>
      </c>
      <c r="AX38" s="365">
        <f t="shared" si="31"/>
        <v>446</v>
      </c>
      <c r="AY38" s="365">
        <f t="shared" si="32"/>
        <v>50</v>
      </c>
      <c r="AZ38" s="365">
        <f t="shared" si="33"/>
        <v>60</v>
      </c>
      <c r="BA38" s="365">
        <f t="shared" si="34"/>
        <v>580</v>
      </c>
      <c r="BB38" s="365">
        <f t="shared" si="35"/>
        <v>121</v>
      </c>
    </row>
    <row r="39" spans="1:54" x14ac:dyDescent="0.2">
      <c r="A39" s="302">
        <v>0.53125000000000033</v>
      </c>
      <c r="B39" s="99">
        <v>0.54166666666666696</v>
      </c>
      <c r="C39" s="621">
        <v>15</v>
      </c>
      <c r="D39" s="621">
        <v>62</v>
      </c>
      <c r="E39" s="621">
        <v>27</v>
      </c>
      <c r="F39" s="621">
        <v>6</v>
      </c>
      <c r="G39" s="621">
        <v>76</v>
      </c>
      <c r="H39" s="621">
        <v>14</v>
      </c>
      <c r="I39" s="621">
        <v>12</v>
      </c>
      <c r="J39" s="621">
        <v>111</v>
      </c>
      <c r="K39" s="621">
        <v>10</v>
      </c>
      <c r="L39" s="621">
        <v>20</v>
      </c>
      <c r="M39" s="621">
        <v>128</v>
      </c>
      <c r="N39" s="621">
        <v>26</v>
      </c>
      <c r="O39" s="23">
        <f t="shared" si="19"/>
        <v>507</v>
      </c>
      <c r="P39" s="301">
        <f t="shared" si="36"/>
        <v>2185</v>
      </c>
      <c r="Q39" s="213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G39" s="662">
        <f t="shared" si="1"/>
        <v>0.54166666666666696</v>
      </c>
      <c r="AH39" s="260">
        <f t="shared" si="2"/>
        <v>104</v>
      </c>
      <c r="AI39" s="260">
        <f t="shared" si="3"/>
        <v>96</v>
      </c>
      <c r="AJ39" s="260">
        <f t="shared" si="4"/>
        <v>133</v>
      </c>
      <c r="AK39" s="260">
        <f t="shared" si="5"/>
        <v>174</v>
      </c>
      <c r="AM39" s="663">
        <f>IF(O39=0,"",O39*4/hr!$O$51)</f>
        <v>3.7319512096659818E-2</v>
      </c>
      <c r="AN39" s="663">
        <f>hr!$O$41</f>
        <v>4.6537493013094462E-2</v>
      </c>
      <c r="AP39" s="366">
        <f t="shared" si="37"/>
        <v>0</v>
      </c>
      <c r="AQ39" s="365">
        <f t="shared" si="24"/>
        <v>75</v>
      </c>
      <c r="AR39" s="365">
        <f t="shared" si="25"/>
        <v>284</v>
      </c>
      <c r="AS39" s="365">
        <f t="shared" si="26"/>
        <v>118</v>
      </c>
      <c r="AT39" s="365">
        <f t="shared" si="27"/>
        <v>25</v>
      </c>
      <c r="AU39" s="365">
        <f t="shared" si="28"/>
        <v>344</v>
      </c>
      <c r="AV39" s="365">
        <f t="shared" si="29"/>
        <v>67</v>
      </c>
      <c r="AW39" s="365">
        <f t="shared" si="30"/>
        <v>62</v>
      </c>
      <c r="AX39" s="365">
        <f t="shared" si="31"/>
        <v>432</v>
      </c>
      <c r="AY39" s="365">
        <f t="shared" si="32"/>
        <v>50</v>
      </c>
      <c r="AZ39" s="365">
        <f t="shared" si="33"/>
        <v>68</v>
      </c>
      <c r="BA39" s="365">
        <f t="shared" si="34"/>
        <v>551</v>
      </c>
      <c r="BB39" s="365">
        <f t="shared" si="35"/>
        <v>109</v>
      </c>
    </row>
    <row r="40" spans="1:54" x14ac:dyDescent="0.2">
      <c r="A40" s="300">
        <v>0.54166666666666696</v>
      </c>
      <c r="B40" s="13">
        <v>0.55208333333333359</v>
      </c>
      <c r="C40" s="621">
        <v>22</v>
      </c>
      <c r="D40" s="621">
        <v>59</v>
      </c>
      <c r="E40" s="621">
        <v>21</v>
      </c>
      <c r="F40" s="621">
        <v>8</v>
      </c>
      <c r="G40" s="621">
        <v>71</v>
      </c>
      <c r="H40" s="621">
        <v>16</v>
      </c>
      <c r="I40" s="621">
        <v>10</v>
      </c>
      <c r="J40" s="621">
        <v>106</v>
      </c>
      <c r="K40" s="621">
        <v>11</v>
      </c>
      <c r="L40" s="621">
        <v>17</v>
      </c>
      <c r="M40" s="621">
        <v>119</v>
      </c>
      <c r="N40" s="621">
        <v>24</v>
      </c>
      <c r="O40" s="23">
        <f t="shared" si="19"/>
        <v>484</v>
      </c>
      <c r="P40" s="301">
        <f t="shared" si="36"/>
        <v>2095</v>
      </c>
      <c r="Q40" s="213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G40" s="662">
        <f t="shared" ref="AG40:AG63" si="38">B40</f>
        <v>0.55208333333333359</v>
      </c>
      <c r="AH40" s="260">
        <f t="shared" ref="AH40:AH63" si="39">SUM(C40:E40)</f>
        <v>102</v>
      </c>
      <c r="AI40" s="260">
        <f t="shared" ref="AI40:AI63" si="40">SUM(F40:H40)</f>
        <v>95</v>
      </c>
      <c r="AJ40" s="260">
        <f t="shared" ref="AJ40:AJ63" si="41">SUM(I40:K40)</f>
        <v>127</v>
      </c>
      <c r="AK40" s="260">
        <f t="shared" ref="AK40:AK63" si="42">SUM(L40:N40)</f>
        <v>160</v>
      </c>
      <c r="AM40" s="663">
        <f>IF(O40=0,"",O40*4/hr!$O$51)</f>
        <v>3.5626516478862627E-2</v>
      </c>
      <c r="AN40" s="663">
        <f>hr!$O$41</f>
        <v>4.6537493013094462E-2</v>
      </c>
      <c r="AP40" s="366">
        <f t="shared" si="37"/>
        <v>0</v>
      </c>
      <c r="AQ40" s="365">
        <f t="shared" si="24"/>
        <v>81</v>
      </c>
      <c r="AR40" s="365">
        <f t="shared" si="25"/>
        <v>262</v>
      </c>
      <c r="AS40" s="365">
        <f t="shared" si="26"/>
        <v>108</v>
      </c>
      <c r="AT40" s="365">
        <f t="shared" si="27"/>
        <v>28</v>
      </c>
      <c r="AU40" s="365">
        <f t="shared" si="28"/>
        <v>315</v>
      </c>
      <c r="AV40" s="365">
        <f t="shared" si="29"/>
        <v>64</v>
      </c>
      <c r="AW40" s="365">
        <f t="shared" si="30"/>
        <v>55</v>
      </c>
      <c r="AX40" s="365">
        <f t="shared" si="31"/>
        <v>424</v>
      </c>
      <c r="AY40" s="365">
        <f t="shared" si="32"/>
        <v>46</v>
      </c>
      <c r="AZ40" s="365">
        <f t="shared" si="33"/>
        <v>71</v>
      </c>
      <c r="BA40" s="365">
        <f t="shared" si="34"/>
        <v>532</v>
      </c>
      <c r="BB40" s="365">
        <f t="shared" si="35"/>
        <v>109</v>
      </c>
    </row>
    <row r="41" spans="1:54" x14ac:dyDescent="0.2">
      <c r="A41" s="300">
        <v>0.55208333333333359</v>
      </c>
      <c r="B41" s="13">
        <v>0.56250000000000022</v>
      </c>
      <c r="C41" s="621">
        <v>11</v>
      </c>
      <c r="D41" s="621">
        <v>61</v>
      </c>
      <c r="E41" s="621">
        <v>22</v>
      </c>
      <c r="F41" s="621">
        <v>7</v>
      </c>
      <c r="G41" s="621">
        <v>69</v>
      </c>
      <c r="H41" s="621">
        <v>15</v>
      </c>
      <c r="I41" s="621">
        <v>11</v>
      </c>
      <c r="J41" s="621">
        <v>104</v>
      </c>
      <c r="K41" s="621">
        <v>9</v>
      </c>
      <c r="L41" s="621">
        <v>12</v>
      </c>
      <c r="M41" s="621">
        <v>107</v>
      </c>
      <c r="N41" s="621">
        <v>28</v>
      </c>
      <c r="O41" s="23">
        <f t="shared" si="19"/>
        <v>456</v>
      </c>
      <c r="P41" s="301">
        <f t="shared" si="36"/>
        <v>1975</v>
      </c>
      <c r="Q41" s="213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G41" s="662">
        <f t="shared" si="38"/>
        <v>0.56250000000000022</v>
      </c>
      <c r="AH41" s="260">
        <f t="shared" si="39"/>
        <v>94</v>
      </c>
      <c r="AI41" s="260">
        <f t="shared" si="40"/>
        <v>91</v>
      </c>
      <c r="AJ41" s="260">
        <f t="shared" si="41"/>
        <v>124</v>
      </c>
      <c r="AK41" s="260">
        <f t="shared" si="42"/>
        <v>147</v>
      </c>
      <c r="AM41" s="663">
        <f>IF(O41=0,"",O41*4/hr!$O$51)</f>
        <v>3.3565478335457345E-2</v>
      </c>
      <c r="AN41" s="663">
        <f>hr!$O$41</f>
        <v>4.6537493013094462E-2</v>
      </c>
      <c r="AP41" s="366">
        <f t="shared" si="37"/>
        <v>0</v>
      </c>
      <c r="AQ41" s="365">
        <f t="shared" si="24"/>
        <v>68</v>
      </c>
      <c r="AR41" s="365">
        <f t="shared" si="25"/>
        <v>251</v>
      </c>
      <c r="AS41" s="365">
        <f t="shared" si="26"/>
        <v>101</v>
      </c>
      <c r="AT41" s="365">
        <f t="shared" si="27"/>
        <v>29</v>
      </c>
      <c r="AU41" s="365">
        <f t="shared" si="28"/>
        <v>295</v>
      </c>
      <c r="AV41" s="365">
        <f t="shared" si="29"/>
        <v>61</v>
      </c>
      <c r="AW41" s="365">
        <f t="shared" si="30"/>
        <v>47</v>
      </c>
      <c r="AX41" s="365">
        <f t="shared" si="31"/>
        <v>422</v>
      </c>
      <c r="AY41" s="365">
        <f t="shared" si="32"/>
        <v>41</v>
      </c>
      <c r="AZ41" s="365">
        <f t="shared" si="33"/>
        <v>65</v>
      </c>
      <c r="BA41" s="365">
        <f t="shared" si="34"/>
        <v>489</v>
      </c>
      <c r="BB41" s="365">
        <f t="shared" si="35"/>
        <v>106</v>
      </c>
    </row>
    <row r="42" spans="1:54" x14ac:dyDescent="0.2">
      <c r="A42" s="300">
        <v>0.56250000000000022</v>
      </c>
      <c r="B42" s="13">
        <v>0.57291666666666685</v>
      </c>
      <c r="C42" s="621">
        <v>16</v>
      </c>
      <c r="D42" s="621">
        <v>58</v>
      </c>
      <c r="E42" s="621">
        <v>23</v>
      </c>
      <c r="F42" s="621">
        <v>12</v>
      </c>
      <c r="G42" s="621">
        <v>80</v>
      </c>
      <c r="H42" s="621">
        <v>22</v>
      </c>
      <c r="I42" s="621">
        <v>16</v>
      </c>
      <c r="J42" s="621">
        <v>110</v>
      </c>
      <c r="K42" s="621">
        <v>12</v>
      </c>
      <c r="L42" s="621">
        <v>17</v>
      </c>
      <c r="M42" s="621">
        <v>115</v>
      </c>
      <c r="N42" s="621">
        <v>31</v>
      </c>
      <c r="O42" s="23">
        <f t="shared" si="19"/>
        <v>512</v>
      </c>
      <c r="P42" s="301">
        <f t="shared" si="36"/>
        <v>1959</v>
      </c>
      <c r="Q42" s="213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G42" s="662">
        <f t="shared" si="38"/>
        <v>0.57291666666666685</v>
      </c>
      <c r="AH42" s="260">
        <f t="shared" si="39"/>
        <v>97</v>
      </c>
      <c r="AI42" s="260">
        <f t="shared" si="40"/>
        <v>114</v>
      </c>
      <c r="AJ42" s="260">
        <f t="shared" si="41"/>
        <v>138</v>
      </c>
      <c r="AK42" s="260">
        <f t="shared" si="42"/>
        <v>163</v>
      </c>
      <c r="AM42" s="663">
        <f>IF(O42=0,"",O42*4/hr!$O$51)</f>
        <v>3.7687554622267902E-2</v>
      </c>
      <c r="AN42" s="663">
        <f>hr!$O$41</f>
        <v>4.6537493013094462E-2</v>
      </c>
      <c r="AP42" s="366">
        <f t="shared" si="37"/>
        <v>0</v>
      </c>
      <c r="AQ42" s="365">
        <f t="shared" si="24"/>
        <v>64</v>
      </c>
      <c r="AR42" s="365">
        <f t="shared" si="25"/>
        <v>240</v>
      </c>
      <c r="AS42" s="365">
        <f t="shared" si="26"/>
        <v>93</v>
      </c>
      <c r="AT42" s="365">
        <f t="shared" si="27"/>
        <v>33</v>
      </c>
      <c r="AU42" s="365">
        <f t="shared" si="28"/>
        <v>296</v>
      </c>
      <c r="AV42" s="365">
        <f t="shared" si="29"/>
        <v>67</v>
      </c>
      <c r="AW42" s="365">
        <f t="shared" si="30"/>
        <v>49</v>
      </c>
      <c r="AX42" s="365">
        <f t="shared" si="31"/>
        <v>431</v>
      </c>
      <c r="AY42" s="365">
        <f t="shared" si="32"/>
        <v>42</v>
      </c>
      <c r="AZ42" s="365">
        <f t="shared" si="33"/>
        <v>66</v>
      </c>
      <c r="BA42" s="365">
        <f t="shared" si="34"/>
        <v>469</v>
      </c>
      <c r="BB42" s="365">
        <f t="shared" si="35"/>
        <v>109</v>
      </c>
    </row>
    <row r="43" spans="1:54" x14ac:dyDescent="0.2">
      <c r="A43" s="302">
        <v>0.57291666666666685</v>
      </c>
      <c r="B43" s="99">
        <v>0.58333333333333348</v>
      </c>
      <c r="C43" s="621">
        <v>13</v>
      </c>
      <c r="D43" s="621">
        <v>67</v>
      </c>
      <c r="E43" s="621">
        <v>25</v>
      </c>
      <c r="F43" s="621">
        <v>15</v>
      </c>
      <c r="G43" s="621">
        <v>82</v>
      </c>
      <c r="H43" s="621">
        <v>26</v>
      </c>
      <c r="I43" s="621">
        <v>21</v>
      </c>
      <c r="J43" s="621">
        <v>108</v>
      </c>
      <c r="K43" s="621">
        <v>14</v>
      </c>
      <c r="L43" s="621">
        <v>22</v>
      </c>
      <c r="M43" s="621">
        <v>137</v>
      </c>
      <c r="N43" s="621">
        <v>23</v>
      </c>
      <c r="O43" s="23">
        <f t="shared" si="19"/>
        <v>553</v>
      </c>
      <c r="P43" s="301">
        <f t="shared" si="36"/>
        <v>2005</v>
      </c>
      <c r="Q43" s="213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G43" s="662">
        <f t="shared" si="38"/>
        <v>0.58333333333333348</v>
      </c>
      <c r="AH43" s="260">
        <f t="shared" si="39"/>
        <v>105</v>
      </c>
      <c r="AI43" s="260">
        <f t="shared" si="40"/>
        <v>123</v>
      </c>
      <c r="AJ43" s="260">
        <f t="shared" si="41"/>
        <v>143</v>
      </c>
      <c r="AK43" s="260">
        <f t="shared" si="42"/>
        <v>182</v>
      </c>
      <c r="AM43" s="663">
        <f>IF(O43=0,"",O43*4/hr!$O$51)</f>
        <v>4.0705503332254193E-2</v>
      </c>
      <c r="AN43" s="663">
        <f>hr!$O$41</f>
        <v>4.6537493013094462E-2</v>
      </c>
      <c r="AP43" s="366">
        <f t="shared" si="37"/>
        <v>0</v>
      </c>
      <c r="AQ43" s="365">
        <f t="shared" si="24"/>
        <v>62</v>
      </c>
      <c r="AR43" s="365">
        <f t="shared" si="25"/>
        <v>245</v>
      </c>
      <c r="AS43" s="365">
        <f t="shared" si="26"/>
        <v>91</v>
      </c>
      <c r="AT43" s="365">
        <f t="shared" si="27"/>
        <v>42</v>
      </c>
      <c r="AU43" s="365">
        <f t="shared" si="28"/>
        <v>302</v>
      </c>
      <c r="AV43" s="365">
        <f t="shared" si="29"/>
        <v>79</v>
      </c>
      <c r="AW43" s="365">
        <f t="shared" si="30"/>
        <v>58</v>
      </c>
      <c r="AX43" s="365">
        <f t="shared" si="31"/>
        <v>428</v>
      </c>
      <c r="AY43" s="365">
        <f t="shared" si="32"/>
        <v>46</v>
      </c>
      <c r="AZ43" s="365">
        <f t="shared" si="33"/>
        <v>68</v>
      </c>
      <c r="BA43" s="365">
        <f t="shared" si="34"/>
        <v>478</v>
      </c>
      <c r="BB43" s="365">
        <f t="shared" si="35"/>
        <v>106</v>
      </c>
    </row>
    <row r="44" spans="1:54" x14ac:dyDescent="0.2">
      <c r="A44" s="300">
        <v>0.58333333333333348</v>
      </c>
      <c r="B44" s="13">
        <v>0.59375000000000011</v>
      </c>
      <c r="C44" s="621"/>
      <c r="D44" s="621"/>
      <c r="E44" s="621"/>
      <c r="F44" s="621"/>
      <c r="G44" s="621"/>
      <c r="H44" s="621"/>
      <c r="I44" s="621"/>
      <c r="J44" s="621"/>
      <c r="K44" s="621"/>
      <c r="L44" s="621"/>
      <c r="M44" s="621"/>
      <c r="N44" s="621"/>
      <c r="O44" s="23">
        <f t="shared" si="19"/>
        <v>0</v>
      </c>
      <c r="P44" s="301">
        <f t="shared" si="36"/>
        <v>1521</v>
      </c>
      <c r="Q44" s="213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G44" s="662">
        <f t="shared" si="38"/>
        <v>0.59375000000000011</v>
      </c>
      <c r="AH44" s="260">
        <f t="shared" si="39"/>
        <v>0</v>
      </c>
      <c r="AI44" s="260">
        <f t="shared" si="40"/>
        <v>0</v>
      </c>
      <c r="AJ44" s="260">
        <f t="shared" si="41"/>
        <v>0</v>
      </c>
      <c r="AK44" s="260">
        <f t="shared" si="42"/>
        <v>0</v>
      </c>
      <c r="AM44" s="663" t="str">
        <f>IF(O44=0,"",O44*4/hr!$O$51)</f>
        <v/>
      </c>
      <c r="AN44" s="663">
        <f>hr!$O$41</f>
        <v>4.6537493013094462E-2</v>
      </c>
      <c r="AP44" s="366">
        <f t="shared" si="37"/>
        <v>0</v>
      </c>
      <c r="AQ44" s="365">
        <f t="shared" si="24"/>
        <v>40</v>
      </c>
      <c r="AR44" s="365">
        <f t="shared" si="25"/>
        <v>186</v>
      </c>
      <c r="AS44" s="365">
        <f t="shared" si="26"/>
        <v>70</v>
      </c>
      <c r="AT44" s="365">
        <f t="shared" si="27"/>
        <v>34</v>
      </c>
      <c r="AU44" s="365">
        <f t="shared" si="28"/>
        <v>231</v>
      </c>
      <c r="AV44" s="365">
        <f t="shared" si="29"/>
        <v>63</v>
      </c>
      <c r="AW44" s="365">
        <f t="shared" si="30"/>
        <v>48</v>
      </c>
      <c r="AX44" s="365">
        <f t="shared" si="31"/>
        <v>322</v>
      </c>
      <c r="AY44" s="365">
        <f t="shared" si="32"/>
        <v>35</v>
      </c>
      <c r="AZ44" s="365">
        <f t="shared" si="33"/>
        <v>51</v>
      </c>
      <c r="BA44" s="365">
        <f t="shared" si="34"/>
        <v>359</v>
      </c>
      <c r="BB44" s="365">
        <f t="shared" si="35"/>
        <v>82</v>
      </c>
    </row>
    <row r="45" spans="1:54" x14ac:dyDescent="0.2">
      <c r="A45" s="300">
        <v>0.59375000000000011</v>
      </c>
      <c r="B45" s="13">
        <v>0.60416666666666674</v>
      </c>
      <c r="C45" s="621"/>
      <c r="D45" s="621"/>
      <c r="E45" s="621"/>
      <c r="F45" s="621"/>
      <c r="G45" s="621"/>
      <c r="H45" s="621"/>
      <c r="I45" s="621"/>
      <c r="J45" s="621"/>
      <c r="K45" s="621"/>
      <c r="L45" s="621"/>
      <c r="M45" s="621"/>
      <c r="N45" s="621"/>
      <c r="O45" s="23">
        <f t="shared" si="19"/>
        <v>0</v>
      </c>
      <c r="P45" s="301">
        <f t="shared" si="36"/>
        <v>1065</v>
      </c>
      <c r="Q45" s="213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G45" s="662">
        <f t="shared" si="38"/>
        <v>0.60416666666666674</v>
      </c>
      <c r="AH45" s="260">
        <f t="shared" si="39"/>
        <v>0</v>
      </c>
      <c r="AI45" s="260">
        <f t="shared" si="40"/>
        <v>0</v>
      </c>
      <c r="AJ45" s="260">
        <f t="shared" si="41"/>
        <v>0</v>
      </c>
      <c r="AK45" s="260">
        <f t="shared" si="42"/>
        <v>0</v>
      </c>
      <c r="AM45" s="663" t="str">
        <f>IF(O45=0,"",O45*4/hr!$O$51)</f>
        <v/>
      </c>
      <c r="AN45" s="663">
        <f>hr!$O$41</f>
        <v>4.6537493013094462E-2</v>
      </c>
      <c r="AP45" s="366">
        <f t="shared" si="37"/>
        <v>0</v>
      </c>
      <c r="AQ45" s="365">
        <f t="shared" si="24"/>
        <v>29</v>
      </c>
      <c r="AR45" s="365">
        <f t="shared" si="25"/>
        <v>125</v>
      </c>
      <c r="AS45" s="365">
        <f t="shared" si="26"/>
        <v>48</v>
      </c>
      <c r="AT45" s="365">
        <f t="shared" si="27"/>
        <v>27</v>
      </c>
      <c r="AU45" s="365">
        <f t="shared" si="28"/>
        <v>162</v>
      </c>
      <c r="AV45" s="365">
        <f t="shared" si="29"/>
        <v>48</v>
      </c>
      <c r="AW45" s="365">
        <f t="shared" si="30"/>
        <v>37</v>
      </c>
      <c r="AX45" s="365">
        <f t="shared" si="31"/>
        <v>218</v>
      </c>
      <c r="AY45" s="365">
        <f t="shared" si="32"/>
        <v>26</v>
      </c>
      <c r="AZ45" s="365">
        <f t="shared" si="33"/>
        <v>39</v>
      </c>
      <c r="BA45" s="365">
        <f t="shared" si="34"/>
        <v>252</v>
      </c>
      <c r="BB45" s="365">
        <f t="shared" si="35"/>
        <v>54</v>
      </c>
    </row>
    <row r="46" spans="1:54" x14ac:dyDescent="0.2">
      <c r="A46" s="300">
        <v>0.60416666666666674</v>
      </c>
      <c r="B46" s="13">
        <v>0.61458333333333337</v>
      </c>
      <c r="C46" s="621"/>
      <c r="D46" s="621"/>
      <c r="E46" s="621"/>
      <c r="F46" s="621"/>
      <c r="G46" s="621"/>
      <c r="H46" s="621"/>
      <c r="I46" s="621"/>
      <c r="J46" s="621"/>
      <c r="K46" s="621"/>
      <c r="L46" s="621"/>
      <c r="M46" s="621"/>
      <c r="N46" s="621"/>
      <c r="O46" s="23">
        <f t="shared" si="19"/>
        <v>0</v>
      </c>
      <c r="P46" s="301">
        <f>SUM(O43:O46)</f>
        <v>553</v>
      </c>
      <c r="Q46" s="213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G46" s="662">
        <f t="shared" si="38"/>
        <v>0.61458333333333337</v>
      </c>
      <c r="AH46" s="260">
        <f t="shared" si="39"/>
        <v>0</v>
      </c>
      <c r="AI46" s="260">
        <f t="shared" si="40"/>
        <v>0</v>
      </c>
      <c r="AJ46" s="260">
        <f t="shared" si="41"/>
        <v>0</v>
      </c>
      <c r="AK46" s="260">
        <f t="shared" si="42"/>
        <v>0</v>
      </c>
      <c r="AM46" s="663" t="str">
        <f>IF(O46=0,"",O46*4/hr!$O$51)</f>
        <v/>
      </c>
      <c r="AN46" s="663">
        <f>hr!$O$41</f>
        <v>4.6537493013094462E-2</v>
      </c>
      <c r="AP46" s="366">
        <f t="shared" si="37"/>
        <v>0</v>
      </c>
      <c r="AQ46" s="365">
        <f t="shared" si="24"/>
        <v>13</v>
      </c>
      <c r="AR46" s="365">
        <f t="shared" si="25"/>
        <v>67</v>
      </c>
      <c r="AS46" s="365">
        <f t="shared" si="26"/>
        <v>25</v>
      </c>
      <c r="AT46" s="365">
        <f t="shared" si="27"/>
        <v>15</v>
      </c>
      <c r="AU46" s="365">
        <f t="shared" si="28"/>
        <v>82</v>
      </c>
      <c r="AV46" s="365">
        <f t="shared" si="29"/>
        <v>26</v>
      </c>
      <c r="AW46" s="365">
        <f t="shared" si="30"/>
        <v>21</v>
      </c>
      <c r="AX46" s="365">
        <f t="shared" si="31"/>
        <v>108</v>
      </c>
      <c r="AY46" s="365">
        <f t="shared" si="32"/>
        <v>14</v>
      </c>
      <c r="AZ46" s="365">
        <f t="shared" si="33"/>
        <v>22</v>
      </c>
      <c r="BA46" s="365">
        <f t="shared" si="34"/>
        <v>137</v>
      </c>
      <c r="BB46" s="365">
        <f t="shared" si="35"/>
        <v>23</v>
      </c>
    </row>
    <row r="47" spans="1:54" x14ac:dyDescent="0.2">
      <c r="A47" s="302">
        <v>0.61458333333333337</v>
      </c>
      <c r="B47" s="99">
        <v>0.625</v>
      </c>
      <c r="C47" s="621"/>
      <c r="D47" s="621"/>
      <c r="E47" s="621"/>
      <c r="F47" s="621"/>
      <c r="G47" s="621"/>
      <c r="H47" s="621"/>
      <c r="I47" s="621"/>
      <c r="J47" s="621"/>
      <c r="K47" s="621"/>
      <c r="L47" s="621"/>
      <c r="M47" s="621"/>
      <c r="N47" s="621"/>
      <c r="O47" s="23">
        <f t="shared" si="19"/>
        <v>0</v>
      </c>
      <c r="P47" s="301">
        <f t="shared" si="36"/>
        <v>0</v>
      </c>
      <c r="Q47" s="213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G47" s="662">
        <f t="shared" si="38"/>
        <v>0.625</v>
      </c>
      <c r="AH47" s="260">
        <f t="shared" si="39"/>
        <v>0</v>
      </c>
      <c r="AI47" s="260">
        <f t="shared" si="40"/>
        <v>0</v>
      </c>
      <c r="AJ47" s="260">
        <f t="shared" si="41"/>
        <v>0</v>
      </c>
      <c r="AK47" s="260">
        <f t="shared" si="42"/>
        <v>0</v>
      </c>
      <c r="AM47" s="663" t="str">
        <f>IF(O47=0,"",O47*4/hr!$O$51)</f>
        <v/>
      </c>
      <c r="AN47" s="663">
        <f>hr!$O$41</f>
        <v>4.6537493013094462E-2</v>
      </c>
      <c r="AP47" s="366">
        <f t="shared" si="37"/>
        <v>0</v>
      </c>
      <c r="AQ47" s="365">
        <f t="shared" si="24"/>
        <v>0</v>
      </c>
      <c r="AR47" s="365">
        <f t="shared" si="25"/>
        <v>0</v>
      </c>
      <c r="AS47" s="365">
        <f t="shared" si="26"/>
        <v>0</v>
      </c>
      <c r="AT47" s="365">
        <f t="shared" si="27"/>
        <v>0</v>
      </c>
      <c r="AU47" s="365">
        <f t="shared" si="28"/>
        <v>0</v>
      </c>
      <c r="AV47" s="365">
        <f t="shared" si="29"/>
        <v>0</v>
      </c>
      <c r="AW47" s="365">
        <f t="shared" si="30"/>
        <v>0</v>
      </c>
      <c r="AX47" s="365">
        <f t="shared" si="31"/>
        <v>0</v>
      </c>
      <c r="AY47" s="365">
        <f t="shared" si="32"/>
        <v>0</v>
      </c>
      <c r="AZ47" s="365">
        <f t="shared" si="33"/>
        <v>0</v>
      </c>
      <c r="BA47" s="365">
        <f t="shared" si="34"/>
        <v>0</v>
      </c>
      <c r="BB47" s="365">
        <f t="shared" si="35"/>
        <v>0</v>
      </c>
    </row>
    <row r="48" spans="1:54" x14ac:dyDescent="0.2">
      <c r="A48" s="300">
        <v>0.625</v>
      </c>
      <c r="B48" s="13">
        <v>0.63541666666666663</v>
      </c>
      <c r="C48" s="621">
        <v>19</v>
      </c>
      <c r="D48" s="621">
        <v>67</v>
      </c>
      <c r="E48" s="621">
        <v>19</v>
      </c>
      <c r="F48" s="621">
        <v>23</v>
      </c>
      <c r="G48" s="621">
        <v>61</v>
      </c>
      <c r="H48" s="621">
        <v>32</v>
      </c>
      <c r="I48" s="621">
        <v>33</v>
      </c>
      <c r="J48" s="621">
        <v>178</v>
      </c>
      <c r="K48" s="621">
        <v>25</v>
      </c>
      <c r="L48" s="621">
        <v>9</v>
      </c>
      <c r="M48" s="621">
        <v>130</v>
      </c>
      <c r="N48" s="621">
        <v>15</v>
      </c>
      <c r="O48" s="23">
        <f t="shared" si="19"/>
        <v>611</v>
      </c>
      <c r="P48" s="301">
        <f t="shared" si="36"/>
        <v>611</v>
      </c>
      <c r="Q48" s="213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G48" s="662">
        <f t="shared" si="38"/>
        <v>0.63541666666666663</v>
      </c>
      <c r="AH48" s="260">
        <f t="shared" si="39"/>
        <v>105</v>
      </c>
      <c r="AI48" s="260">
        <f t="shared" si="40"/>
        <v>116</v>
      </c>
      <c r="AJ48" s="260">
        <f t="shared" si="41"/>
        <v>236</v>
      </c>
      <c r="AK48" s="260">
        <f t="shared" si="42"/>
        <v>154</v>
      </c>
      <c r="AM48" s="663">
        <f>IF(O48=0,"",O48*4/hr!$O$51)</f>
        <v>4.4974796629307985E-2</v>
      </c>
      <c r="AN48" s="663"/>
      <c r="AP48" s="366">
        <f t="shared" si="37"/>
        <v>0</v>
      </c>
      <c r="AQ48" s="365">
        <f t="shared" si="24"/>
        <v>19</v>
      </c>
      <c r="AR48" s="365">
        <f t="shared" si="25"/>
        <v>67</v>
      </c>
      <c r="AS48" s="365">
        <f t="shared" si="26"/>
        <v>19</v>
      </c>
      <c r="AT48" s="365">
        <f t="shared" si="27"/>
        <v>23</v>
      </c>
      <c r="AU48" s="365">
        <f t="shared" si="28"/>
        <v>61</v>
      </c>
      <c r="AV48" s="365">
        <f t="shared" si="29"/>
        <v>32</v>
      </c>
      <c r="AW48" s="365">
        <f t="shared" si="30"/>
        <v>33</v>
      </c>
      <c r="AX48" s="365">
        <f t="shared" si="31"/>
        <v>178</v>
      </c>
      <c r="AY48" s="365">
        <f t="shared" si="32"/>
        <v>25</v>
      </c>
      <c r="AZ48" s="365">
        <f t="shared" si="33"/>
        <v>9</v>
      </c>
      <c r="BA48" s="365">
        <f t="shared" si="34"/>
        <v>130</v>
      </c>
      <c r="BB48" s="365">
        <f t="shared" si="35"/>
        <v>15</v>
      </c>
    </row>
    <row r="49" spans="1:54" x14ac:dyDescent="0.2">
      <c r="A49" s="300">
        <v>0.63541666666666663</v>
      </c>
      <c r="B49" s="13">
        <v>0.64583333333333326</v>
      </c>
      <c r="C49" s="621">
        <v>23</v>
      </c>
      <c r="D49" s="621">
        <v>79</v>
      </c>
      <c r="E49" s="621">
        <v>27</v>
      </c>
      <c r="F49" s="621">
        <v>38</v>
      </c>
      <c r="G49" s="621">
        <v>78</v>
      </c>
      <c r="H49" s="621">
        <v>43</v>
      </c>
      <c r="I49" s="621">
        <v>39</v>
      </c>
      <c r="J49" s="621">
        <v>206</v>
      </c>
      <c r="K49" s="621">
        <v>33</v>
      </c>
      <c r="L49" s="621">
        <v>11</v>
      </c>
      <c r="M49" s="621">
        <v>142</v>
      </c>
      <c r="N49" s="621">
        <v>13</v>
      </c>
      <c r="O49" s="23">
        <f t="shared" si="19"/>
        <v>732</v>
      </c>
      <c r="P49" s="301">
        <f t="shared" si="36"/>
        <v>1343</v>
      </c>
      <c r="Q49" s="213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G49" s="662">
        <f t="shared" si="38"/>
        <v>0.64583333333333326</v>
      </c>
      <c r="AH49" s="260">
        <f t="shared" si="39"/>
        <v>129</v>
      </c>
      <c r="AI49" s="260">
        <f t="shared" si="40"/>
        <v>159</v>
      </c>
      <c r="AJ49" s="260">
        <f t="shared" si="41"/>
        <v>278</v>
      </c>
      <c r="AK49" s="260">
        <f t="shared" si="42"/>
        <v>166</v>
      </c>
      <c r="AM49" s="663">
        <f>IF(O49=0,"",O49*4/hr!$O$51)</f>
        <v>5.3881425749023638E-2</v>
      </c>
      <c r="AN49" s="663"/>
      <c r="AP49" s="366">
        <f t="shared" si="37"/>
        <v>0</v>
      </c>
      <c r="AQ49" s="365">
        <f t="shared" si="24"/>
        <v>42</v>
      </c>
      <c r="AR49" s="365">
        <f t="shared" si="25"/>
        <v>146</v>
      </c>
      <c r="AS49" s="365">
        <f t="shared" si="26"/>
        <v>46</v>
      </c>
      <c r="AT49" s="365">
        <f t="shared" si="27"/>
        <v>61</v>
      </c>
      <c r="AU49" s="365">
        <f t="shared" si="28"/>
        <v>139</v>
      </c>
      <c r="AV49" s="365">
        <f t="shared" si="29"/>
        <v>75</v>
      </c>
      <c r="AW49" s="365">
        <f t="shared" si="30"/>
        <v>72</v>
      </c>
      <c r="AX49" s="365">
        <f t="shared" si="31"/>
        <v>384</v>
      </c>
      <c r="AY49" s="365">
        <f t="shared" si="32"/>
        <v>58</v>
      </c>
      <c r="AZ49" s="365">
        <f t="shared" si="33"/>
        <v>20</v>
      </c>
      <c r="BA49" s="365">
        <f t="shared" si="34"/>
        <v>272</v>
      </c>
      <c r="BB49" s="365">
        <f t="shared" si="35"/>
        <v>28</v>
      </c>
    </row>
    <row r="50" spans="1:54" x14ac:dyDescent="0.2">
      <c r="A50" s="300">
        <v>0.64583333333333326</v>
      </c>
      <c r="B50" s="13">
        <v>0.65624999999999989</v>
      </c>
      <c r="C50" s="621">
        <v>30</v>
      </c>
      <c r="D50" s="621">
        <v>84</v>
      </c>
      <c r="E50" s="621">
        <v>33</v>
      </c>
      <c r="F50" s="621">
        <v>42</v>
      </c>
      <c r="G50" s="621">
        <v>69</v>
      </c>
      <c r="H50" s="621">
        <v>52</v>
      </c>
      <c r="I50" s="621">
        <v>47</v>
      </c>
      <c r="J50" s="621">
        <v>231</v>
      </c>
      <c r="K50" s="621">
        <v>41</v>
      </c>
      <c r="L50" s="621">
        <v>11</v>
      </c>
      <c r="M50" s="621">
        <v>158</v>
      </c>
      <c r="N50" s="621">
        <v>19</v>
      </c>
      <c r="O50" s="23">
        <f t="shared" si="19"/>
        <v>817</v>
      </c>
      <c r="P50" s="301">
        <f t="shared" si="36"/>
        <v>2160</v>
      </c>
      <c r="Q50" s="213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G50" s="662">
        <f t="shared" si="38"/>
        <v>0.65624999999999989</v>
      </c>
      <c r="AH50" s="260">
        <f t="shared" si="39"/>
        <v>147</v>
      </c>
      <c r="AI50" s="260">
        <f t="shared" si="40"/>
        <v>163</v>
      </c>
      <c r="AJ50" s="260">
        <f t="shared" si="41"/>
        <v>319</v>
      </c>
      <c r="AK50" s="260">
        <f t="shared" si="42"/>
        <v>188</v>
      </c>
      <c r="AM50" s="663">
        <f>IF(O50=0,"",O50*4/hr!$O$51)</f>
        <v>6.0138148684361084E-2</v>
      </c>
      <c r="AN50" s="663">
        <f>hr!$O$42</f>
        <v>9.8535530348685674E-2</v>
      </c>
      <c r="AP50" s="366">
        <f t="shared" si="37"/>
        <v>0</v>
      </c>
      <c r="AQ50" s="365">
        <f t="shared" si="24"/>
        <v>72</v>
      </c>
      <c r="AR50" s="365">
        <f t="shared" si="25"/>
        <v>230</v>
      </c>
      <c r="AS50" s="365">
        <f t="shared" si="26"/>
        <v>79</v>
      </c>
      <c r="AT50" s="365">
        <f t="shared" si="27"/>
        <v>103</v>
      </c>
      <c r="AU50" s="365">
        <f t="shared" si="28"/>
        <v>208</v>
      </c>
      <c r="AV50" s="365">
        <f t="shared" si="29"/>
        <v>127</v>
      </c>
      <c r="AW50" s="365">
        <f t="shared" si="30"/>
        <v>119</v>
      </c>
      <c r="AX50" s="365">
        <f t="shared" si="31"/>
        <v>615</v>
      </c>
      <c r="AY50" s="365">
        <f t="shared" si="32"/>
        <v>99</v>
      </c>
      <c r="AZ50" s="365">
        <f t="shared" si="33"/>
        <v>31</v>
      </c>
      <c r="BA50" s="365">
        <f t="shared" si="34"/>
        <v>430</v>
      </c>
      <c r="BB50" s="365">
        <f t="shared" si="35"/>
        <v>47</v>
      </c>
    </row>
    <row r="51" spans="1:54" x14ac:dyDescent="0.2">
      <c r="A51" s="302">
        <v>0.65624999999999989</v>
      </c>
      <c r="B51" s="99">
        <v>0.66666666666666652</v>
      </c>
      <c r="C51" s="621">
        <v>21</v>
      </c>
      <c r="D51" s="621">
        <v>99</v>
      </c>
      <c r="E51" s="621">
        <v>21</v>
      </c>
      <c r="F51" s="621">
        <v>54</v>
      </c>
      <c r="G51" s="621">
        <v>75</v>
      </c>
      <c r="H51" s="621">
        <v>64</v>
      </c>
      <c r="I51" s="621">
        <v>56</v>
      </c>
      <c r="J51" s="621">
        <v>262</v>
      </c>
      <c r="K51" s="621">
        <v>52</v>
      </c>
      <c r="L51" s="621">
        <v>11</v>
      </c>
      <c r="M51" s="621">
        <v>163</v>
      </c>
      <c r="N51" s="621">
        <v>22</v>
      </c>
      <c r="O51" s="23">
        <f t="shared" si="19"/>
        <v>900</v>
      </c>
      <c r="P51" s="301">
        <f t="shared" si="36"/>
        <v>3060</v>
      </c>
      <c r="Q51" s="213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G51" s="662">
        <f t="shared" si="38"/>
        <v>0.66666666666666652</v>
      </c>
      <c r="AH51" s="260">
        <f t="shared" si="39"/>
        <v>141</v>
      </c>
      <c r="AI51" s="260">
        <f t="shared" si="40"/>
        <v>193</v>
      </c>
      <c r="AJ51" s="260">
        <f t="shared" si="41"/>
        <v>370</v>
      </c>
      <c r="AK51" s="260">
        <f t="shared" si="42"/>
        <v>196</v>
      </c>
      <c r="AM51" s="663">
        <f>IF(O51=0,"",O51*4/hr!$O$51)</f>
        <v>6.6247654609455295E-2</v>
      </c>
      <c r="AN51" s="663">
        <f>hr!$O$42</f>
        <v>9.8535530348685674E-2</v>
      </c>
      <c r="AP51" s="366">
        <f t="shared" si="37"/>
        <v>0</v>
      </c>
      <c r="AQ51" s="365">
        <f t="shared" si="24"/>
        <v>93</v>
      </c>
      <c r="AR51" s="365">
        <f t="shared" si="25"/>
        <v>329</v>
      </c>
      <c r="AS51" s="365">
        <f t="shared" si="26"/>
        <v>100</v>
      </c>
      <c r="AT51" s="365">
        <f t="shared" si="27"/>
        <v>157</v>
      </c>
      <c r="AU51" s="365">
        <f t="shared" si="28"/>
        <v>283</v>
      </c>
      <c r="AV51" s="365">
        <f t="shared" si="29"/>
        <v>191</v>
      </c>
      <c r="AW51" s="365">
        <f t="shared" si="30"/>
        <v>175</v>
      </c>
      <c r="AX51" s="365">
        <f t="shared" si="31"/>
        <v>877</v>
      </c>
      <c r="AY51" s="365">
        <f t="shared" si="32"/>
        <v>151</v>
      </c>
      <c r="AZ51" s="365">
        <f t="shared" si="33"/>
        <v>42</v>
      </c>
      <c r="BA51" s="365">
        <f t="shared" si="34"/>
        <v>593</v>
      </c>
      <c r="BB51" s="365">
        <f t="shared" si="35"/>
        <v>69</v>
      </c>
    </row>
    <row r="52" spans="1:54" x14ac:dyDescent="0.2">
      <c r="A52" s="300">
        <v>0.66666666666666652</v>
      </c>
      <c r="B52" s="13">
        <v>0.67708333333333315</v>
      </c>
      <c r="C52" s="621">
        <v>26</v>
      </c>
      <c r="D52" s="621">
        <v>104</v>
      </c>
      <c r="E52" s="621">
        <v>23</v>
      </c>
      <c r="F52" s="621">
        <v>66</v>
      </c>
      <c r="G52" s="621">
        <v>82</v>
      </c>
      <c r="H52" s="621">
        <v>73</v>
      </c>
      <c r="I52" s="621">
        <v>65</v>
      </c>
      <c r="J52" s="621">
        <v>280</v>
      </c>
      <c r="K52" s="621">
        <v>57</v>
      </c>
      <c r="L52" s="621">
        <v>9</v>
      </c>
      <c r="M52" s="621">
        <v>171</v>
      </c>
      <c r="N52" s="621">
        <v>24</v>
      </c>
      <c r="O52" s="23">
        <f t="shared" si="19"/>
        <v>980</v>
      </c>
      <c r="P52" s="301">
        <f t="shared" si="36"/>
        <v>3429</v>
      </c>
      <c r="Q52" s="213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G52" s="662">
        <f t="shared" si="38"/>
        <v>0.67708333333333315</v>
      </c>
      <c r="AH52" s="260">
        <f t="shared" si="39"/>
        <v>153</v>
      </c>
      <c r="AI52" s="260">
        <f t="shared" si="40"/>
        <v>221</v>
      </c>
      <c r="AJ52" s="260">
        <f t="shared" si="41"/>
        <v>402</v>
      </c>
      <c r="AK52" s="260">
        <f t="shared" si="42"/>
        <v>204</v>
      </c>
      <c r="AM52" s="663">
        <f>IF(O52=0,"",O52*4/hr!$O$51)</f>
        <v>7.213633501918465E-2</v>
      </c>
      <c r="AN52" s="663">
        <f>hr!$O$42</f>
        <v>9.8535530348685674E-2</v>
      </c>
      <c r="AP52" s="366">
        <f t="shared" si="37"/>
        <v>0</v>
      </c>
      <c r="AQ52" s="365">
        <f t="shared" si="24"/>
        <v>100</v>
      </c>
      <c r="AR52" s="365">
        <f t="shared" si="25"/>
        <v>366</v>
      </c>
      <c r="AS52" s="365">
        <f t="shared" si="26"/>
        <v>104</v>
      </c>
      <c r="AT52" s="365">
        <f t="shared" si="27"/>
        <v>200</v>
      </c>
      <c r="AU52" s="365">
        <f t="shared" si="28"/>
        <v>304</v>
      </c>
      <c r="AV52" s="365">
        <f t="shared" si="29"/>
        <v>232</v>
      </c>
      <c r="AW52" s="365">
        <f t="shared" si="30"/>
        <v>207</v>
      </c>
      <c r="AX52" s="365">
        <f t="shared" si="31"/>
        <v>979</v>
      </c>
      <c r="AY52" s="365">
        <f t="shared" si="32"/>
        <v>183</v>
      </c>
      <c r="AZ52" s="365">
        <f t="shared" si="33"/>
        <v>42</v>
      </c>
      <c r="BA52" s="365">
        <f t="shared" si="34"/>
        <v>634</v>
      </c>
      <c r="BB52" s="365">
        <f t="shared" si="35"/>
        <v>78</v>
      </c>
    </row>
    <row r="53" spans="1:54" x14ac:dyDescent="0.2">
      <c r="A53" s="300">
        <v>0.67708333333333315</v>
      </c>
      <c r="B53" s="13">
        <v>0.68749999999999978</v>
      </c>
      <c r="C53" s="621">
        <v>33</v>
      </c>
      <c r="D53" s="621">
        <v>110</v>
      </c>
      <c r="E53" s="621">
        <v>29</v>
      </c>
      <c r="F53" s="621">
        <v>69</v>
      </c>
      <c r="G53" s="621">
        <v>90</v>
      </c>
      <c r="H53" s="621">
        <v>82</v>
      </c>
      <c r="I53" s="621">
        <v>70</v>
      </c>
      <c r="J53" s="621">
        <v>326</v>
      </c>
      <c r="K53" s="621">
        <v>64</v>
      </c>
      <c r="L53" s="621">
        <v>11</v>
      </c>
      <c r="M53" s="621">
        <v>198</v>
      </c>
      <c r="N53" s="621">
        <v>30</v>
      </c>
      <c r="O53" s="23">
        <f t="shared" si="19"/>
        <v>1112</v>
      </c>
      <c r="P53" s="301">
        <f t="shared" si="36"/>
        <v>3809</v>
      </c>
      <c r="Q53" s="213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G53" s="662">
        <f t="shared" si="38"/>
        <v>0.68749999999999978</v>
      </c>
      <c r="AH53" s="260">
        <f t="shared" si="39"/>
        <v>172</v>
      </c>
      <c r="AI53" s="260">
        <f t="shared" si="40"/>
        <v>241</v>
      </c>
      <c r="AJ53" s="260">
        <f t="shared" si="41"/>
        <v>460</v>
      </c>
      <c r="AK53" s="260">
        <f t="shared" si="42"/>
        <v>239</v>
      </c>
      <c r="AM53" s="663">
        <f>IF(O53=0,"",O53*4/hr!$O$51)</f>
        <v>8.1852657695238099E-2</v>
      </c>
      <c r="AN53" s="663">
        <f>hr!$O$42</f>
        <v>9.8535530348685674E-2</v>
      </c>
      <c r="AP53" s="366">
        <f t="shared" si="37"/>
        <v>0</v>
      </c>
      <c r="AQ53" s="365">
        <f t="shared" si="24"/>
        <v>110</v>
      </c>
      <c r="AR53" s="365">
        <f t="shared" si="25"/>
        <v>397</v>
      </c>
      <c r="AS53" s="365">
        <f t="shared" si="26"/>
        <v>106</v>
      </c>
      <c r="AT53" s="365">
        <f t="shared" si="27"/>
        <v>231</v>
      </c>
      <c r="AU53" s="365">
        <f t="shared" si="28"/>
        <v>316</v>
      </c>
      <c r="AV53" s="365">
        <f t="shared" si="29"/>
        <v>271</v>
      </c>
      <c r="AW53" s="365">
        <f t="shared" si="30"/>
        <v>238</v>
      </c>
      <c r="AX53" s="365">
        <f t="shared" si="31"/>
        <v>1099</v>
      </c>
      <c r="AY53" s="365">
        <f t="shared" si="32"/>
        <v>214</v>
      </c>
      <c r="AZ53" s="365">
        <f t="shared" si="33"/>
        <v>42</v>
      </c>
      <c r="BA53" s="365">
        <f t="shared" si="34"/>
        <v>690</v>
      </c>
      <c r="BB53" s="365">
        <f t="shared" si="35"/>
        <v>95</v>
      </c>
    </row>
    <row r="54" spans="1:54" x14ac:dyDescent="0.2">
      <c r="A54" s="617">
        <v>0.68749999999999978</v>
      </c>
      <c r="B54" s="618">
        <v>0.69791666666666641</v>
      </c>
      <c r="C54" s="621">
        <v>56</v>
      </c>
      <c r="D54" s="621">
        <v>109</v>
      </c>
      <c r="E54" s="621">
        <v>12</v>
      </c>
      <c r="F54" s="621">
        <v>61</v>
      </c>
      <c r="G54" s="621">
        <v>72</v>
      </c>
      <c r="H54" s="621">
        <v>85</v>
      </c>
      <c r="I54" s="621">
        <v>73</v>
      </c>
      <c r="J54" s="621">
        <v>380</v>
      </c>
      <c r="K54" s="621">
        <v>70</v>
      </c>
      <c r="L54" s="621">
        <v>9</v>
      </c>
      <c r="M54" s="621">
        <v>201</v>
      </c>
      <c r="N54" s="621">
        <v>32</v>
      </c>
      <c r="O54" s="23">
        <f t="shared" si="19"/>
        <v>1160</v>
      </c>
      <c r="P54" s="301">
        <f t="shared" si="36"/>
        <v>4152</v>
      </c>
      <c r="Q54" s="213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G54" s="662">
        <f t="shared" si="38"/>
        <v>0.69791666666666641</v>
      </c>
      <c r="AH54" s="260">
        <f t="shared" si="39"/>
        <v>177</v>
      </c>
      <c r="AI54" s="260">
        <f t="shared" si="40"/>
        <v>218</v>
      </c>
      <c r="AJ54" s="260">
        <f t="shared" si="41"/>
        <v>523</v>
      </c>
      <c r="AK54" s="260">
        <f t="shared" si="42"/>
        <v>242</v>
      </c>
      <c r="AM54" s="663">
        <f>IF(O54=0,"",O54*4/hr!$O$51)</f>
        <v>8.5385865941075709E-2</v>
      </c>
      <c r="AN54" s="663">
        <f>hr!$O$42</f>
        <v>9.8535530348685674E-2</v>
      </c>
      <c r="AP54" s="366">
        <f t="shared" si="37"/>
        <v>0</v>
      </c>
      <c r="AQ54" s="365">
        <f t="shared" si="24"/>
        <v>136</v>
      </c>
      <c r="AR54" s="365">
        <f t="shared" si="25"/>
        <v>422</v>
      </c>
      <c r="AS54" s="365">
        <f t="shared" si="26"/>
        <v>85</v>
      </c>
      <c r="AT54" s="365">
        <f t="shared" si="27"/>
        <v>250</v>
      </c>
      <c r="AU54" s="365">
        <f t="shared" si="28"/>
        <v>319</v>
      </c>
      <c r="AV54" s="365">
        <f t="shared" si="29"/>
        <v>304</v>
      </c>
      <c r="AW54" s="365">
        <f t="shared" si="30"/>
        <v>264</v>
      </c>
      <c r="AX54" s="365">
        <f t="shared" si="31"/>
        <v>1248</v>
      </c>
      <c r="AY54" s="365">
        <f t="shared" si="32"/>
        <v>243</v>
      </c>
      <c r="AZ54" s="365">
        <f t="shared" si="33"/>
        <v>40</v>
      </c>
      <c r="BA54" s="365">
        <f t="shared" si="34"/>
        <v>733</v>
      </c>
      <c r="BB54" s="365">
        <f t="shared" si="35"/>
        <v>108</v>
      </c>
    </row>
    <row r="55" spans="1:54" x14ac:dyDescent="0.2">
      <c r="A55" s="619">
        <v>0.69791666666666641</v>
      </c>
      <c r="B55" s="620">
        <v>0.70833333333333304</v>
      </c>
      <c r="C55" s="621">
        <v>72</v>
      </c>
      <c r="D55" s="621">
        <v>123</v>
      </c>
      <c r="E55" s="621">
        <v>17</v>
      </c>
      <c r="F55" s="621">
        <v>59</v>
      </c>
      <c r="G55" s="621">
        <v>64</v>
      </c>
      <c r="H55" s="621">
        <v>70</v>
      </c>
      <c r="I55" s="621">
        <v>75</v>
      </c>
      <c r="J55" s="621">
        <v>392</v>
      </c>
      <c r="K55" s="621">
        <v>68</v>
      </c>
      <c r="L55" s="621">
        <v>14</v>
      </c>
      <c r="M55" s="621">
        <v>209</v>
      </c>
      <c r="N55" s="621">
        <v>41</v>
      </c>
      <c r="O55" s="23">
        <f>SUM(C55:N55)</f>
        <v>1204</v>
      </c>
      <c r="P55" s="301">
        <f t="shared" si="36"/>
        <v>4456</v>
      </c>
      <c r="Q55" s="213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G55" s="662">
        <f t="shared" si="38"/>
        <v>0.70833333333333304</v>
      </c>
      <c r="AH55" s="260">
        <f t="shared" si="39"/>
        <v>212</v>
      </c>
      <c r="AI55" s="260">
        <f t="shared" si="40"/>
        <v>193</v>
      </c>
      <c r="AJ55" s="260">
        <f t="shared" si="41"/>
        <v>535</v>
      </c>
      <c r="AK55" s="260">
        <f t="shared" si="42"/>
        <v>264</v>
      </c>
      <c r="AM55" s="663">
        <f>IF(O55=0,"",O55*4/hr!$O$51)</f>
        <v>8.8624640166426863E-2</v>
      </c>
      <c r="AN55" s="663">
        <f>hr!$O$42</f>
        <v>9.8535530348685674E-2</v>
      </c>
      <c r="AP55" s="366">
        <f t="shared" si="37"/>
        <v>0</v>
      </c>
      <c r="AQ55" s="365">
        <f t="shared" si="24"/>
        <v>187</v>
      </c>
      <c r="AR55" s="365">
        <f t="shared" si="25"/>
        <v>446</v>
      </c>
      <c r="AS55" s="365">
        <f t="shared" si="26"/>
        <v>81</v>
      </c>
      <c r="AT55" s="365">
        <f t="shared" si="27"/>
        <v>255</v>
      </c>
      <c r="AU55" s="365">
        <f t="shared" si="28"/>
        <v>308</v>
      </c>
      <c r="AV55" s="365">
        <f t="shared" si="29"/>
        <v>310</v>
      </c>
      <c r="AW55" s="365">
        <f t="shared" si="30"/>
        <v>283</v>
      </c>
      <c r="AX55" s="365">
        <f t="shared" si="31"/>
        <v>1378</v>
      </c>
      <c r="AY55" s="365">
        <f t="shared" si="32"/>
        <v>259</v>
      </c>
      <c r="AZ55" s="365">
        <f t="shared" si="33"/>
        <v>43</v>
      </c>
      <c r="BA55" s="365">
        <f t="shared" si="34"/>
        <v>779</v>
      </c>
      <c r="BB55" s="365">
        <f t="shared" si="35"/>
        <v>127</v>
      </c>
    </row>
    <row r="56" spans="1:54" x14ac:dyDescent="0.2">
      <c r="A56" s="617">
        <v>0.70833333333333304</v>
      </c>
      <c r="B56" s="618">
        <v>0.71874999999999967</v>
      </c>
      <c r="C56" s="621">
        <v>71</v>
      </c>
      <c r="D56" s="621">
        <v>147</v>
      </c>
      <c r="E56" s="621">
        <v>12</v>
      </c>
      <c r="F56" s="621">
        <v>64</v>
      </c>
      <c r="G56" s="621">
        <v>88</v>
      </c>
      <c r="H56" s="621">
        <v>76</v>
      </c>
      <c r="I56" s="621">
        <v>72</v>
      </c>
      <c r="J56" s="621">
        <v>324</v>
      </c>
      <c r="K56" s="621">
        <v>61</v>
      </c>
      <c r="L56" s="621">
        <v>18</v>
      </c>
      <c r="M56" s="621">
        <v>221</v>
      </c>
      <c r="N56" s="621">
        <v>36</v>
      </c>
      <c r="O56" s="23">
        <f t="shared" si="19"/>
        <v>1190</v>
      </c>
      <c r="P56" s="301">
        <f t="shared" si="36"/>
        <v>4666</v>
      </c>
      <c r="Q56" s="213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G56" s="662">
        <f t="shared" si="38"/>
        <v>0.71874999999999967</v>
      </c>
      <c r="AH56" s="260">
        <f t="shared" si="39"/>
        <v>230</v>
      </c>
      <c r="AI56" s="260">
        <f t="shared" si="40"/>
        <v>228</v>
      </c>
      <c r="AJ56" s="260">
        <f t="shared" si="41"/>
        <v>457</v>
      </c>
      <c r="AK56" s="260">
        <f t="shared" si="42"/>
        <v>275</v>
      </c>
      <c r="AM56" s="663">
        <f>IF(O56=0,"",O56*4/hr!$O$51)</f>
        <v>8.7594121094724225E-2</v>
      </c>
      <c r="AN56" s="663">
        <f>hr!$O$42</f>
        <v>9.8535530348685674E-2</v>
      </c>
      <c r="AP56" s="366">
        <f t="shared" si="37"/>
        <v>0</v>
      </c>
      <c r="AQ56" s="365">
        <f t="shared" si="24"/>
        <v>232</v>
      </c>
      <c r="AR56" s="365">
        <f t="shared" si="25"/>
        <v>489</v>
      </c>
      <c r="AS56" s="365">
        <f t="shared" si="26"/>
        <v>70</v>
      </c>
      <c r="AT56" s="365">
        <f t="shared" si="27"/>
        <v>253</v>
      </c>
      <c r="AU56" s="365">
        <f t="shared" si="28"/>
        <v>314</v>
      </c>
      <c r="AV56" s="365">
        <f t="shared" si="29"/>
        <v>313</v>
      </c>
      <c r="AW56" s="365">
        <f t="shared" si="30"/>
        <v>290</v>
      </c>
      <c r="AX56" s="365">
        <f t="shared" si="31"/>
        <v>1422</v>
      </c>
      <c r="AY56" s="365">
        <f t="shared" si="32"/>
        <v>263</v>
      </c>
      <c r="AZ56" s="365">
        <f t="shared" si="33"/>
        <v>52</v>
      </c>
      <c r="BA56" s="365">
        <f t="shared" si="34"/>
        <v>829</v>
      </c>
      <c r="BB56" s="365">
        <f t="shared" si="35"/>
        <v>139</v>
      </c>
    </row>
    <row r="57" spans="1:54" x14ac:dyDescent="0.2">
      <c r="A57" s="617">
        <v>0.71874999999999967</v>
      </c>
      <c r="B57" s="618">
        <v>0.7291666666666663</v>
      </c>
      <c r="C57" s="621">
        <v>86</v>
      </c>
      <c r="D57" s="621">
        <v>159</v>
      </c>
      <c r="E57" s="621">
        <v>14</v>
      </c>
      <c r="F57" s="621">
        <v>61</v>
      </c>
      <c r="G57" s="621">
        <v>63</v>
      </c>
      <c r="H57" s="621">
        <v>66</v>
      </c>
      <c r="I57" s="621">
        <v>66</v>
      </c>
      <c r="J57" s="621">
        <v>310</v>
      </c>
      <c r="K57" s="621">
        <v>59</v>
      </c>
      <c r="L57" s="621">
        <v>16</v>
      </c>
      <c r="M57" s="621">
        <v>236</v>
      </c>
      <c r="N57" s="621">
        <v>37</v>
      </c>
      <c r="O57" s="23">
        <f t="shared" si="19"/>
        <v>1173</v>
      </c>
      <c r="P57" s="301">
        <f t="shared" si="36"/>
        <v>4727</v>
      </c>
      <c r="Q57" s="213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G57" s="662">
        <f t="shared" si="38"/>
        <v>0.7291666666666663</v>
      </c>
      <c r="AH57" s="260">
        <f t="shared" si="39"/>
        <v>259</v>
      </c>
      <c r="AI57" s="260">
        <f t="shared" si="40"/>
        <v>190</v>
      </c>
      <c r="AJ57" s="260">
        <f t="shared" si="41"/>
        <v>435</v>
      </c>
      <c r="AK57" s="260">
        <f t="shared" si="42"/>
        <v>289</v>
      </c>
      <c r="AM57" s="663">
        <f>IF(O57=0,"",O57*4/hr!$O$51)</f>
        <v>8.6342776507656732E-2</v>
      </c>
      <c r="AN57" s="663">
        <f>hr!$O$42</f>
        <v>9.8535530348685674E-2</v>
      </c>
      <c r="AP57" s="366">
        <f t="shared" si="37"/>
        <v>0</v>
      </c>
      <c r="AQ57" s="365">
        <f t="shared" si="24"/>
        <v>285</v>
      </c>
      <c r="AR57" s="365">
        <f t="shared" si="25"/>
        <v>538</v>
      </c>
      <c r="AS57" s="365">
        <f t="shared" si="26"/>
        <v>55</v>
      </c>
      <c r="AT57" s="365">
        <f t="shared" si="27"/>
        <v>245</v>
      </c>
      <c r="AU57" s="365">
        <f t="shared" si="28"/>
        <v>287</v>
      </c>
      <c r="AV57" s="365">
        <f t="shared" si="29"/>
        <v>297</v>
      </c>
      <c r="AW57" s="365">
        <f t="shared" si="30"/>
        <v>286</v>
      </c>
      <c r="AX57" s="365">
        <f t="shared" si="31"/>
        <v>1406</v>
      </c>
      <c r="AY57" s="365">
        <f t="shared" si="32"/>
        <v>258</v>
      </c>
      <c r="AZ57" s="365">
        <f t="shared" si="33"/>
        <v>57</v>
      </c>
      <c r="BA57" s="365">
        <f t="shared" si="34"/>
        <v>867</v>
      </c>
      <c r="BB57" s="365">
        <f t="shared" si="35"/>
        <v>146</v>
      </c>
    </row>
    <row r="58" spans="1:54" x14ac:dyDescent="0.2">
      <c r="A58" s="300">
        <v>0.7291666666666663</v>
      </c>
      <c r="B58" s="13">
        <v>0.73958333333333293</v>
      </c>
      <c r="C58" s="621">
        <v>73</v>
      </c>
      <c r="D58" s="621">
        <v>154</v>
      </c>
      <c r="E58" s="621">
        <v>16</v>
      </c>
      <c r="F58" s="621">
        <v>67</v>
      </c>
      <c r="G58" s="621">
        <v>82</v>
      </c>
      <c r="H58" s="621">
        <v>67</v>
      </c>
      <c r="I58" s="621">
        <v>63</v>
      </c>
      <c r="J58" s="621">
        <v>301</v>
      </c>
      <c r="K58" s="621">
        <v>63</v>
      </c>
      <c r="L58" s="621">
        <v>21</v>
      </c>
      <c r="M58" s="621">
        <v>225</v>
      </c>
      <c r="N58" s="621">
        <v>35</v>
      </c>
      <c r="O58" s="23">
        <f t="shared" ref="O58:O64" si="43">SUM(C58:N58)</f>
        <v>1167</v>
      </c>
      <c r="P58" s="301">
        <f t="shared" si="36"/>
        <v>4734</v>
      </c>
      <c r="Q58" s="213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G58" s="662">
        <f t="shared" si="38"/>
        <v>0.73958333333333293</v>
      </c>
      <c r="AH58" s="260">
        <f t="shared" si="39"/>
        <v>243</v>
      </c>
      <c r="AI58" s="260">
        <f t="shared" si="40"/>
        <v>216</v>
      </c>
      <c r="AJ58" s="260">
        <f t="shared" si="41"/>
        <v>427</v>
      </c>
      <c r="AK58" s="260">
        <f t="shared" si="42"/>
        <v>281</v>
      </c>
      <c r="AM58" s="663">
        <f>IF(O58=0,"",O58*4/hr!$O$51)</f>
        <v>8.5901125476927034E-2</v>
      </c>
      <c r="AN58" s="663">
        <f>hr!$O$42</f>
        <v>9.8535530348685674E-2</v>
      </c>
      <c r="AP58" s="366">
        <f t="shared" si="37"/>
        <v>0.73958333333333293</v>
      </c>
      <c r="AQ58" s="365">
        <f t="shared" si="24"/>
        <v>302</v>
      </c>
      <c r="AR58" s="365">
        <f t="shared" si="25"/>
        <v>583</v>
      </c>
      <c r="AS58" s="365">
        <f t="shared" si="26"/>
        <v>59</v>
      </c>
      <c r="AT58" s="365">
        <f t="shared" si="27"/>
        <v>251</v>
      </c>
      <c r="AU58" s="365">
        <f t="shared" si="28"/>
        <v>297</v>
      </c>
      <c r="AV58" s="365">
        <f t="shared" si="29"/>
        <v>279</v>
      </c>
      <c r="AW58" s="365">
        <f t="shared" si="30"/>
        <v>276</v>
      </c>
      <c r="AX58" s="365">
        <f t="shared" si="31"/>
        <v>1327</v>
      </c>
      <c r="AY58" s="365">
        <f t="shared" si="32"/>
        <v>251</v>
      </c>
      <c r="AZ58" s="365">
        <f t="shared" si="33"/>
        <v>69</v>
      </c>
      <c r="BA58" s="365">
        <f t="shared" si="34"/>
        <v>891</v>
      </c>
      <c r="BB58" s="365">
        <f t="shared" si="35"/>
        <v>149</v>
      </c>
    </row>
    <row r="59" spans="1:54" x14ac:dyDescent="0.2">
      <c r="A59" s="302">
        <v>0.73958333333333293</v>
      </c>
      <c r="B59" s="99">
        <v>0.74999999999999956</v>
      </c>
      <c r="C59" s="621">
        <v>79</v>
      </c>
      <c r="D59" s="621">
        <v>133</v>
      </c>
      <c r="E59" s="621">
        <v>18</v>
      </c>
      <c r="F59" s="621">
        <v>60</v>
      </c>
      <c r="G59" s="621">
        <v>77</v>
      </c>
      <c r="H59" s="621">
        <v>58</v>
      </c>
      <c r="I59" s="621">
        <v>58</v>
      </c>
      <c r="J59" s="621">
        <v>296</v>
      </c>
      <c r="K59" s="621">
        <v>49</v>
      </c>
      <c r="L59" s="621">
        <v>24</v>
      </c>
      <c r="M59" s="621">
        <v>211</v>
      </c>
      <c r="N59" s="621">
        <v>23</v>
      </c>
      <c r="O59" s="25">
        <f t="shared" si="43"/>
        <v>1086</v>
      </c>
      <c r="P59" s="303">
        <f>SUM(O56:O59)</f>
        <v>4616</v>
      </c>
      <c r="Q59" s="213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G59" s="662">
        <f t="shared" si="38"/>
        <v>0.74999999999999956</v>
      </c>
      <c r="AH59" s="260">
        <f t="shared" si="39"/>
        <v>230</v>
      </c>
      <c r="AI59" s="260">
        <f t="shared" si="40"/>
        <v>195</v>
      </c>
      <c r="AJ59" s="260">
        <f t="shared" si="41"/>
        <v>403</v>
      </c>
      <c r="AK59" s="260">
        <f t="shared" si="42"/>
        <v>258</v>
      </c>
      <c r="AM59" s="663">
        <f>IF(O59=0,"",O59*4/hr!$O$51)</f>
        <v>7.9938836562076052E-2</v>
      </c>
      <c r="AN59" s="663">
        <f>hr!$O$42</f>
        <v>9.8535530348685674E-2</v>
      </c>
      <c r="AP59" s="366">
        <f>IF(P59=$P$66,B59,0)</f>
        <v>0</v>
      </c>
      <c r="AQ59" s="365">
        <f t="shared" si="24"/>
        <v>309</v>
      </c>
      <c r="AR59" s="365">
        <f t="shared" si="25"/>
        <v>593</v>
      </c>
      <c r="AS59" s="365">
        <f t="shared" si="26"/>
        <v>60</v>
      </c>
      <c r="AT59" s="365">
        <f t="shared" si="27"/>
        <v>252</v>
      </c>
      <c r="AU59" s="365">
        <f t="shared" si="28"/>
        <v>310</v>
      </c>
      <c r="AV59" s="365">
        <f t="shared" si="29"/>
        <v>267</v>
      </c>
      <c r="AW59" s="365">
        <f t="shared" si="30"/>
        <v>259</v>
      </c>
      <c r="AX59" s="365">
        <f t="shared" si="31"/>
        <v>1231</v>
      </c>
      <c r="AY59" s="365">
        <f t="shared" si="32"/>
        <v>232</v>
      </c>
      <c r="AZ59" s="365">
        <f t="shared" si="33"/>
        <v>79</v>
      </c>
      <c r="BA59" s="365">
        <f t="shared" si="34"/>
        <v>893</v>
      </c>
      <c r="BB59" s="365">
        <f t="shared" si="35"/>
        <v>131</v>
      </c>
    </row>
    <row r="60" spans="1:54" x14ac:dyDescent="0.2">
      <c r="A60" s="408">
        <v>0.75</v>
      </c>
      <c r="B60" s="409">
        <v>0.76041666666666596</v>
      </c>
      <c r="C60" s="621"/>
      <c r="D60" s="621"/>
      <c r="E60" s="621"/>
      <c r="F60" s="621"/>
      <c r="G60" s="621"/>
      <c r="H60" s="621"/>
      <c r="I60" s="621"/>
      <c r="J60" s="621"/>
      <c r="K60" s="621"/>
      <c r="L60" s="621"/>
      <c r="M60" s="621"/>
      <c r="N60" s="621"/>
      <c r="O60" s="23">
        <f t="shared" si="43"/>
        <v>0</v>
      </c>
      <c r="P60" s="301">
        <f>SUM(O57:O60)</f>
        <v>3426</v>
      </c>
      <c r="Q60" s="213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G60" s="662">
        <f t="shared" si="38"/>
        <v>0.76041666666666596</v>
      </c>
      <c r="AH60" s="260">
        <f t="shared" si="39"/>
        <v>0</v>
      </c>
      <c r="AI60" s="260">
        <f t="shared" si="40"/>
        <v>0</v>
      </c>
      <c r="AJ60" s="260">
        <f t="shared" si="41"/>
        <v>0</v>
      </c>
      <c r="AK60" s="260">
        <f t="shared" si="42"/>
        <v>0</v>
      </c>
      <c r="AM60" s="663" t="str">
        <f>IF(O60=0,"",O60*4/hr!$O$51)</f>
        <v/>
      </c>
      <c r="AN60" s="663">
        <f>hr!$O$42</f>
        <v>9.8535530348685674E-2</v>
      </c>
      <c r="AP60" s="366">
        <f>IF(P60=$P$66,B60,0)</f>
        <v>0</v>
      </c>
      <c r="AQ60" s="365">
        <f t="shared" ref="AQ60:BB63" si="44">SUM(C57:C60)</f>
        <v>238</v>
      </c>
      <c r="AR60" s="365">
        <f t="shared" si="44"/>
        <v>446</v>
      </c>
      <c r="AS60" s="365">
        <f t="shared" si="44"/>
        <v>48</v>
      </c>
      <c r="AT60" s="365">
        <f t="shared" si="44"/>
        <v>188</v>
      </c>
      <c r="AU60" s="365">
        <f t="shared" si="44"/>
        <v>222</v>
      </c>
      <c r="AV60" s="365">
        <f t="shared" si="44"/>
        <v>191</v>
      </c>
      <c r="AW60" s="365">
        <f t="shared" si="44"/>
        <v>187</v>
      </c>
      <c r="AX60" s="365">
        <f t="shared" si="44"/>
        <v>907</v>
      </c>
      <c r="AY60" s="365">
        <f t="shared" si="44"/>
        <v>171</v>
      </c>
      <c r="AZ60" s="365">
        <f t="shared" si="44"/>
        <v>61</v>
      </c>
      <c r="BA60" s="365">
        <f t="shared" si="44"/>
        <v>672</v>
      </c>
      <c r="BB60" s="365">
        <f t="shared" si="44"/>
        <v>95</v>
      </c>
    </row>
    <row r="61" spans="1:54" x14ac:dyDescent="0.2">
      <c r="A61" s="408">
        <v>0.76041666666666596</v>
      </c>
      <c r="B61" s="409">
        <v>0.77083333333333304</v>
      </c>
      <c r="C61" s="621"/>
      <c r="D61" s="621"/>
      <c r="E61" s="621"/>
      <c r="F61" s="621"/>
      <c r="G61" s="621"/>
      <c r="H61" s="621"/>
      <c r="I61" s="621"/>
      <c r="J61" s="621"/>
      <c r="K61" s="621"/>
      <c r="L61" s="621"/>
      <c r="M61" s="621"/>
      <c r="N61" s="621"/>
      <c r="O61" s="23">
        <f t="shared" si="43"/>
        <v>0</v>
      </c>
      <c r="P61" s="301">
        <f>SUM(O58:O61)</f>
        <v>2253</v>
      </c>
      <c r="Q61" s="213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G61" s="662">
        <f t="shared" si="38"/>
        <v>0.77083333333333304</v>
      </c>
      <c r="AH61" s="260">
        <f t="shared" si="39"/>
        <v>0</v>
      </c>
      <c r="AI61" s="260">
        <f t="shared" si="40"/>
        <v>0</v>
      </c>
      <c r="AJ61" s="260">
        <f t="shared" si="41"/>
        <v>0</v>
      </c>
      <c r="AK61" s="260">
        <f t="shared" si="42"/>
        <v>0</v>
      </c>
      <c r="AM61" s="663" t="str">
        <f>IF(O61=0,"",O61*4/hr!$O$51)</f>
        <v/>
      </c>
      <c r="AN61" s="663"/>
      <c r="AP61" s="366">
        <f>IF(P61=$P$66,B61,0)</f>
        <v>0</v>
      </c>
      <c r="AQ61" s="365">
        <f t="shared" si="44"/>
        <v>152</v>
      </c>
      <c r="AR61" s="365">
        <f t="shared" si="44"/>
        <v>287</v>
      </c>
      <c r="AS61" s="365">
        <f t="shared" si="44"/>
        <v>34</v>
      </c>
      <c r="AT61" s="365">
        <f t="shared" si="44"/>
        <v>127</v>
      </c>
      <c r="AU61" s="365">
        <f t="shared" si="44"/>
        <v>159</v>
      </c>
      <c r="AV61" s="365">
        <f t="shared" si="44"/>
        <v>125</v>
      </c>
      <c r="AW61" s="365">
        <f t="shared" si="44"/>
        <v>121</v>
      </c>
      <c r="AX61" s="365">
        <f t="shared" si="44"/>
        <v>597</v>
      </c>
      <c r="AY61" s="365">
        <f t="shared" si="44"/>
        <v>112</v>
      </c>
      <c r="AZ61" s="365">
        <f t="shared" si="44"/>
        <v>45</v>
      </c>
      <c r="BA61" s="365">
        <f t="shared" si="44"/>
        <v>436</v>
      </c>
      <c r="BB61" s="365">
        <f t="shared" si="44"/>
        <v>58</v>
      </c>
    </row>
    <row r="62" spans="1:54" x14ac:dyDescent="0.2">
      <c r="A62" s="408">
        <v>0.77083333333333304</v>
      </c>
      <c r="B62" s="409">
        <v>0.781249999999999</v>
      </c>
      <c r="C62" s="621"/>
      <c r="D62" s="621"/>
      <c r="E62" s="621"/>
      <c r="F62" s="621"/>
      <c r="G62" s="621"/>
      <c r="H62" s="621"/>
      <c r="I62" s="621"/>
      <c r="J62" s="621"/>
      <c r="K62" s="621"/>
      <c r="L62" s="621"/>
      <c r="M62" s="621"/>
      <c r="N62" s="621"/>
      <c r="O62" s="23">
        <f t="shared" si="43"/>
        <v>0</v>
      </c>
      <c r="P62" s="301">
        <f>SUM(O59:O62)</f>
        <v>1086</v>
      </c>
      <c r="Q62" s="213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G62" s="662">
        <f t="shared" si="38"/>
        <v>0.781249999999999</v>
      </c>
      <c r="AH62" s="260">
        <f t="shared" si="39"/>
        <v>0</v>
      </c>
      <c r="AI62" s="260">
        <f t="shared" si="40"/>
        <v>0</v>
      </c>
      <c r="AJ62" s="260">
        <f t="shared" si="41"/>
        <v>0</v>
      </c>
      <c r="AK62" s="260">
        <f t="shared" si="42"/>
        <v>0</v>
      </c>
      <c r="AM62" s="663" t="str">
        <f>IF(O62=0,"",O62*4/hr!$O$51)</f>
        <v/>
      </c>
      <c r="AN62" s="663"/>
      <c r="AP62" s="366">
        <f>IF(P62=$P$66,B62,0)</f>
        <v>0</v>
      </c>
      <c r="AQ62" s="365">
        <f t="shared" si="44"/>
        <v>79</v>
      </c>
      <c r="AR62" s="365">
        <f t="shared" si="44"/>
        <v>133</v>
      </c>
      <c r="AS62" s="365">
        <f t="shared" si="44"/>
        <v>18</v>
      </c>
      <c r="AT62" s="365">
        <f t="shared" si="44"/>
        <v>60</v>
      </c>
      <c r="AU62" s="365">
        <f t="shared" si="44"/>
        <v>77</v>
      </c>
      <c r="AV62" s="365">
        <f t="shared" si="44"/>
        <v>58</v>
      </c>
      <c r="AW62" s="365">
        <f t="shared" si="44"/>
        <v>58</v>
      </c>
      <c r="AX62" s="365">
        <f t="shared" si="44"/>
        <v>296</v>
      </c>
      <c r="AY62" s="365">
        <f t="shared" si="44"/>
        <v>49</v>
      </c>
      <c r="AZ62" s="365">
        <f t="shared" si="44"/>
        <v>24</v>
      </c>
      <c r="BA62" s="365">
        <f t="shared" si="44"/>
        <v>211</v>
      </c>
      <c r="BB62" s="365">
        <f t="shared" si="44"/>
        <v>23</v>
      </c>
    </row>
    <row r="63" spans="1:54" ht="13.5" thickBot="1" x14ac:dyDescent="0.25">
      <c r="A63" s="410">
        <v>0.781249999999999</v>
      </c>
      <c r="B63" s="411">
        <v>0.79166666666666596</v>
      </c>
      <c r="C63" s="621"/>
      <c r="D63" s="621"/>
      <c r="E63" s="621"/>
      <c r="F63" s="621"/>
      <c r="G63" s="621"/>
      <c r="H63" s="621"/>
      <c r="I63" s="621"/>
      <c r="J63" s="621"/>
      <c r="K63" s="621"/>
      <c r="L63" s="621"/>
      <c r="M63" s="621"/>
      <c r="N63" s="621"/>
      <c r="O63" s="23">
        <f t="shared" si="43"/>
        <v>0</v>
      </c>
      <c r="P63" s="301">
        <f>SUM(O60:O63)</f>
        <v>0</v>
      </c>
      <c r="Q63" s="213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G63" s="662">
        <f t="shared" si="38"/>
        <v>0.79166666666666596</v>
      </c>
      <c r="AH63" s="260">
        <f t="shared" si="39"/>
        <v>0</v>
      </c>
      <c r="AI63" s="260">
        <f t="shared" si="40"/>
        <v>0</v>
      </c>
      <c r="AJ63" s="260">
        <f t="shared" si="41"/>
        <v>0</v>
      </c>
      <c r="AK63" s="260">
        <f t="shared" si="42"/>
        <v>0</v>
      </c>
      <c r="AM63" s="663" t="str">
        <f>IF(O63=0,"",O63*4/hr!$O$51)</f>
        <v/>
      </c>
      <c r="AN63" s="663"/>
      <c r="AP63" s="366">
        <f>IF(P63=$P$66,B63,0)</f>
        <v>0</v>
      </c>
      <c r="AQ63" s="365">
        <f t="shared" si="44"/>
        <v>0</v>
      </c>
      <c r="AR63" s="365">
        <f t="shared" si="44"/>
        <v>0</v>
      </c>
      <c r="AS63" s="365">
        <f t="shared" si="44"/>
        <v>0</v>
      </c>
      <c r="AT63" s="365">
        <f t="shared" si="44"/>
        <v>0</v>
      </c>
      <c r="AU63" s="365">
        <f t="shared" si="44"/>
        <v>0</v>
      </c>
      <c r="AV63" s="365">
        <f t="shared" si="44"/>
        <v>0</v>
      </c>
      <c r="AW63" s="365">
        <f t="shared" si="44"/>
        <v>0</v>
      </c>
      <c r="AX63" s="365">
        <f t="shared" si="44"/>
        <v>0</v>
      </c>
      <c r="AY63" s="365">
        <f t="shared" si="44"/>
        <v>0</v>
      </c>
      <c r="AZ63" s="365">
        <f t="shared" si="44"/>
        <v>0</v>
      </c>
      <c r="BA63" s="365">
        <f t="shared" si="44"/>
        <v>0</v>
      </c>
      <c r="BB63" s="365">
        <f t="shared" si="44"/>
        <v>0</v>
      </c>
    </row>
    <row r="64" spans="1:54" ht="15.75" customHeight="1" thickBot="1" x14ac:dyDescent="0.25">
      <c r="A64" s="304" t="s">
        <v>20</v>
      </c>
      <c r="B64" s="305">
        <f>COUNTIF(O8:O63,"&gt;0")/4</f>
        <v>9</v>
      </c>
      <c r="C64" s="110">
        <f>SUM(C8:C63)</f>
        <v>1026</v>
      </c>
      <c r="D64" s="110">
        <f t="shared" ref="D64:N64" si="45">SUM(D8:D63)</f>
        <v>3151</v>
      </c>
      <c r="E64" s="110">
        <f t="shared" si="45"/>
        <v>704</v>
      </c>
      <c r="F64" s="110">
        <f t="shared" si="45"/>
        <v>885</v>
      </c>
      <c r="G64" s="110">
        <f t="shared" si="45"/>
        <v>3522</v>
      </c>
      <c r="H64" s="110">
        <f t="shared" si="45"/>
        <v>1472</v>
      </c>
      <c r="I64" s="110">
        <f t="shared" si="45"/>
        <v>1239</v>
      </c>
      <c r="J64" s="110">
        <f t="shared" si="45"/>
        <v>7711</v>
      </c>
      <c r="K64" s="110">
        <f t="shared" si="45"/>
        <v>907</v>
      </c>
      <c r="L64" s="110">
        <f t="shared" si="45"/>
        <v>483</v>
      </c>
      <c r="M64" s="110">
        <f t="shared" si="45"/>
        <v>7653</v>
      </c>
      <c r="N64" s="110">
        <f t="shared" si="45"/>
        <v>1332</v>
      </c>
      <c r="O64" s="1192">
        <f t="shared" si="43"/>
        <v>30085</v>
      </c>
      <c r="P64" s="1193"/>
      <c r="Q64" s="213"/>
    </row>
    <row r="65" spans="1:45" ht="13.5" thickTop="1" x14ac:dyDescent="0.2">
      <c r="A65" s="300"/>
      <c r="B65" s="13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306" t="s">
        <v>223</v>
      </c>
      <c r="O65" s="114">
        <f>MAX(O8:O35)</f>
        <v>1220</v>
      </c>
      <c r="P65" s="307">
        <f>MAX(P8:P35)</f>
        <v>4690</v>
      </c>
      <c r="Q65" s="213"/>
      <c r="AP65" s="367">
        <f>MAX(AP8:AP35)</f>
        <v>0.34375000000000017</v>
      </c>
    </row>
    <row r="66" spans="1:45" ht="13.5" thickBot="1" x14ac:dyDescent="0.25">
      <c r="A66" s="300"/>
      <c r="B66" s="13"/>
      <c r="N66" s="306" t="s">
        <v>224</v>
      </c>
      <c r="O66" s="115">
        <f>MAX(O36:O63)</f>
        <v>1204</v>
      </c>
      <c r="P66" s="308">
        <f>MAX(P36:P63)</f>
        <v>4734</v>
      </c>
      <c r="Q66" s="213"/>
      <c r="AP66" s="367">
        <f>MAX(AP36:AP63)</f>
        <v>0.73958333333333293</v>
      </c>
    </row>
    <row r="67" spans="1:45" x14ac:dyDescent="0.2">
      <c r="A67" s="246" t="s">
        <v>363</v>
      </c>
      <c r="B67" s="242"/>
      <c r="C67" s="242"/>
      <c r="D67" s="242"/>
      <c r="E67" s="242"/>
      <c r="F67" s="372" t="s">
        <v>364</v>
      </c>
      <c r="G67" s="372"/>
      <c r="H67" s="372"/>
      <c r="I67" s="372"/>
      <c r="J67" s="372" t="s">
        <v>365</v>
      </c>
      <c r="K67" s="372"/>
      <c r="L67" s="372" t="s">
        <v>366</v>
      </c>
      <c r="M67" s="372"/>
      <c r="N67" s="412" t="s">
        <v>461</v>
      </c>
      <c r="O67" s="13"/>
      <c r="P67" s="310"/>
      <c r="Q67" s="213"/>
    </row>
    <row r="68" spans="1:45" x14ac:dyDescent="0.2">
      <c r="A68" s="246"/>
      <c r="B68" s="242"/>
      <c r="C68" s="404"/>
      <c r="D68" s="404"/>
      <c r="E68" s="404"/>
      <c r="F68" s="404">
        <f>IF(F69=12,SUM(O12:O23)/0.22,P65/0.089)</f>
        <v>51895.454545454544</v>
      </c>
      <c r="G68" s="404"/>
      <c r="H68" s="404"/>
      <c r="I68" s="404"/>
      <c r="J68" s="404">
        <f>IF(J69=12,SUM(O48:O59)/0.23,P66/0.087)</f>
        <v>52747.82608695652</v>
      </c>
      <c r="K68" s="404"/>
      <c r="L68" s="404">
        <f>IF(L69=48,SUM(O12:O59)/0.82,0)</f>
        <v>0</v>
      </c>
      <c r="M68" s="404"/>
      <c r="N68" s="404">
        <f>IF(L68&gt;0,L68,IF(SUM(F68:J68)&gt;0,AVERAGE(F68:J68),0))</f>
        <v>52321.640316205536</v>
      </c>
      <c r="O68" s="13"/>
      <c r="P68" s="310"/>
      <c r="Q68" s="2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M68" s="662"/>
      <c r="AN68" s="662"/>
      <c r="AP68" s="13"/>
      <c r="AQ68" s="13"/>
      <c r="AR68" s="13"/>
      <c r="AS68" s="13"/>
    </row>
    <row r="69" spans="1:45" ht="13.5" thickBot="1" x14ac:dyDescent="0.25">
      <c r="A69" s="238"/>
      <c r="B69" s="234"/>
      <c r="C69" s="234"/>
      <c r="D69" s="234"/>
      <c r="E69" s="234"/>
      <c r="F69" s="405">
        <f>COUNTIF(O12:O23,"&gt;0")</f>
        <v>12</v>
      </c>
      <c r="G69" s="406"/>
      <c r="H69" s="405"/>
      <c r="I69" s="406"/>
      <c r="J69" s="405">
        <f>COUNTIF(O48:O59,"&gt;0")</f>
        <v>12</v>
      </c>
      <c r="K69" s="406"/>
      <c r="L69" s="405">
        <f>COUNTIF(O12:O59,"&gt;0")</f>
        <v>36</v>
      </c>
      <c r="M69" s="406"/>
      <c r="N69" s="406"/>
      <c r="O69" s="234"/>
      <c r="P69" s="407"/>
      <c r="Q69" s="311"/>
    </row>
    <row r="70" spans="1:45" ht="13.5" thickTop="1" x14ac:dyDescent="0.2"/>
  </sheetData>
  <mergeCells count="4">
    <mergeCell ref="C5:D5"/>
    <mergeCell ref="F5:G5"/>
    <mergeCell ref="O64:P64"/>
    <mergeCell ref="I5:J5"/>
  </mergeCells>
  <conditionalFormatting sqref="O8:O35">
    <cfRule type="cellIs" dxfId="147" priority="2" operator="equal">
      <formula>$O$65</formula>
    </cfRule>
  </conditionalFormatting>
  <conditionalFormatting sqref="O36:O63">
    <cfRule type="cellIs" dxfId="146" priority="3" operator="equal">
      <formula>$O$66</formula>
    </cfRule>
  </conditionalFormatting>
  <conditionalFormatting sqref="P11:Q35">
    <cfRule type="cellIs" dxfId="145" priority="271" operator="equal">
      <formula>$P$65</formula>
    </cfRule>
  </conditionalFormatting>
  <conditionalFormatting sqref="P36:Q61 P62:P63 Q62:Q68">
    <cfRule type="cellIs" dxfId="144" priority="4" operator="equal">
      <formula>$P$66</formula>
    </cfRule>
  </conditionalFormatting>
  <printOptions horizontalCentered="1" verticalCentered="1"/>
  <pageMargins left="0.70866141732283472" right="0.70866141732283472" top="0.74803149606299213" bottom="0.74803149606299213" header="0.31496062992125984" footer="0.35433070866141736"/>
  <pageSetup paperSize="9" scale="82" orientation="portrait" r:id="rId1"/>
  <headerFooter>
    <oddFooter>&amp;L&amp;8copyright:
Dr John Sampson&amp;C&amp;9&amp;F
&amp;A&amp;R&amp;9print:
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O66"/>
  <sheetViews>
    <sheetView showGridLines="0" showZeros="0" zoomScale="110" zoomScaleNormal="110" workbookViewId="0">
      <pane ySplit="4" topLeftCell="A7" activePane="bottomLeft" state="frozen"/>
      <selection pane="bottomLeft" activeCell="C26" sqref="C26:N28"/>
    </sheetView>
  </sheetViews>
  <sheetFormatPr defaultColWidth="9.140625" defaultRowHeight="12.75" x14ac:dyDescent="0.2"/>
  <cols>
    <col min="1" max="1" width="6.7109375" style="1" customWidth="1"/>
    <col min="2" max="2" width="8.5703125" style="1" customWidth="1"/>
    <col min="3" max="14" width="6.7109375" style="1" customWidth="1"/>
    <col min="15" max="16384" width="9.140625" style="1"/>
  </cols>
  <sheetData>
    <row r="1" spans="1:15" ht="19.5" thickTop="1" x14ac:dyDescent="0.3">
      <c r="A1" s="223"/>
      <c r="B1" s="224"/>
      <c r="C1" s="224"/>
      <c r="D1" s="293"/>
      <c r="E1" s="224"/>
      <c r="F1" s="433" t="str">
        <f>CVR!E7</f>
        <v>Queen Street</v>
      </c>
      <c r="G1" s="283" t="s">
        <v>298</v>
      </c>
      <c r="H1" s="434" t="str">
        <f>CVR!E9</f>
        <v>Albertina Sisulu Road</v>
      </c>
      <c r="I1" s="224"/>
      <c r="J1" s="224"/>
      <c r="K1" s="224"/>
      <c r="L1" s="224"/>
      <c r="M1" s="224"/>
      <c r="N1" s="224"/>
      <c r="O1" s="289"/>
    </row>
    <row r="2" spans="1:15" ht="12.75" customHeight="1" x14ac:dyDescent="0.2">
      <c r="A2" s="226"/>
      <c r="B2" s="27"/>
      <c r="C2" s="27"/>
      <c r="D2" s="10"/>
      <c r="G2" s="249" t="str">
        <f>CVR!E11</f>
        <v>example</v>
      </c>
      <c r="L2" s="196"/>
      <c r="M2" s="197"/>
      <c r="N2" s="197"/>
      <c r="O2" s="252"/>
    </row>
    <row r="3" spans="1:15" ht="12.75" customHeight="1" x14ac:dyDescent="0.2">
      <c r="A3" s="251"/>
      <c r="B3" s="27"/>
      <c r="C3" s="27"/>
      <c r="D3" s="10"/>
      <c r="L3" s="196"/>
      <c r="M3" s="197" t="s">
        <v>3</v>
      </c>
      <c r="N3" s="197" t="s">
        <v>167</v>
      </c>
      <c r="O3" s="252" t="s">
        <v>166</v>
      </c>
    </row>
    <row r="4" spans="1:15" ht="15.75" x14ac:dyDescent="0.25">
      <c r="A4" s="614" t="str">
        <f>cap!$A$1</f>
        <v>&amp;AutoJ 2408</v>
      </c>
      <c r="B4" s="8"/>
      <c r="C4" s="8"/>
      <c r="D4" s="8"/>
      <c r="E4" s="285"/>
      <c r="F4" s="290"/>
      <c r="G4" s="370" t="s">
        <v>311</v>
      </c>
      <c r="H4" s="290"/>
      <c r="I4" s="287"/>
      <c r="J4" s="8"/>
      <c r="L4" s="199" t="s">
        <v>578</v>
      </c>
      <c r="M4" s="369" t="str">
        <f>SMY!$D$10</f>
        <v>s4we</v>
      </c>
      <c r="N4" s="198">
        <f>MAX(SMY!$G$10:$I$10)</f>
        <v>0.92357272584450956</v>
      </c>
      <c r="O4" s="666">
        <f>MAX(SMY!$K$10:$M$10)</f>
        <v>50.507666952507648</v>
      </c>
    </row>
    <row r="5" spans="1:15" x14ac:dyDescent="0.2">
      <c r="A5" s="226"/>
      <c r="O5" s="228"/>
    </row>
    <row r="6" spans="1:15" ht="15.75" thickBot="1" x14ac:dyDescent="0.3">
      <c r="A6" s="315" t="s">
        <v>314</v>
      </c>
      <c r="B6" s="290"/>
      <c r="C6" s="287"/>
      <c r="D6" s="316" t="s">
        <v>552</v>
      </c>
      <c r="O6" s="228"/>
    </row>
    <row r="7" spans="1:15" x14ac:dyDescent="0.2">
      <c r="A7" s="1212">
        <f>qtr!C5</f>
        <v>45292</v>
      </c>
      <c r="B7" s="1213"/>
      <c r="C7" s="1198" t="s">
        <v>11</v>
      </c>
      <c r="D7" s="1199"/>
      <c r="E7" s="1200"/>
      <c r="F7" s="1201" t="s">
        <v>12</v>
      </c>
      <c r="G7" s="1202"/>
      <c r="H7" s="1203"/>
      <c r="I7" s="1204" t="s">
        <v>13</v>
      </c>
      <c r="J7" s="1205"/>
      <c r="K7" s="1206"/>
      <c r="L7" s="1207" t="s">
        <v>14</v>
      </c>
      <c r="M7" s="1208"/>
      <c r="N7" s="1209"/>
      <c r="O7" s="228"/>
    </row>
    <row r="8" spans="1:15" x14ac:dyDescent="0.2">
      <c r="A8" s="327" t="s">
        <v>339</v>
      </c>
      <c r="B8" s="359" t="s">
        <v>458</v>
      </c>
      <c r="C8" s="191" t="s">
        <v>265</v>
      </c>
      <c r="D8" s="191" t="s">
        <v>266</v>
      </c>
      <c r="E8" s="191" t="s">
        <v>267</v>
      </c>
      <c r="F8" s="191" t="s">
        <v>259</v>
      </c>
      <c r="G8" s="191" t="s">
        <v>260</v>
      </c>
      <c r="H8" s="191" t="s">
        <v>261</v>
      </c>
      <c r="I8" s="191" t="s">
        <v>256</v>
      </c>
      <c r="J8" s="191" t="s">
        <v>257</v>
      </c>
      <c r="K8" s="191" t="s">
        <v>258</v>
      </c>
      <c r="L8" s="191" t="s">
        <v>262</v>
      </c>
      <c r="M8" s="191" t="s">
        <v>263</v>
      </c>
      <c r="N8" s="191" t="s">
        <v>264</v>
      </c>
      <c r="O8" s="228"/>
    </row>
    <row r="9" spans="1:15" x14ac:dyDescent="0.2">
      <c r="A9" s="317" t="s">
        <v>21</v>
      </c>
      <c r="B9" s="823">
        <f>qtr!AP65-1/24</f>
        <v>0.30208333333333348</v>
      </c>
      <c r="C9" s="616">
        <f>LOOKUP($B$9+1/24,qtr!$B$8:$B$35,qtr!AQ8:AQ35)</f>
        <v>84</v>
      </c>
      <c r="D9" s="616">
        <f>LOOKUP($B$9+1/24,qtr!$B$8:$B$35,qtr!AR8:AR35)</f>
        <v>432</v>
      </c>
      <c r="E9" s="616">
        <f>LOOKUP($B$9+1/24,qtr!$B$8:$B$35,qtr!AS8:AS35)</f>
        <v>57</v>
      </c>
      <c r="F9" s="616">
        <f>LOOKUP($B$9+1/24,qtr!$B$8:$B$35,qtr!AT8:AT35)</f>
        <v>45</v>
      </c>
      <c r="G9" s="616">
        <f>LOOKUP($B$9+1/24,qtr!$B$8:$B$35,qtr!AU8:AU35)</f>
        <v>695</v>
      </c>
      <c r="H9" s="616">
        <f>LOOKUP($B$9+1/24,qtr!$B$8:$B$35,qtr!AV8:AV35)</f>
        <v>232</v>
      </c>
      <c r="I9" s="616">
        <f>LOOKUP($B$9+1/24,qtr!$B$8:$B$35,qtr!AW8:AW35)</f>
        <v>162</v>
      </c>
      <c r="J9" s="616">
        <f>LOOKUP($B$9+1/24,qtr!$B$8:$B$35,qtr!AX8:AX35)</f>
        <v>1073</v>
      </c>
      <c r="K9" s="616">
        <f>LOOKUP($B$9+1/24,qtr!$B$8:$B$35,qtr!AY8:AY35)</f>
        <v>53</v>
      </c>
      <c r="L9" s="616">
        <f>LOOKUP($B$9+1/24,qtr!$B$8:$B$35,qtr!AZ8:AZ35)</f>
        <v>51</v>
      </c>
      <c r="M9" s="616">
        <f>LOOKUP($B$9+1/24,qtr!$B$8:$B$35,qtr!BA8:BA35)</f>
        <v>1529</v>
      </c>
      <c r="N9" s="616">
        <f>LOOKUP($B$9+1/24,qtr!$B$8:$B$35,qtr!BB8:BB35)</f>
        <v>277</v>
      </c>
      <c r="O9" s="228"/>
    </row>
    <row r="10" spans="1:15" x14ac:dyDescent="0.2">
      <c r="A10" s="317" t="s">
        <v>22</v>
      </c>
      <c r="B10" s="824"/>
      <c r="C10" s="616">
        <f>IF(SUM(qtr!C24:C49)=0,0,AVERAGE(qtr!C24:C49)*4)</f>
        <v>67.142857142857139</v>
      </c>
      <c r="D10" s="616">
        <f>IF(SUM(qtr!D24:D49)=0,0,AVERAGE(qtr!D24:D49)*4)</f>
        <v>274.28571428571428</v>
      </c>
      <c r="E10" s="616">
        <f>IF(SUM(qtr!E24:E49)=0,0,AVERAGE(qtr!E24:E49)*4)</f>
        <v>100.57142857142857</v>
      </c>
      <c r="F10" s="616">
        <f>IF(SUM(qtr!F24:F49)=0,0,AVERAGE(qtr!F24:F49)*4)</f>
        <v>47.428571428571431</v>
      </c>
      <c r="G10" s="616">
        <f>IF(SUM(qtr!G24:G49)=0,0,AVERAGE(qtr!G24:G49)*4)</f>
        <v>326</v>
      </c>
      <c r="H10" s="616">
        <f>IF(SUM(qtr!H24:H49)=0,0,AVERAGE(qtr!H24:H49)*4)</f>
        <v>86</v>
      </c>
      <c r="I10" s="616">
        <f>IF(SUM(qtr!I24:I49)=0,0,AVERAGE(qtr!I24:I49)*4)</f>
        <v>76.285714285714292</v>
      </c>
      <c r="J10" s="616">
        <f>IF(SUM(qtr!J24:J49)=0,0,AVERAGE(qtr!J24:J49)*4)</f>
        <v>507.71428571428572</v>
      </c>
      <c r="K10" s="616">
        <f>IF(SUM(qtr!K24:K49)=0,0,AVERAGE(qtr!K24:K49)*4)</f>
        <v>54</v>
      </c>
      <c r="L10" s="616">
        <f>IF(SUM(qtr!L24:L49)=0,0,AVERAGE(qtr!L24:L49)*4)</f>
        <v>58.285714285714285</v>
      </c>
      <c r="M10" s="616">
        <f>IF(SUM(qtr!M24:M49)=0,0,AVERAGE(qtr!M24:M49)*4)</f>
        <v>556.28571428571433</v>
      </c>
      <c r="N10" s="616">
        <f>IF(SUM(qtr!N24:N49)=0,0,AVERAGE(qtr!N24:N49)*4)</f>
        <v>97.142857142857139</v>
      </c>
      <c r="O10" s="228"/>
    </row>
    <row r="11" spans="1:15" x14ac:dyDescent="0.2">
      <c r="A11" s="317" t="s">
        <v>23</v>
      </c>
      <c r="B11" s="823">
        <f>qtr!AP66-1/24</f>
        <v>0.6979166666666663</v>
      </c>
      <c r="C11" s="616">
        <f>LOOKUP($B$11+1/24,qtr!$B$36:$B$63,qtr!AQ36:AQ63)</f>
        <v>302</v>
      </c>
      <c r="D11" s="616">
        <f>LOOKUP($B$11+1/24,qtr!$B$36:$B$63,qtr!AR36:AR63)</f>
        <v>583</v>
      </c>
      <c r="E11" s="616">
        <f>LOOKUP($B$11+1/24,qtr!$B$36:$B$63,qtr!AS36:AS63)</f>
        <v>59</v>
      </c>
      <c r="F11" s="616">
        <f>LOOKUP($B$11+1/24,qtr!$B$36:$B$63,qtr!AT36:AT63)</f>
        <v>251</v>
      </c>
      <c r="G11" s="616">
        <f>LOOKUP($B$11+1/24,qtr!$B$36:$B$63,qtr!AU36:AU63)</f>
        <v>297</v>
      </c>
      <c r="H11" s="616">
        <f>LOOKUP($B$11+1/24,qtr!$B$36:$B$63,qtr!AV36:AV63)</f>
        <v>279</v>
      </c>
      <c r="I11" s="616">
        <f>LOOKUP($B$11+1/24,qtr!$B$36:$B$63,qtr!AW36:AW63)</f>
        <v>276</v>
      </c>
      <c r="J11" s="616">
        <f>LOOKUP($B$11+1/24,qtr!$B$36:$B$63,qtr!AX36:AX63)</f>
        <v>1327</v>
      </c>
      <c r="K11" s="616">
        <f>LOOKUP($B$11+1/24,qtr!$B$36:$B$63,qtr!AY36:AY63)</f>
        <v>251</v>
      </c>
      <c r="L11" s="616">
        <f>LOOKUP($B$11+1/24,qtr!$B$36:$B$63,qtr!AZ36:AZ63)</f>
        <v>69</v>
      </c>
      <c r="M11" s="616">
        <f>LOOKUP($B$11+1/24,qtr!$B$36:$B$63,qtr!BA36:BA63)</f>
        <v>891</v>
      </c>
      <c r="N11" s="616">
        <f>LOOKUP($B$11+1/24,qtr!$B$36:$B$63,qtr!BB36:BB63)</f>
        <v>149</v>
      </c>
      <c r="O11" s="228"/>
    </row>
    <row r="12" spans="1:15" x14ac:dyDescent="0.2">
      <c r="A12" s="226"/>
      <c r="O12" s="228"/>
    </row>
    <row r="13" spans="1:15" ht="15.75" thickBot="1" x14ac:dyDescent="0.3">
      <c r="A13" s="315" t="s">
        <v>313</v>
      </c>
      <c r="B13" s="290"/>
      <c r="C13" s="290"/>
      <c r="D13" s="287"/>
      <c r="F13" s="279" t="s">
        <v>31</v>
      </c>
      <c r="G13" s="358">
        <v>2</v>
      </c>
      <c r="H13" s="319" t="s">
        <v>32</v>
      </c>
      <c r="O13" s="228"/>
    </row>
    <row r="14" spans="1:15" x14ac:dyDescent="0.2">
      <c r="A14" s="226"/>
      <c r="C14" s="1198" t="s">
        <v>11</v>
      </c>
      <c r="D14" s="1199"/>
      <c r="E14" s="1200"/>
      <c r="F14" s="1201" t="s">
        <v>12</v>
      </c>
      <c r="G14" s="1202"/>
      <c r="H14" s="1203"/>
      <c r="I14" s="1204" t="s">
        <v>13</v>
      </c>
      <c r="J14" s="1205"/>
      <c r="K14" s="1206"/>
      <c r="L14" s="1207" t="s">
        <v>14</v>
      </c>
      <c r="M14" s="1208"/>
      <c r="N14" s="1209"/>
      <c r="O14" s="228"/>
    </row>
    <row r="15" spans="1:15" x14ac:dyDescent="0.2">
      <c r="A15" s="226"/>
      <c r="C15" s="191" t="s">
        <v>265</v>
      </c>
      <c r="D15" s="191" t="s">
        <v>266</v>
      </c>
      <c r="E15" s="191" t="s">
        <v>267</v>
      </c>
      <c r="F15" s="191" t="s">
        <v>259</v>
      </c>
      <c r="G15" s="191" t="s">
        <v>260</v>
      </c>
      <c r="H15" s="191" t="s">
        <v>261</v>
      </c>
      <c r="I15" s="191" t="s">
        <v>256</v>
      </c>
      <c r="J15" s="191" t="s">
        <v>257</v>
      </c>
      <c r="K15" s="191" t="s">
        <v>258</v>
      </c>
      <c r="L15" s="191" t="s">
        <v>262</v>
      </c>
      <c r="M15" s="191" t="s">
        <v>263</v>
      </c>
      <c r="N15" s="191" t="s">
        <v>264</v>
      </c>
      <c r="O15" s="228"/>
    </row>
    <row r="16" spans="1:15" x14ac:dyDescent="0.2">
      <c r="A16" s="318" t="str">
        <f>$A$9</f>
        <v>AM</v>
      </c>
      <c r="B16" s="885"/>
      <c r="C16" s="615">
        <v>2.0491803278688523E-2</v>
      </c>
      <c r="D16" s="615">
        <v>8.2559339525283791E-3</v>
      </c>
      <c r="E16" s="615">
        <v>1.2738853503184714E-2</v>
      </c>
      <c r="F16" s="615">
        <v>1.7241379310344827E-2</v>
      </c>
      <c r="G16" s="615">
        <v>1.8529956763434219E-3</v>
      </c>
      <c r="H16" s="615">
        <v>2.5104602510460251E-2</v>
      </c>
      <c r="I16" s="615">
        <v>5.1987767584097858E-2</v>
      </c>
      <c r="J16" s="615">
        <v>1.5536723163841809E-2</v>
      </c>
      <c r="K16" s="615">
        <v>7.462686567164179E-3</v>
      </c>
      <c r="L16" s="615">
        <v>2.9629629629629631E-2</v>
      </c>
      <c r="M16" s="615">
        <v>3.9051979531376242E-2</v>
      </c>
      <c r="N16" s="615">
        <v>5.772005772005772E-3</v>
      </c>
      <c r="O16" s="228"/>
    </row>
    <row r="17" spans="1:15" x14ac:dyDescent="0.2">
      <c r="A17" s="318" t="str">
        <f>$A$10</f>
        <v>off</v>
      </c>
      <c r="B17" s="885"/>
      <c r="C17" s="615">
        <v>6.7357512953367879E-2</v>
      </c>
      <c r="D17" s="615">
        <v>1.3513513513513514E-2</v>
      </c>
      <c r="E17" s="615">
        <v>0</v>
      </c>
      <c r="F17" s="615">
        <v>9.5238095238095247E-3</v>
      </c>
      <c r="G17" s="615">
        <v>7.9840319361277438E-3</v>
      </c>
      <c r="H17" s="615">
        <v>3.5398230088495575E-2</v>
      </c>
      <c r="I17" s="615">
        <v>5.1282051282051282E-3</v>
      </c>
      <c r="J17" s="615">
        <v>2.8715003589375447E-2</v>
      </c>
      <c r="K17" s="615">
        <v>0</v>
      </c>
      <c r="L17" s="615">
        <v>4.3478260869565216E-2</v>
      </c>
      <c r="M17" s="615">
        <v>4.2985074626865669E-2</v>
      </c>
      <c r="N17" s="615">
        <v>1.282051282051282E-2</v>
      </c>
      <c r="O17" s="228"/>
    </row>
    <row r="18" spans="1:15" x14ac:dyDescent="0.2">
      <c r="A18" s="318" t="str">
        <f>$A$11</f>
        <v>PM</v>
      </c>
      <c r="B18" s="885"/>
      <c r="C18" s="615">
        <v>1.8675721561969439E-2</v>
      </c>
      <c r="D18" s="615">
        <v>3.3625730994152045E-2</v>
      </c>
      <c r="E18" s="615">
        <v>0</v>
      </c>
      <c r="F18" s="615">
        <v>3.0120481927710845E-3</v>
      </c>
      <c r="G18" s="615">
        <v>5.5493895671476137E-3</v>
      </c>
      <c r="H18" s="615">
        <v>9.1145833333333339E-3</v>
      </c>
      <c r="I18" s="615">
        <v>6.9735006973500697E-3</v>
      </c>
      <c r="J18" s="615">
        <v>4.1881812966150317E-2</v>
      </c>
      <c r="K18" s="615">
        <v>6.2305295950155761E-3</v>
      </c>
      <c r="L18" s="615">
        <v>2.4390243902439025E-2</v>
      </c>
      <c r="M18" s="615">
        <v>6.0485651214128036E-2</v>
      </c>
      <c r="N18" s="615">
        <v>6.1162079510703364E-3</v>
      </c>
      <c r="O18" s="228"/>
    </row>
    <row r="19" spans="1:15" x14ac:dyDescent="0.2">
      <c r="A19" s="226"/>
      <c r="O19" s="228"/>
    </row>
    <row r="20" spans="1:15" ht="15.75" thickBot="1" x14ac:dyDescent="0.3">
      <c r="A20" s="315" t="s">
        <v>312</v>
      </c>
      <c r="B20" s="313"/>
      <c r="C20" s="316" t="s">
        <v>553</v>
      </c>
      <c r="O20" s="228"/>
    </row>
    <row r="21" spans="1:15" ht="13.5" thickBot="1" x14ac:dyDescent="0.25">
      <c r="A21" s="274"/>
      <c r="C21" s="34" t="s">
        <v>25</v>
      </c>
      <c r="D21" s="825">
        <v>0.03</v>
      </c>
      <c r="F21" s="34" t="s">
        <v>26</v>
      </c>
      <c r="G21" s="826">
        <v>3</v>
      </c>
      <c r="J21" s="34" t="s">
        <v>24</v>
      </c>
      <c r="K21" s="827">
        <f>(1+D21)^G21-1</f>
        <v>9.2727000000000004E-2</v>
      </c>
      <c r="O21" s="228"/>
    </row>
    <row r="22" spans="1:15" x14ac:dyDescent="0.2">
      <c r="A22" s="226"/>
      <c r="O22" s="228"/>
    </row>
    <row r="23" spans="1:15" ht="15" customHeight="1" thickBot="1" x14ac:dyDescent="0.3">
      <c r="A23" s="315" t="s">
        <v>567</v>
      </c>
      <c r="B23" s="314"/>
      <c r="C23" s="374"/>
      <c r="D23" s="374"/>
      <c r="E23" s="374"/>
      <c r="F23" s="375"/>
      <c r="G23" s="316" t="s">
        <v>351</v>
      </c>
      <c r="O23" s="228"/>
    </row>
    <row r="24" spans="1:15" ht="24" customHeight="1" x14ac:dyDescent="0.2">
      <c r="A24" s="246"/>
      <c r="C24" s="1214" t="s">
        <v>551</v>
      </c>
      <c r="D24" s="1215"/>
      <c r="E24" s="1063" t="s">
        <v>11</v>
      </c>
      <c r="F24" s="1216" t="s">
        <v>550</v>
      </c>
      <c r="G24" s="1217"/>
      <c r="H24" s="1065" t="s">
        <v>12</v>
      </c>
      <c r="I24" s="1218" t="s">
        <v>548</v>
      </c>
      <c r="J24" s="1219"/>
      <c r="K24" s="1066" t="s">
        <v>13</v>
      </c>
      <c r="L24" s="1210" t="s">
        <v>549</v>
      </c>
      <c r="M24" s="1211"/>
      <c r="N24" s="1067" t="s">
        <v>14</v>
      </c>
      <c r="O24" s="228"/>
    </row>
    <row r="25" spans="1:15" x14ac:dyDescent="0.2">
      <c r="A25" s="226"/>
      <c r="C25" s="1055" t="s">
        <v>354</v>
      </c>
      <c r="D25" s="1056" t="s">
        <v>347</v>
      </c>
      <c r="E25" s="1064" t="s">
        <v>345</v>
      </c>
      <c r="F25" s="1055" t="s">
        <v>355</v>
      </c>
      <c r="G25" s="1056" t="s">
        <v>348</v>
      </c>
      <c r="H25" s="1064" t="s">
        <v>346</v>
      </c>
      <c r="I25" s="1055" t="s">
        <v>356</v>
      </c>
      <c r="J25" s="1056" t="s">
        <v>349</v>
      </c>
      <c r="K25" s="1064" t="s">
        <v>343</v>
      </c>
      <c r="L25" s="1055" t="s">
        <v>357</v>
      </c>
      <c r="M25" s="1056" t="s">
        <v>350</v>
      </c>
      <c r="N25" s="1062" t="s">
        <v>344</v>
      </c>
      <c r="O25" s="228"/>
    </row>
    <row r="26" spans="1:15" x14ac:dyDescent="0.2">
      <c r="A26" s="318" t="str">
        <f>$A$9</f>
        <v>AM</v>
      </c>
      <c r="C26" s="1057">
        <v>10</v>
      </c>
      <c r="D26" s="1058"/>
      <c r="E26" s="1061"/>
      <c r="F26" s="1057">
        <v>10</v>
      </c>
      <c r="G26" s="1058"/>
      <c r="H26" s="1061"/>
      <c r="I26" s="1057">
        <v>10</v>
      </c>
      <c r="J26" s="1058"/>
      <c r="K26" s="1061"/>
      <c r="L26" s="1057">
        <v>10</v>
      </c>
      <c r="M26" s="1058"/>
      <c r="N26" s="132">
        <v>2</v>
      </c>
      <c r="O26" s="228"/>
    </row>
    <row r="27" spans="1:15" x14ac:dyDescent="0.2">
      <c r="A27" s="318" t="str">
        <f>$A$10</f>
        <v>off</v>
      </c>
      <c r="C27" s="1057">
        <v>10</v>
      </c>
      <c r="D27" s="1058"/>
      <c r="E27" s="1061"/>
      <c r="F27" s="1057">
        <v>10</v>
      </c>
      <c r="G27" s="1058"/>
      <c r="H27" s="1061"/>
      <c r="I27" s="1057">
        <v>10</v>
      </c>
      <c r="J27" s="1058"/>
      <c r="K27" s="1061"/>
      <c r="L27" s="1057">
        <v>10</v>
      </c>
      <c r="M27" s="1058"/>
      <c r="N27" s="132">
        <v>1</v>
      </c>
      <c r="O27" s="228"/>
    </row>
    <row r="28" spans="1:15" ht="13.5" thickBot="1" x14ac:dyDescent="0.25">
      <c r="A28" s="318" t="str">
        <f>$A$11</f>
        <v>PM</v>
      </c>
      <c r="C28" s="1059">
        <v>10</v>
      </c>
      <c r="D28" s="1060"/>
      <c r="E28" s="1061"/>
      <c r="F28" s="1059">
        <v>10</v>
      </c>
      <c r="G28" s="1060"/>
      <c r="H28" s="1061"/>
      <c r="I28" s="1059">
        <v>10</v>
      </c>
      <c r="J28" s="1060"/>
      <c r="K28" s="1061"/>
      <c r="L28" s="1059">
        <v>10</v>
      </c>
      <c r="M28" s="1060"/>
      <c r="N28" s="132">
        <v>2</v>
      </c>
      <c r="O28" s="228"/>
    </row>
    <row r="29" spans="1:15" x14ac:dyDescent="0.2">
      <c r="A29" s="226"/>
      <c r="O29" s="228"/>
    </row>
    <row r="30" spans="1:15" ht="15.75" thickBot="1" x14ac:dyDescent="0.3">
      <c r="A30" s="315" t="s">
        <v>315</v>
      </c>
      <c r="B30" s="290"/>
      <c r="C30" s="290"/>
      <c r="D30" s="287"/>
      <c r="E30" s="316" t="s">
        <v>402</v>
      </c>
      <c r="O30" s="228"/>
    </row>
    <row r="31" spans="1:15" x14ac:dyDescent="0.2">
      <c r="A31" s="226"/>
      <c r="C31" s="1198" t="s">
        <v>11</v>
      </c>
      <c r="D31" s="1199"/>
      <c r="E31" s="1200"/>
      <c r="F31" s="1201" t="s">
        <v>12</v>
      </c>
      <c r="G31" s="1202"/>
      <c r="H31" s="1203"/>
      <c r="I31" s="1204" t="s">
        <v>13</v>
      </c>
      <c r="J31" s="1205"/>
      <c r="K31" s="1206"/>
      <c r="L31" s="1207" t="s">
        <v>14</v>
      </c>
      <c r="M31" s="1208"/>
      <c r="N31" s="1209"/>
      <c r="O31" s="228"/>
    </row>
    <row r="32" spans="1:15" x14ac:dyDescent="0.2">
      <c r="A32" s="226"/>
      <c r="C32" s="191" t="s">
        <v>265</v>
      </c>
      <c r="D32" s="191" t="s">
        <v>266</v>
      </c>
      <c r="E32" s="191" t="s">
        <v>267</v>
      </c>
      <c r="F32" s="191" t="s">
        <v>259</v>
      </c>
      <c r="G32" s="191" t="s">
        <v>260</v>
      </c>
      <c r="H32" s="191" t="s">
        <v>261</v>
      </c>
      <c r="I32" s="191" t="s">
        <v>256</v>
      </c>
      <c r="J32" s="191" t="s">
        <v>257</v>
      </c>
      <c r="K32" s="191" t="s">
        <v>258</v>
      </c>
      <c r="L32" s="191" t="s">
        <v>262</v>
      </c>
      <c r="M32" s="191" t="s">
        <v>263</v>
      </c>
      <c r="N32" s="191" t="s">
        <v>264</v>
      </c>
      <c r="O32" s="228"/>
    </row>
    <row r="33" spans="1:15" x14ac:dyDescent="0.2">
      <c r="A33" s="318" t="str">
        <f>$A$9</f>
        <v>AM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228"/>
    </row>
    <row r="34" spans="1:15" x14ac:dyDescent="0.2">
      <c r="A34" s="318" t="str">
        <f>$A$10</f>
        <v>off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228"/>
    </row>
    <row r="35" spans="1:15" x14ac:dyDescent="0.2">
      <c r="A35" s="318" t="str">
        <f>$A$11</f>
        <v>PM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228"/>
    </row>
    <row r="36" spans="1:15" x14ac:dyDescent="0.2">
      <c r="A36" s="226"/>
      <c r="O36" s="228"/>
    </row>
    <row r="37" spans="1:15" ht="15.75" thickBot="1" x14ac:dyDescent="0.3">
      <c r="A37" s="315" t="s">
        <v>316</v>
      </c>
      <c r="B37" s="290"/>
      <c r="C37" s="290"/>
      <c r="D37" s="287"/>
      <c r="E37" s="316" t="s">
        <v>547</v>
      </c>
      <c r="O37" s="228"/>
    </row>
    <row r="38" spans="1:15" x14ac:dyDescent="0.2">
      <c r="A38" s="1196">
        <f>A7+G21*365.25</f>
        <v>46387.75</v>
      </c>
      <c r="B38" s="1197"/>
      <c r="C38" s="1198" t="s">
        <v>11</v>
      </c>
      <c r="D38" s="1199"/>
      <c r="E38" s="1200"/>
      <c r="F38" s="1201" t="s">
        <v>12</v>
      </c>
      <c r="G38" s="1202"/>
      <c r="H38" s="1203"/>
      <c r="I38" s="1204" t="s">
        <v>13</v>
      </c>
      <c r="J38" s="1205"/>
      <c r="K38" s="1206"/>
      <c r="L38" s="1207" t="s">
        <v>14</v>
      </c>
      <c r="M38" s="1208"/>
      <c r="N38" s="1209"/>
      <c r="O38" s="228"/>
    </row>
    <row r="39" spans="1:15" x14ac:dyDescent="0.2">
      <c r="A39" s="226"/>
      <c r="C39" s="191" t="s">
        <v>265</v>
      </c>
      <c r="D39" s="191" t="s">
        <v>266</v>
      </c>
      <c r="E39" s="191" t="s">
        <v>267</v>
      </c>
      <c r="F39" s="191" t="s">
        <v>259</v>
      </c>
      <c r="G39" s="191" t="s">
        <v>260</v>
      </c>
      <c r="H39" s="191" t="s">
        <v>261</v>
      </c>
      <c r="I39" s="191" t="s">
        <v>256</v>
      </c>
      <c r="J39" s="191" t="s">
        <v>257</v>
      </c>
      <c r="K39" s="191" t="s">
        <v>258</v>
      </c>
      <c r="L39" s="191" t="s">
        <v>262</v>
      </c>
      <c r="M39" s="191" t="s">
        <v>263</v>
      </c>
      <c r="N39" s="191" t="s">
        <v>264</v>
      </c>
      <c r="O39" s="320" t="s">
        <v>34</v>
      </c>
    </row>
    <row r="40" spans="1:15" x14ac:dyDescent="0.2">
      <c r="A40" s="318" t="str">
        <f>$A$9</f>
        <v>AM</v>
      </c>
      <c r="C40" s="828">
        <f>C9*(1+$K$21)*(1+C16*($G$13-1))*C$58+C33</f>
        <v>93.669991524590159</v>
      </c>
      <c r="D40" s="828">
        <f>D9*(1+$K$21)*(1+D16*($G$13-1))*D$58+D33+D62</f>
        <v>478.35630410404838</v>
      </c>
      <c r="E40" s="828">
        <f>(E9+E26)*(1+$K$21)*(1+E16*($G$13-1))*E$58+E33</f>
        <v>63.078884082802546</v>
      </c>
      <c r="F40" s="828">
        <f>F9*(1+$K$21)*(1+F16*($G$13-1))*F$58+F33</f>
        <v>50.020520431034477</v>
      </c>
      <c r="G40" s="828">
        <f>G9*(1+$K$21)*(1+G16*($G$13-1))*G$58+G33+G62</f>
        <v>770.59203939890926</v>
      </c>
      <c r="H40" s="828">
        <f>(H9+H26)*(1+$K$21)*(1+H16*($G$13-1))*H$58+H33</f>
        <v>259.87699866108784</v>
      </c>
      <c r="I40" s="828">
        <f>I9*(1+$K$21)*(1+I16*($G$13-1))*I$58+I33</f>
        <v>186.22474084403669</v>
      </c>
      <c r="J40" s="828">
        <f>J9*(1+$K$21)*(1+J16*($G$13-1))*J$58+J33+J62</f>
        <v>1190.7128178658193</v>
      </c>
      <c r="K40" s="828">
        <f>(K9+K26)*(1+$K$21)*(1+K16*($G$13-1))*K$58+K33</f>
        <v>58.346728992537308</v>
      </c>
      <c r="L40" s="828">
        <f>L9*(1+$K$21)*(1+L16*($G$13-1))*L$58+L33</f>
        <v>57.380308911111115</v>
      </c>
      <c r="M40" s="828">
        <f>M9*(1+$K$21)*(1+M16*($G$13-1))*M$58+M33+M62</f>
        <v>1736.0268330767572</v>
      </c>
      <c r="N40" s="828">
        <f>(N9+N26)*(1+$K$21)*(1+N16*($G$13-1))*N$58+N33</f>
        <v>306.63054920779223</v>
      </c>
      <c r="O40" s="321">
        <f>IF($O$51="n/a","n/a",SUM(C40:N40)/$O$51)</f>
        <v>9.6628032515969603E-2</v>
      </c>
    </row>
    <row r="41" spans="1:15" x14ac:dyDescent="0.2">
      <c r="A41" s="318" t="str">
        <f>$A$10</f>
        <v>off</v>
      </c>
      <c r="C41" s="828">
        <f>C10*(1+$K$21)*(1+C17*($G$13-1))*C$58+C34</f>
        <v>78.310753619541074</v>
      </c>
      <c r="D41" s="828">
        <f>D10*(1+$K$21)*(1+D17*($G$13-1))*D$58+D34+D63</f>
        <v>305.77693812185669</v>
      </c>
      <c r="E41" s="828">
        <f>(E10+E27)*(1+$K$21)*(1+E17*($G$13-1))*E$58+E34</f>
        <v>109.89711542857142</v>
      </c>
      <c r="F41" s="828">
        <f>F10*(1+$K$21)*(1+F17*($G$13-1))*F$58+F34</f>
        <v>52.320066100680272</v>
      </c>
      <c r="G41" s="828">
        <f>G10*(1+$K$21)*(1+G17*($G$13-1))*G$58+G34+G63</f>
        <v>362.71974050005485</v>
      </c>
      <c r="H41" s="828">
        <f>(H10+H27)*(1+$K$21)*(1+H17*($G$13-1))*H$58+H34</f>
        <v>97.301053752212397</v>
      </c>
      <c r="I41" s="828">
        <f>I10*(1+$K$21)*(1+I17*($G$13-1))*I$58+I34</f>
        <v>83.786944123076921</v>
      </c>
      <c r="J41" s="828">
        <f>J10*(1+$K$21)*(1+J17*($G$13-1))*J$58+J34+J63</f>
        <v>570.72399438149944</v>
      </c>
      <c r="K41" s="828">
        <f>(K10+K27)*(1+$K$21)*(1+K17*($G$13-1))*K$58+K34</f>
        <v>59.007258</v>
      </c>
      <c r="L41" s="828">
        <f>L10*(1+$K$21)*(1+L17*($G$13-1))*L$58+L34</f>
        <v>66.459520397515519</v>
      </c>
      <c r="M41" s="828">
        <f>M10*(1+$K$21)*(1+M17*($G$13-1))*M$58+M34+M63</f>
        <v>633.99768909901923</v>
      </c>
      <c r="N41" s="828">
        <f>(N10+N27)*(1+$K$21)*(1+N17*($G$13-1))*N$58+N34</f>
        <v>108.61826459890109</v>
      </c>
      <c r="O41" s="321">
        <f>IF($O$51="n/a","n/a",SUM(C41:N41)/$O$51)</f>
        <v>4.6537493013094462E-2</v>
      </c>
    </row>
    <row r="42" spans="1:15" x14ac:dyDescent="0.2">
      <c r="A42" s="318" t="str">
        <f>$A$11</f>
        <v>PM</v>
      </c>
      <c r="C42" s="828">
        <f>C11*(1+$K$21)*(1+C18*($G$13-1))*C$58+C35</f>
        <v>336.16660848896436</v>
      </c>
      <c r="D42" s="828">
        <f>D11*(1+$K$21)*(1+D18*($G$13-1))*D$58+D35+D64</f>
        <v>667.09810468953981</v>
      </c>
      <c r="E42" s="828">
        <f>(E11+E28)*(1+$K$21)*(1+E18*($G$13-1))*E$58+E35</f>
        <v>64.470893000000004</v>
      </c>
      <c r="F42" s="828">
        <f>F11*(1+$K$21)*(1+F18*($G$13-1))*F$58+F35</f>
        <v>275.1006049427711</v>
      </c>
      <c r="G42" s="828">
        <f>G11*(1+$K$21)*(1+G18*($G$13-1))*G$58+G35+G64</f>
        <v>337.87083816327777</v>
      </c>
      <c r="H42" s="828">
        <f>(H11+H28)*(1+$K$21)*(1+H18*($G$13-1))*H$58+H35</f>
        <v>307.64960361328122</v>
      </c>
      <c r="I42" s="828">
        <f>I11*(1+$K$21)*(1+I18*($G$13-1))*I$58+I35</f>
        <v>303.69580856903764</v>
      </c>
      <c r="J42" s="828">
        <f>J11*(1+$K$21)*(1+J18*($G$13-1))*J$58+J35+J64</f>
        <v>1510.7793986597819</v>
      </c>
      <c r="K42" s="828">
        <f>(K11+K28)*(1+$K$21)*(1+K18*($G$13-1))*K$58+K35</f>
        <v>275.98335224610594</v>
      </c>
      <c r="L42" s="828">
        <f>L11*(1+$K$21)*(1+L18*($G$13-1))*L$58+L35</f>
        <v>77.237142585365845</v>
      </c>
      <c r="M42" s="828">
        <f>M11*(1+$K$21)*(1+M18*($G$13-1))*M$58+M35+M64</f>
        <v>1032.5097820370861</v>
      </c>
      <c r="N42" s="828">
        <f>(N11+N28)*(1+$K$21)*(1+N18*($G$13-1))*N$58+N35</f>
        <v>166.01096218042815</v>
      </c>
      <c r="O42" s="321">
        <f>IF($O$51="n/a","n/a",SUM(C42:N42)/$O$51)</f>
        <v>9.8535530348685674E-2</v>
      </c>
    </row>
    <row r="43" spans="1:15" x14ac:dyDescent="0.2">
      <c r="A43" s="226"/>
      <c r="C43" s="260">
        <f>MAX(C40:C42)</f>
        <v>336.16660848896436</v>
      </c>
      <c r="D43" s="260">
        <f>MAX(D40:D42)</f>
        <v>667.09810468953981</v>
      </c>
      <c r="E43" s="260">
        <f t="shared" ref="E43:N43" si="0">MAX(E40:E42)</f>
        <v>109.89711542857142</v>
      </c>
      <c r="F43" s="260">
        <f t="shared" si="0"/>
        <v>275.1006049427711</v>
      </c>
      <c r="G43" s="260">
        <f t="shared" si="0"/>
        <v>770.59203939890926</v>
      </c>
      <c r="H43" s="260">
        <f t="shared" si="0"/>
        <v>307.64960361328122</v>
      </c>
      <c r="I43" s="260">
        <f t="shared" si="0"/>
        <v>303.69580856903764</v>
      </c>
      <c r="J43" s="260">
        <f t="shared" si="0"/>
        <v>1510.7793986597819</v>
      </c>
      <c r="K43" s="260">
        <f t="shared" si="0"/>
        <v>275.98335224610594</v>
      </c>
      <c r="L43" s="260">
        <f t="shared" si="0"/>
        <v>77.237142585365845</v>
      </c>
      <c r="M43" s="260">
        <f t="shared" si="0"/>
        <v>1736.0268330767572</v>
      </c>
      <c r="N43" s="260">
        <f t="shared" si="0"/>
        <v>306.63054920779223</v>
      </c>
      <c r="O43" s="228"/>
    </row>
    <row r="44" spans="1:15" ht="15" x14ac:dyDescent="0.25">
      <c r="A44" s="315" t="s">
        <v>317</v>
      </c>
      <c r="B44" s="313"/>
      <c r="C44" s="316" t="s">
        <v>318</v>
      </c>
      <c r="O44" s="228"/>
    </row>
    <row r="45" spans="1:15" ht="13.5" thickBot="1" x14ac:dyDescent="0.25">
      <c r="A45" s="322"/>
      <c r="C45" s="316" t="s">
        <v>286</v>
      </c>
      <c r="O45" s="228"/>
    </row>
    <row r="46" spans="1:15" x14ac:dyDescent="0.2">
      <c r="A46" s="226"/>
      <c r="C46" s="1198" t="s">
        <v>11</v>
      </c>
      <c r="D46" s="1199"/>
      <c r="E46" s="1200"/>
      <c r="F46" s="1201" t="s">
        <v>12</v>
      </c>
      <c r="G46" s="1202"/>
      <c r="H46" s="1203"/>
      <c r="I46" s="1204" t="s">
        <v>13</v>
      </c>
      <c r="J46" s="1205"/>
      <c r="K46" s="1206"/>
      <c r="L46" s="1207" t="s">
        <v>14</v>
      </c>
      <c r="M46" s="1208"/>
      <c r="N46" s="1209"/>
      <c r="O46" s="228"/>
    </row>
    <row r="47" spans="1:15" x14ac:dyDescent="0.2">
      <c r="A47" s="323"/>
      <c r="B47" s="140" t="s">
        <v>367</v>
      </c>
      <c r="C47" s="191" t="s">
        <v>265</v>
      </c>
      <c r="D47" s="191" t="s">
        <v>266</v>
      </c>
      <c r="E47" s="191" t="s">
        <v>267</v>
      </c>
      <c r="F47" s="191" t="s">
        <v>259</v>
      </c>
      <c r="G47" s="191" t="s">
        <v>260</v>
      </c>
      <c r="H47" s="191" t="s">
        <v>261</v>
      </c>
      <c r="I47" s="191" t="s">
        <v>256</v>
      </c>
      <c r="J47" s="191" t="s">
        <v>257</v>
      </c>
      <c r="K47" s="191" t="s">
        <v>258</v>
      </c>
      <c r="L47" s="191" t="s">
        <v>262</v>
      </c>
      <c r="M47" s="191" t="s">
        <v>263</v>
      </c>
      <c r="N47" s="191" t="s">
        <v>264</v>
      </c>
      <c r="O47" s="228"/>
    </row>
    <row r="48" spans="1:15" x14ac:dyDescent="0.2">
      <c r="A48" s="318" t="str">
        <f>$A$9</f>
        <v>AM</v>
      </c>
      <c r="B48" s="39">
        <v>3.75</v>
      </c>
      <c r="C48" s="132">
        <f>IF(C40&lt;1,N42,C40)</f>
        <v>93.669991524590159</v>
      </c>
      <c r="D48" s="15">
        <f>IF(D40&lt;1,G42,D40)</f>
        <v>478.35630410404838</v>
      </c>
      <c r="E48" s="15">
        <f>IF(E40&lt;1,I42,E40)</f>
        <v>63.078884082802546</v>
      </c>
      <c r="F48" s="15">
        <f>IF(F40&lt;1,K42,F40)</f>
        <v>50.020520431034477</v>
      </c>
      <c r="G48" s="15">
        <f>IF(G40&lt;1,D42,G40)</f>
        <v>770.59203939890926</v>
      </c>
      <c r="H48" s="15">
        <f>IF(H40&lt;1,L42,H40)</f>
        <v>259.87699866108784</v>
      </c>
      <c r="I48" s="15">
        <f>IF(I40&lt;1,E42,I40)</f>
        <v>186.22474084403669</v>
      </c>
      <c r="J48" s="15">
        <f>IF(J40&lt;1,M42,J40)</f>
        <v>1190.7128178658193</v>
      </c>
      <c r="K48" s="15">
        <f>IF(K40&lt;1,F42,K40)</f>
        <v>58.346728992537308</v>
      </c>
      <c r="L48" s="15">
        <f>IF(L40&lt;1,H42,L40)</f>
        <v>57.380308911111115</v>
      </c>
      <c r="M48" s="15">
        <f>IF(M40&lt;1,J42,M40)</f>
        <v>1736.0268330767572</v>
      </c>
      <c r="N48" s="15">
        <f>IF(N40&lt;1,C42,N40)</f>
        <v>306.63054920779223</v>
      </c>
      <c r="O48" s="228"/>
    </row>
    <row r="49" spans="1:15" x14ac:dyDescent="0.2">
      <c r="A49" s="318" t="str">
        <f>$A$10</f>
        <v>off</v>
      </c>
      <c r="B49" s="39">
        <v>5.55</v>
      </c>
      <c r="C49" s="132">
        <f t="shared" ref="C49:N49" si="1">IF(C41&lt;1,(C48+C50)/3.2,C41)</f>
        <v>78.310753619541074</v>
      </c>
      <c r="D49" s="15">
        <f t="shared" si="1"/>
        <v>305.77693812185669</v>
      </c>
      <c r="E49" s="15">
        <f>IF(E41&lt;1,(E48+E50)/3.2,E41)</f>
        <v>109.89711542857142</v>
      </c>
      <c r="F49" s="15">
        <f t="shared" si="1"/>
        <v>52.320066100680272</v>
      </c>
      <c r="G49" s="15">
        <f t="shared" si="1"/>
        <v>362.71974050005485</v>
      </c>
      <c r="H49" s="15">
        <f t="shared" si="1"/>
        <v>97.301053752212397</v>
      </c>
      <c r="I49" s="15">
        <f t="shared" si="1"/>
        <v>83.786944123076921</v>
      </c>
      <c r="J49" s="15">
        <f t="shared" si="1"/>
        <v>570.72399438149944</v>
      </c>
      <c r="K49" s="15">
        <f t="shared" si="1"/>
        <v>59.007258</v>
      </c>
      <c r="L49" s="15">
        <f t="shared" si="1"/>
        <v>66.459520397515519</v>
      </c>
      <c r="M49" s="15">
        <f t="shared" si="1"/>
        <v>633.99768909901923</v>
      </c>
      <c r="N49" s="15">
        <f t="shared" si="1"/>
        <v>108.61826459890109</v>
      </c>
      <c r="O49" s="228"/>
    </row>
    <row r="50" spans="1:15" ht="13.5" thickBot="1" x14ac:dyDescent="0.25">
      <c r="A50" s="318" t="str">
        <f>$A$11</f>
        <v>PM</v>
      </c>
      <c r="B50" s="39">
        <v>3.85</v>
      </c>
      <c r="C50" s="133">
        <f>IF(C42&lt;1,N40,C42)</f>
        <v>336.16660848896436</v>
      </c>
      <c r="D50" s="118">
        <f>IF(D42&lt;1,G40,D42)</f>
        <v>667.09810468953981</v>
      </c>
      <c r="E50" s="118">
        <f>IF(E42&lt;1,I40,E42)</f>
        <v>64.470893000000004</v>
      </c>
      <c r="F50" s="118">
        <f>IF(F42&lt;1,K40,F42)</f>
        <v>275.1006049427711</v>
      </c>
      <c r="G50" s="118">
        <f>IF(G42&lt;1,D40,G42)</f>
        <v>337.87083816327777</v>
      </c>
      <c r="H50" s="118">
        <f>IF(H42&lt;1,L40,H42)</f>
        <v>307.64960361328122</v>
      </c>
      <c r="I50" s="118">
        <f>IF(I42&lt;1,E40,I42)</f>
        <v>303.69580856903764</v>
      </c>
      <c r="J50" s="118">
        <f>IF(J42&lt;1,M40,J42)</f>
        <v>1510.7793986597819</v>
      </c>
      <c r="K50" s="118">
        <f>IF(K42&lt;1,F40,K42)</f>
        <v>275.98335224610594</v>
      </c>
      <c r="L50" s="118">
        <f>IF(L42&lt;1,H40,L42)</f>
        <v>77.237142585365845</v>
      </c>
      <c r="M50" s="118">
        <f>IF(M42&lt;1,J40,M42)</f>
        <v>1032.5097820370861</v>
      </c>
      <c r="N50" s="118">
        <f>IF(N42&lt;1,C40,N42)</f>
        <v>166.01096218042815</v>
      </c>
      <c r="O50" s="598"/>
    </row>
    <row r="51" spans="1:15" ht="13.5" thickBot="1" x14ac:dyDescent="0.25">
      <c r="A51" s="318" t="s">
        <v>33</v>
      </c>
      <c r="C51" s="1068">
        <f>IF(SUM(C40:C42)&gt;0,hr!C48*$B$48+hr!C49*$B$49+hr!C50*$B$50,0)</f>
        <v>2080.1285934881789</v>
      </c>
      <c r="D51" s="1069">
        <f>IF(SUM(D40:D42)&gt;0,hr!D48*$B$48+hr!D49*$B$49+hr!D50*$B$50,0)</f>
        <v>6059.2258500212138</v>
      </c>
      <c r="E51" s="1069">
        <f>IF(SUM(E40:E42)&gt;0,hr!E48*$B$48+hr!E49*$B$49+hr!E50*$B$50,0)</f>
        <v>1094.6877439890809</v>
      </c>
      <c r="F51" s="1069">
        <f>IF(SUM(F40:F42)&gt;0,hr!F48*$B$48+hr!F49*$B$49+hr!F50*$B$50,0)</f>
        <v>1537.0906475048237</v>
      </c>
      <c r="G51" s="1069">
        <f>IF(SUM(G40:G42)&gt;0,hr!G48*$B$48+hr!G49*$B$49+hr!G50*$B$50,0)</f>
        <v>6203.617434449834</v>
      </c>
      <c r="H51" s="1069">
        <f>IF(SUM(H40:H42)&gt;0,hr!H48*$B$48+hr!H49*$B$49+hr!H50*$B$50,0)</f>
        <v>2699.0105672149907</v>
      </c>
      <c r="I51" s="1069">
        <f>IF(SUM(I40:I42)&gt;0,hr!I48*$B$48+hr!I49*$B$49+hr!I50*$B$50,0)</f>
        <v>2332.5891810390094</v>
      </c>
      <c r="J51" s="1069">
        <f>IF(SUM(J40:J42)&gt;0,hr!J48*$B$48+hr!J49*$B$49+hr!J50*$B$50,0)</f>
        <v>13449.191920654304</v>
      </c>
      <c r="K51" s="1069">
        <f>IF(SUM(K40:K42)&gt;0,hr!K48*$B$48+hr!K49*$B$49+hr!K50*$B$50,0)</f>
        <v>1608.8264217695228</v>
      </c>
      <c r="L51" s="1069">
        <f>IF(SUM(L40:L42)&gt;0,hr!L48*$B$48+hr!L49*$B$49+hr!L50*$B$50,0)</f>
        <v>881.38949557653632</v>
      </c>
      <c r="M51" s="1069">
        <f>IF(SUM(M40:M42)&gt;0,hr!M48*$B$48+hr!M49*$B$49+hr!M50*$B$50,0)</f>
        <v>14003.950459380178</v>
      </c>
      <c r="N51" s="1070">
        <f>IF(SUM(N40:N42)&gt;0,hr!N48*$B$48+hr!N49*$B$49+hr!N50*$B$50,0)</f>
        <v>2391.8381324477705</v>
      </c>
      <c r="O51" s="829">
        <f>IF(AND(A9="AM",A11="PM"),SUM(C51:N51),"n/a")</f>
        <v>54341.546447535438</v>
      </c>
    </row>
    <row r="52" spans="1:15" x14ac:dyDescent="0.2">
      <c r="A52" s="226"/>
      <c r="O52" s="228"/>
    </row>
    <row r="53" spans="1:15" ht="15" x14ac:dyDescent="0.25">
      <c r="A53" s="315" t="s">
        <v>319</v>
      </c>
      <c r="B53" s="313"/>
      <c r="C53" s="316" t="s">
        <v>566</v>
      </c>
      <c r="O53" s="228"/>
    </row>
    <row r="54" spans="1:15" x14ac:dyDescent="0.2">
      <c r="A54" s="226"/>
      <c r="C54" s="316" t="s">
        <v>565</v>
      </c>
      <c r="O54" s="228"/>
    </row>
    <row r="55" spans="1:15" ht="13.5" thickBot="1" x14ac:dyDescent="0.25">
      <c r="A55" s="226"/>
      <c r="C55" s="316" t="s">
        <v>574</v>
      </c>
      <c r="O55" s="228"/>
    </row>
    <row r="56" spans="1:15" x14ac:dyDescent="0.2">
      <c r="A56" s="226"/>
      <c r="C56" s="1198" t="s">
        <v>11</v>
      </c>
      <c r="D56" s="1199"/>
      <c r="E56" s="1200"/>
      <c r="F56" s="1201" t="s">
        <v>12</v>
      </c>
      <c r="G56" s="1202"/>
      <c r="H56" s="1203"/>
      <c r="I56" s="1204" t="s">
        <v>13</v>
      </c>
      <c r="J56" s="1205"/>
      <c r="K56" s="1206"/>
      <c r="L56" s="1207" t="s">
        <v>14</v>
      </c>
      <c r="M56" s="1208"/>
      <c r="N56" s="1209"/>
      <c r="O56" s="228"/>
    </row>
    <row r="57" spans="1:15" x14ac:dyDescent="0.2">
      <c r="A57" s="226"/>
      <c r="C57" s="191" t="s">
        <v>265</v>
      </c>
      <c r="D57" s="191" t="s">
        <v>266</v>
      </c>
      <c r="E57" s="191" t="s">
        <v>267</v>
      </c>
      <c r="F57" s="191" t="s">
        <v>259</v>
      </c>
      <c r="G57" s="191" t="s">
        <v>260</v>
      </c>
      <c r="H57" s="191" t="s">
        <v>261</v>
      </c>
      <c r="I57" s="191" t="s">
        <v>256</v>
      </c>
      <c r="J57" s="191" t="s">
        <v>257</v>
      </c>
      <c r="K57" s="191" t="s">
        <v>258</v>
      </c>
      <c r="L57" s="191" t="s">
        <v>262</v>
      </c>
      <c r="M57" s="191" t="s">
        <v>263</v>
      </c>
      <c r="N57" s="191" t="s">
        <v>264</v>
      </c>
      <c r="O57" s="228"/>
    </row>
    <row r="58" spans="1:15" x14ac:dyDescent="0.2">
      <c r="A58" s="226"/>
      <c r="B58" s="34" t="s">
        <v>40</v>
      </c>
      <c r="C58" s="376">
        <v>1</v>
      </c>
      <c r="D58" s="376">
        <v>1</v>
      </c>
      <c r="E58" s="376">
        <v>1</v>
      </c>
      <c r="F58" s="376">
        <v>1</v>
      </c>
      <c r="G58" s="376">
        <v>1</v>
      </c>
      <c r="H58" s="376">
        <v>1</v>
      </c>
      <c r="I58" s="376">
        <v>1</v>
      </c>
      <c r="J58" s="376">
        <v>1</v>
      </c>
      <c r="K58" s="376">
        <v>1</v>
      </c>
      <c r="L58" s="376">
        <v>1</v>
      </c>
      <c r="M58" s="376">
        <v>1</v>
      </c>
      <c r="N58" s="376">
        <v>1</v>
      </c>
      <c r="O58" s="228"/>
    </row>
    <row r="59" spans="1:15" x14ac:dyDescent="0.2">
      <c r="A59" s="226"/>
      <c r="O59" s="228"/>
    </row>
    <row r="60" spans="1:15" ht="15" x14ac:dyDescent="0.25">
      <c r="A60" s="315" t="s">
        <v>564</v>
      </c>
      <c r="B60" s="314"/>
      <c r="C60" s="1054"/>
      <c r="D60" s="1054"/>
      <c r="E60" s="313"/>
      <c r="O60" s="228"/>
    </row>
    <row r="61" spans="1:15" ht="12.75" customHeight="1" x14ac:dyDescent="0.25">
      <c r="A61" s="1035"/>
      <c r="B61"/>
      <c r="C61" s="1039" t="s">
        <v>554</v>
      </c>
      <c r="D61" s="1040" t="s">
        <v>556</v>
      </c>
      <c r="E61" s="1039" t="s">
        <v>555</v>
      </c>
      <c r="F61" s="1041" t="s">
        <v>554</v>
      </c>
      <c r="G61" s="1042" t="s">
        <v>556</v>
      </c>
      <c r="H61" s="1041" t="s">
        <v>555</v>
      </c>
      <c r="I61" s="1043" t="s">
        <v>554</v>
      </c>
      <c r="J61" s="1044" t="s">
        <v>556</v>
      </c>
      <c r="K61" s="1043" t="s">
        <v>555</v>
      </c>
      <c r="L61" s="1045" t="s">
        <v>554</v>
      </c>
      <c r="M61" s="1046" t="s">
        <v>556</v>
      </c>
      <c r="N61" s="1045" t="s">
        <v>555</v>
      </c>
      <c r="O61" s="228"/>
    </row>
    <row r="62" spans="1:15" ht="12.75" customHeight="1" x14ac:dyDescent="0.25">
      <c r="A62" s="318" t="str">
        <f>$A$9</f>
        <v>AM</v>
      </c>
      <c r="B62"/>
      <c r="C62" s="1037">
        <f>MAX(GEOM!X10-GEOM!X11,0)*0.5</f>
        <v>8.61666084889643</v>
      </c>
      <c r="D62" s="15">
        <f>C$62*C40/MAX(C$40:C$42,0.0001)+E$62*E40/MAX(E$40:E$42,0.0001)</f>
        <v>2.4009599059059807</v>
      </c>
      <c r="E62" s="1038">
        <f>MAX(GEOM!S10-GEOM!S11,0)</f>
        <v>0</v>
      </c>
      <c r="F62" s="1036">
        <f>MAX(GEOM!K36-GEOM!K35,0)*0.5</f>
        <v>0</v>
      </c>
      <c r="G62" s="15">
        <f>F$62*F40/MAX(F$40:F$42,0.0001)+H$62*H40/MAX(H$40:H$42,0.0001)</f>
        <v>9.739525606444932</v>
      </c>
      <c r="H62" s="1036">
        <f>MAX(GEOM!Q36-GEOM!Q35,0)</f>
        <v>11.529920722656243</v>
      </c>
      <c r="I62" s="1036">
        <f>MAX(GEOM!E16-GEOM!F16,0)*0.5</f>
        <v>0</v>
      </c>
      <c r="J62" s="15">
        <f>I$62*I40/MAX(I$40:I$42,0.0001)+K$62*K40/MAX(K$40:K$42,0.0001)</f>
        <v>0</v>
      </c>
      <c r="K62" s="1036">
        <f>MAX(GEOM!E22-GEOM!F22,0)</f>
        <v>0</v>
      </c>
      <c r="L62" s="1036">
        <f>MAX(GEOM!AE29-GEOM!AD29,0)*0.5</f>
        <v>0</v>
      </c>
      <c r="M62" s="15">
        <f>L$62*L40/MAX(L$40:L$42,0.0001)+N$62*N40/MAX(N$40:N$42,0.0001)</f>
        <v>0</v>
      </c>
      <c r="N62" s="1036">
        <f>MAX(GEOM!AE24-GEOM!AD24,0)</f>
        <v>0</v>
      </c>
      <c r="O62" s="228"/>
    </row>
    <row r="63" spans="1:15" ht="12.75" customHeight="1" x14ac:dyDescent="0.25">
      <c r="A63" s="318" t="str">
        <f>$A$10</f>
        <v>off</v>
      </c>
      <c r="B63"/>
      <c r="C63"/>
      <c r="D63" s="15">
        <f>C$62*C41/MAX(C$40:C$42,0.0001)+E$62*E41/MAX(E$40:E$42,0.0001)</f>
        <v>2.0072701681887168</v>
      </c>
      <c r="G63" s="15">
        <f>F$62*F41/MAX(F$40:F$42,0.0001)+H$62*H41/MAX(H$40:H$42,0.0001)</f>
        <v>3.6465947715119742</v>
      </c>
      <c r="J63" s="15">
        <f>I$62*I41/MAX(I$40:I$42,0.0001)+K$62*K41/MAX(K$40:K$42,0.0001)</f>
        <v>0</v>
      </c>
      <c r="M63" s="15">
        <f>L$62*L41/MAX(L$40:L$42,0.0001)+N$62*N41/MAX(N$40:N$42,0.0001)</f>
        <v>0</v>
      </c>
      <c r="O63" s="228"/>
    </row>
    <row r="64" spans="1:15" ht="12.75" customHeight="1" x14ac:dyDescent="0.25">
      <c r="A64" s="318" t="str">
        <f>$A$11</f>
        <v>PM</v>
      </c>
      <c r="B64"/>
      <c r="C64"/>
      <c r="D64" s="15">
        <f>C$62*C42/MAX(C$40:C$42,0.0001)+E$62*E42/MAX(E$40:E$42,0.0001)</f>
        <v>8.61666084889643</v>
      </c>
      <c r="G64" s="15">
        <f>F$62*F42/MAX(F$40:F$42,0.0001)+H$62*H42/MAX(H$40:H$42,0.0001)</f>
        <v>11.529920722656243</v>
      </c>
      <c r="J64" s="15">
        <f>I$62*I42/MAX(I$40:I$42,0.0001)+K$62*K42/MAX(K$40:K$42,0.0001)</f>
        <v>0</v>
      </c>
      <c r="M64" s="15">
        <f>L$62*L42/MAX(L$40:L$42,0.0001)+N$62*N42/MAX(N$40:N$42,0.0001)</f>
        <v>0</v>
      </c>
      <c r="O64" s="228"/>
    </row>
    <row r="65" spans="1:15" ht="12.75" customHeight="1" thickBot="1" x14ac:dyDescent="0.25">
      <c r="A65" s="238"/>
      <c r="B65" s="234"/>
      <c r="C65" s="23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5"/>
    </row>
    <row r="66" spans="1:15" ht="13.5" thickTop="1" x14ac:dyDescent="0.2"/>
  </sheetData>
  <mergeCells count="30">
    <mergeCell ref="A7:B7"/>
    <mergeCell ref="C7:E7"/>
    <mergeCell ref="F7:H7"/>
    <mergeCell ref="I7:K7"/>
    <mergeCell ref="C24:D24"/>
    <mergeCell ref="F24:G24"/>
    <mergeCell ref="I24:J24"/>
    <mergeCell ref="C14:E14"/>
    <mergeCell ref="F14:H14"/>
    <mergeCell ref="I14:K14"/>
    <mergeCell ref="L7:N7"/>
    <mergeCell ref="L31:N31"/>
    <mergeCell ref="L14:N14"/>
    <mergeCell ref="C31:E31"/>
    <mergeCell ref="F31:H31"/>
    <mergeCell ref="I31:K31"/>
    <mergeCell ref="L24:M24"/>
    <mergeCell ref="C56:E56"/>
    <mergeCell ref="F56:H56"/>
    <mergeCell ref="I56:K56"/>
    <mergeCell ref="L56:N56"/>
    <mergeCell ref="C38:E38"/>
    <mergeCell ref="F38:H38"/>
    <mergeCell ref="I38:K38"/>
    <mergeCell ref="L38:N38"/>
    <mergeCell ref="A38:B38"/>
    <mergeCell ref="C46:E46"/>
    <mergeCell ref="F46:H46"/>
    <mergeCell ref="I46:K46"/>
    <mergeCell ref="L46:N46"/>
  </mergeCells>
  <printOptions horizontalCentered="1" verticalCentered="1"/>
  <pageMargins left="0.70866141732283472" right="0.70866141732283472" top="0.74803149606299213" bottom="0.74803149606299213" header="0.31496062992125984" footer="0.35433070866141736"/>
  <pageSetup paperSize="9" scale="83" orientation="portrait" r:id="rId1"/>
  <headerFooter>
    <oddFooter>&amp;L&amp;8copyright:
Dr John Sampson&amp;C&amp;9&amp;F
&amp;A&amp;R&amp;9print:
&amp;D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S63"/>
  <sheetViews>
    <sheetView showGridLines="0" showZeros="0" zoomScale="110" zoomScaleNormal="110" workbookViewId="0"/>
  </sheetViews>
  <sheetFormatPr defaultColWidth="9.140625" defaultRowHeight="12.75" x14ac:dyDescent="0.2"/>
  <cols>
    <col min="1" max="1" width="2.42578125" style="1" customWidth="1"/>
    <col min="2" max="5" width="6.7109375" style="1" customWidth="1"/>
    <col min="6" max="6" width="2.7109375" style="1" customWidth="1"/>
    <col min="7" max="7" width="0.5703125" style="1" customWidth="1"/>
    <col min="8" max="12" width="6.7109375" style="1" customWidth="1"/>
    <col min="13" max="13" width="0.5703125" style="1" customWidth="1"/>
    <col min="14" max="14" width="2.85546875" style="1" customWidth="1"/>
    <col min="15" max="18" width="6.7109375" style="1" customWidth="1"/>
    <col min="19" max="19" width="2.42578125" style="1" customWidth="1"/>
    <col min="20" max="16384" width="9.140625" style="1"/>
  </cols>
  <sheetData>
    <row r="1" spans="1:19" ht="19.5" customHeight="1" thickTop="1" x14ac:dyDescent="0.3">
      <c r="A1" s="223"/>
      <c r="B1" s="224"/>
      <c r="C1" s="224"/>
      <c r="D1" s="224"/>
      <c r="E1" s="224"/>
      <c r="F1" s="224"/>
      <c r="G1" s="224"/>
      <c r="H1" s="282"/>
      <c r="I1" s="433" t="str">
        <f>CVR!E7</f>
        <v>Queen Street</v>
      </c>
      <c r="J1" s="283" t="s">
        <v>298</v>
      </c>
      <c r="K1" s="434" t="str">
        <f>CVR!E9</f>
        <v>Albertina Sisulu Road</v>
      </c>
      <c r="L1" s="224"/>
      <c r="M1" s="224"/>
      <c r="N1" s="224"/>
      <c r="O1" s="224"/>
      <c r="P1" s="288"/>
      <c r="Q1" s="224"/>
      <c r="R1" s="288"/>
      <c r="S1" s="225"/>
    </row>
    <row r="2" spans="1:19" ht="15" customHeight="1" x14ac:dyDescent="0.2">
      <c r="A2" s="226"/>
      <c r="F2" s="10"/>
      <c r="I2" s="195"/>
      <c r="J2" s="195" t="str">
        <f>CVR!E11</f>
        <v>example</v>
      </c>
      <c r="P2" s="16" t="s">
        <v>35</v>
      </c>
      <c r="Q2" s="1235">
        <f>hr!A7</f>
        <v>45292</v>
      </c>
      <c r="R2" s="1235"/>
      <c r="S2" s="228"/>
    </row>
    <row r="3" spans="1:19" ht="15" customHeight="1" x14ac:dyDescent="0.25">
      <c r="A3" s="226"/>
      <c r="D3" s="281"/>
      <c r="E3" s="281"/>
      <c r="F3" s="10"/>
      <c r="P3" s="16" t="s">
        <v>36</v>
      </c>
      <c r="Q3" s="1237" t="str">
        <f>qtr!F5</f>
        <v>weekday</v>
      </c>
      <c r="R3" s="1237"/>
      <c r="S3" s="228"/>
    </row>
    <row r="4" spans="1:19" ht="15.75" customHeight="1" x14ac:dyDescent="0.25">
      <c r="A4" s="232"/>
      <c r="B4" s="764" t="str">
        <f>cap!$A$1</f>
        <v>&amp;AutoJ 2408</v>
      </c>
      <c r="C4" s="250"/>
      <c r="D4" s="284"/>
      <c r="E4" s="284"/>
      <c r="F4" s="8"/>
      <c r="G4" s="8"/>
      <c r="H4" s="285"/>
      <c r="I4" s="286"/>
      <c r="J4" s="286" t="s">
        <v>307</v>
      </c>
      <c r="K4" s="290"/>
      <c r="L4" s="287"/>
      <c r="M4" s="8"/>
      <c r="N4" s="8"/>
      <c r="O4" s="8"/>
      <c r="P4" s="657" t="s">
        <v>495</v>
      </c>
      <c r="Q4" s="1238">
        <f>hr!A38</f>
        <v>46387.75</v>
      </c>
      <c r="R4" s="1238"/>
      <c r="S4" s="233"/>
    </row>
    <row r="5" spans="1:19" x14ac:dyDescent="0.2">
      <c r="A5" s="226"/>
      <c r="C5" s="17"/>
      <c r="S5" s="228"/>
    </row>
    <row r="6" spans="1:19" ht="15" x14ac:dyDescent="0.25">
      <c r="A6" s="226"/>
      <c r="B6" s="1233" t="s">
        <v>459</v>
      </c>
      <c r="C6" s="1234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S6" s="228"/>
    </row>
    <row r="7" spans="1:19" x14ac:dyDescent="0.2">
      <c r="A7" s="226"/>
      <c r="B7" s="766" t="s">
        <v>213</v>
      </c>
      <c r="C7" s="18"/>
      <c r="D7" s="19"/>
      <c r="E7" s="19"/>
      <c r="F7" s="19"/>
      <c r="G7" s="19"/>
      <c r="H7" s="19"/>
      <c r="I7" s="19"/>
      <c r="J7" s="26" t="str">
        <f>EX!B6</f>
        <v>Queen Street</v>
      </c>
      <c r="K7" s="19"/>
      <c r="L7" s="19"/>
      <c r="M7" s="19"/>
      <c r="N7" s="19"/>
      <c r="O7" s="19"/>
      <c r="P7" s="19"/>
      <c r="Q7" s="19"/>
      <c r="S7" s="228"/>
    </row>
    <row r="8" spans="1:19" ht="18" customHeight="1" x14ac:dyDescent="0.2">
      <c r="A8" s="226"/>
      <c r="B8" s="242"/>
      <c r="C8" s="242"/>
      <c r="D8" s="245"/>
      <c r="E8" s="245"/>
      <c r="F8" s="245"/>
      <c r="G8" s="1108">
        <f>$H$9</f>
        <v>10907.294747936614</v>
      </c>
      <c r="H8" s="1239">
        <f>H9+K9</f>
        <v>20141.336935435087</v>
      </c>
      <c r="I8" s="1239"/>
      <c r="J8" s="1239"/>
      <c r="K8" s="1239"/>
      <c r="L8" s="1239"/>
      <c r="M8" s="1108">
        <f>$K$9</f>
        <v>9234.042187498475</v>
      </c>
      <c r="N8" s="245"/>
      <c r="O8" s="245"/>
      <c r="P8" s="245"/>
      <c r="Q8" s="245"/>
      <c r="S8" s="228"/>
    </row>
    <row r="9" spans="1:19" ht="18" customHeight="1" x14ac:dyDescent="0.2">
      <c r="A9" s="226"/>
      <c r="B9" s="242"/>
      <c r="C9" s="245"/>
      <c r="D9" s="245"/>
      <c r="E9" s="245"/>
      <c r="F9" s="245"/>
      <c r="G9" s="1108">
        <f>$H$9</f>
        <v>10907.294747936614</v>
      </c>
      <c r="H9" s="1225">
        <f>E13+I20+O15+J9</f>
        <v>10907.294747936614</v>
      </c>
      <c r="I9" s="1225"/>
      <c r="J9" s="1133">
        <f>(hr!E26*hr!B48+hr!E27*hr!B49+hr!E28*hr!B50)</f>
        <v>0</v>
      </c>
      <c r="K9" s="1223">
        <f>SUM(J10:L10)+J9</f>
        <v>9234.042187498475</v>
      </c>
      <c r="L9" s="1224"/>
      <c r="M9" s="1108">
        <f>$K$9</f>
        <v>9234.042187498475</v>
      </c>
      <c r="N9" s="245"/>
      <c r="O9" s="467" t="s">
        <v>362</v>
      </c>
      <c r="P9" s="245"/>
      <c r="Q9" s="245"/>
      <c r="S9" s="228"/>
    </row>
    <row r="10" spans="1:19" ht="18" customHeight="1" x14ac:dyDescent="0.2">
      <c r="A10" s="226"/>
      <c r="B10" s="242"/>
      <c r="C10" s="245"/>
      <c r="D10" s="245"/>
      <c r="E10" s="245"/>
      <c r="F10" s="245"/>
      <c r="G10" s="1108">
        <f>$H$9</f>
        <v>10907.294747936614</v>
      </c>
      <c r="H10" s="1240" t="s">
        <v>305</v>
      </c>
      <c r="I10" s="1241"/>
      <c r="J10" s="1134">
        <f>hr!E51-J9</f>
        <v>1094.6877439890809</v>
      </c>
      <c r="K10" s="1134">
        <f>hr!D51</f>
        <v>6059.2258500212138</v>
      </c>
      <c r="L10" s="1134">
        <f>hr!C51</f>
        <v>2080.1285934881789</v>
      </c>
      <c r="M10" s="1108">
        <f>$K$9</f>
        <v>9234.042187498475</v>
      </c>
      <c r="N10" s="245"/>
      <c r="O10" s="1139">
        <f>AVERAGE(hr!C16:E18)</f>
        <v>1.9406563306378275E-2</v>
      </c>
      <c r="P10" s="245"/>
      <c r="Q10" s="245"/>
      <c r="S10" s="228"/>
    </row>
    <row r="11" spans="1:19" ht="12.75" customHeight="1" x14ac:dyDescent="0.2">
      <c r="A11" s="226"/>
      <c r="B11" s="242"/>
      <c r="C11" s="245"/>
      <c r="D11" s="467" t="s">
        <v>362</v>
      </c>
      <c r="E11" s="1139">
        <f>AVERAGE(hr!I16:K18)</f>
        <v>1.8212914365688931E-2</v>
      </c>
      <c r="F11" s="245"/>
      <c r="G11" s="1108">
        <f>$H$9</f>
        <v>10907.294747936614</v>
      </c>
      <c r="H11" s="245"/>
      <c r="I11" s="245"/>
      <c r="J11" s="1120" t="s">
        <v>299</v>
      </c>
      <c r="K11" s="1120" t="s">
        <v>303</v>
      </c>
      <c r="L11" s="1120" t="s">
        <v>300</v>
      </c>
      <c r="M11" s="1108">
        <f>$K$9</f>
        <v>9234.042187498475</v>
      </c>
      <c r="N11" s="245"/>
      <c r="O11" s="245"/>
      <c r="P11" s="245"/>
      <c r="Q11" s="245"/>
      <c r="S11" s="228"/>
    </row>
    <row r="12" spans="1:19" ht="3" customHeight="1" x14ac:dyDescent="0.2">
      <c r="A12" s="226"/>
      <c r="B12" s="242"/>
      <c r="C12" s="1108">
        <f>$D$13</f>
        <v>17390.607523462837</v>
      </c>
      <c r="D12" s="1108">
        <f>$D$13</f>
        <v>17390.607523462837</v>
      </c>
      <c r="E12" s="1108">
        <f>$D$13</f>
        <v>17390.607523462837</v>
      </c>
      <c r="F12" s="1108">
        <f>$D$13</f>
        <v>17390.607523462837</v>
      </c>
      <c r="G12" s="1109"/>
      <c r="H12" s="1118">
        <f>$H$9</f>
        <v>10907.294747936614</v>
      </c>
      <c r="I12" s="1118">
        <f>$H$9</f>
        <v>10907.294747936614</v>
      </c>
      <c r="J12" s="1118">
        <f>$K$9</f>
        <v>9234.042187498475</v>
      </c>
      <c r="K12" s="1118">
        <f>$K$9</f>
        <v>9234.042187498475</v>
      </c>
      <c r="L12" s="1118">
        <f>$K$9</f>
        <v>9234.042187498475</v>
      </c>
      <c r="M12" s="1109"/>
      <c r="N12" s="1108">
        <f>$P$13</f>
        <v>18249.081081357475</v>
      </c>
      <c r="O12" s="1108">
        <f>$P$13</f>
        <v>18249.081081357475</v>
      </c>
      <c r="P12" s="1108">
        <f>$P$13</f>
        <v>18249.081081357475</v>
      </c>
      <c r="Q12" s="1108">
        <f>$P$13</f>
        <v>18249.081081357475</v>
      </c>
      <c r="S12" s="228"/>
    </row>
    <row r="13" spans="1:19" ht="18" customHeight="1" x14ac:dyDescent="0.2">
      <c r="A13" s="226"/>
      <c r="B13" s="1221" t="str">
        <f>EX!A7</f>
        <v>Albertina Sisulu Road</v>
      </c>
      <c r="C13" s="1220">
        <f>D13+D16</f>
        <v>34026.336374336919</v>
      </c>
      <c r="D13" s="1225">
        <f>SUM(E13:E15)+D15</f>
        <v>17390.607523462837</v>
      </c>
      <c r="E13" s="1135">
        <f>hr!I51</f>
        <v>2332.5891810390094</v>
      </c>
      <c r="F13" s="1120" t="s">
        <v>301</v>
      </c>
      <c r="G13" s="1118">
        <f>$D$13</f>
        <v>17390.607523462837</v>
      </c>
      <c r="H13" s="245"/>
      <c r="I13" s="245"/>
      <c r="J13" s="245"/>
      <c r="K13" s="245"/>
      <c r="L13" s="245"/>
      <c r="M13" s="1118">
        <f>$P$13</f>
        <v>18249.081081357475</v>
      </c>
      <c r="N13" s="245"/>
      <c r="O13" s="1242" t="s">
        <v>304</v>
      </c>
      <c r="P13" s="1225">
        <f>L10+E14+J20+P15</f>
        <v>18249.081081357475</v>
      </c>
      <c r="Q13" s="1239">
        <f>P13+P16</f>
        <v>35526.259168761957</v>
      </c>
      <c r="R13" s="1222" t="str">
        <f>EX!O7</f>
        <v>Albertina Sisulu Road</v>
      </c>
      <c r="S13" s="228"/>
    </row>
    <row r="14" spans="1:19" ht="18" customHeight="1" x14ac:dyDescent="0.2">
      <c r="A14" s="226"/>
      <c r="B14" s="1221"/>
      <c r="C14" s="1228"/>
      <c r="D14" s="1225"/>
      <c r="E14" s="1135">
        <f>hr!J51</f>
        <v>13449.191920654304</v>
      </c>
      <c r="F14" s="1120" t="s">
        <v>304</v>
      </c>
      <c r="G14" s="1118">
        <f>$D$13</f>
        <v>17390.607523462837</v>
      </c>
      <c r="H14" s="245"/>
      <c r="I14" s="245"/>
      <c r="J14" s="245"/>
      <c r="K14" s="245"/>
      <c r="L14" s="245"/>
      <c r="M14" s="1118">
        <f>$P$13</f>
        <v>18249.081081357475</v>
      </c>
      <c r="N14" s="245"/>
      <c r="O14" s="1243"/>
      <c r="P14" s="1225"/>
      <c r="Q14" s="1239"/>
      <c r="R14" s="1222"/>
      <c r="S14" s="228"/>
    </row>
    <row r="15" spans="1:19" ht="18" customHeight="1" x14ac:dyDescent="0.2">
      <c r="A15" s="226"/>
      <c r="B15" s="1221"/>
      <c r="C15" s="1228"/>
      <c r="D15" s="1124">
        <f>(hr!K26*hr!B48+hr!K27*hr!B49+hr!K28*hr!B50)</f>
        <v>0</v>
      </c>
      <c r="E15" s="1135">
        <f>hr!K51-D15</f>
        <v>1608.8264217695228</v>
      </c>
      <c r="F15" s="1120" t="s">
        <v>300</v>
      </c>
      <c r="G15" s="1118">
        <f>$D$13</f>
        <v>17390.607523462837</v>
      </c>
      <c r="H15" s="245"/>
      <c r="I15" s="20" t="s">
        <v>460</v>
      </c>
      <c r="J15" s="1236">
        <f>hr!O51</f>
        <v>54341.546447535438</v>
      </c>
      <c r="K15" s="1236"/>
      <c r="L15" s="245"/>
      <c r="M15" s="1118">
        <f>$P$16</f>
        <v>17277.178087404485</v>
      </c>
      <c r="N15" s="1121" t="s">
        <v>302</v>
      </c>
      <c r="O15" s="1131">
        <f>hr!N51-P15</f>
        <v>2371.0881324477705</v>
      </c>
      <c r="P15" s="1124">
        <f>(hr!N26*hr!B48+hr!N27*hr!B49+hr!N28*hr!B50)</f>
        <v>20.75</v>
      </c>
      <c r="Q15" s="1239"/>
      <c r="R15" s="1222" t="str">
        <f>EX!O7</f>
        <v>Albertina Sisulu Road</v>
      </c>
      <c r="S15" s="228"/>
    </row>
    <row r="16" spans="1:19" ht="18" customHeight="1" x14ac:dyDescent="0.2">
      <c r="A16" s="226"/>
      <c r="B16" s="1221"/>
      <c r="C16" s="1228"/>
      <c r="D16" s="1226">
        <f>H20+O16+J10+D15</f>
        <v>16635.728850874082</v>
      </c>
      <c r="E16" s="1229" t="s">
        <v>306</v>
      </c>
      <c r="F16" s="245"/>
      <c r="G16" s="1118">
        <f>$D$16</f>
        <v>16635.728850874082</v>
      </c>
      <c r="H16" s="245"/>
      <c r="I16" s="20"/>
      <c r="J16" s="1108"/>
      <c r="K16" s="245"/>
      <c r="L16" s="245"/>
      <c r="M16" s="1118">
        <f>$P$16</f>
        <v>17277.178087404485</v>
      </c>
      <c r="N16" s="1121" t="s">
        <v>306</v>
      </c>
      <c r="O16" s="1131">
        <f>hr!M51</f>
        <v>14003.950459380178</v>
      </c>
      <c r="P16" s="1226">
        <f>SUM(O15:O17)+P15</f>
        <v>17277.178087404485</v>
      </c>
      <c r="Q16" s="1239"/>
      <c r="R16" s="1222"/>
      <c r="S16" s="228"/>
    </row>
    <row r="17" spans="1:19" ht="18" customHeight="1" x14ac:dyDescent="0.2">
      <c r="A17" s="226"/>
      <c r="B17" s="1221"/>
      <c r="C17" s="1228"/>
      <c r="D17" s="1227"/>
      <c r="E17" s="1230"/>
      <c r="F17" s="245"/>
      <c r="G17" s="1118">
        <f>$D$16</f>
        <v>16635.728850874082</v>
      </c>
      <c r="H17" s="245"/>
      <c r="I17" s="245"/>
      <c r="J17" s="245"/>
      <c r="K17" s="245"/>
      <c r="L17" s="245"/>
      <c r="M17" s="1118">
        <f>$P$16</f>
        <v>17277.178087404485</v>
      </c>
      <c r="N17" s="1121" t="s">
        <v>299</v>
      </c>
      <c r="O17" s="1131">
        <f>hr!L51</f>
        <v>881.38949557653632</v>
      </c>
      <c r="P17" s="1227"/>
      <c r="Q17" s="1239"/>
      <c r="R17" s="1222"/>
      <c r="S17" s="228"/>
    </row>
    <row r="18" spans="1:19" ht="3" customHeight="1" x14ac:dyDescent="0.2">
      <c r="A18" s="226"/>
      <c r="B18" s="242"/>
      <c r="C18" s="245">
        <f>$D$16</f>
        <v>16635.728850874082</v>
      </c>
      <c r="D18" s="245">
        <f>$D$16</f>
        <v>16635.728850874082</v>
      </c>
      <c r="E18" s="1108">
        <f>$D$16</f>
        <v>16635.728850874082</v>
      </c>
      <c r="F18" s="245">
        <f>$D$16</f>
        <v>16635.728850874082</v>
      </c>
      <c r="G18" s="1109"/>
      <c r="H18" s="1118">
        <f>$H$21</f>
        <v>10439.718649169648</v>
      </c>
      <c r="I18" s="1118">
        <f>$H$21</f>
        <v>10439.718649169648</v>
      </c>
      <c r="J18" s="1118">
        <f>$H$21</f>
        <v>10439.718649169648</v>
      </c>
      <c r="K18" s="1118">
        <f>$K$21</f>
        <v>8549.4417673672724</v>
      </c>
      <c r="L18" s="1118">
        <f>$K$21</f>
        <v>8549.4417673672724</v>
      </c>
      <c r="M18" s="1109"/>
      <c r="N18" s="1108">
        <f>$P$16</f>
        <v>17277.178087404485</v>
      </c>
      <c r="O18" s="1108">
        <f>$P$16</f>
        <v>17277.178087404485</v>
      </c>
      <c r="P18" s="1108">
        <f>$P$16</f>
        <v>17277.178087404485</v>
      </c>
      <c r="Q18" s="1108">
        <f>$P$16</f>
        <v>17277.178087404485</v>
      </c>
      <c r="S18" s="228"/>
    </row>
    <row r="19" spans="1:19" ht="12.75" customHeight="1" x14ac:dyDescent="0.2">
      <c r="A19" s="226"/>
      <c r="B19" s="242"/>
      <c r="C19" s="245"/>
      <c r="D19" s="245"/>
      <c r="E19" s="245"/>
      <c r="F19" s="245"/>
      <c r="G19" s="245">
        <f>$H$21</f>
        <v>10439.718649169648</v>
      </c>
      <c r="H19" s="1120" t="s">
        <v>302</v>
      </c>
      <c r="I19" s="1120" t="s">
        <v>305</v>
      </c>
      <c r="J19" s="1120" t="s">
        <v>301</v>
      </c>
      <c r="K19" s="245"/>
      <c r="L19" s="245"/>
      <c r="M19" s="245">
        <f>$K$21</f>
        <v>8549.4417673672724</v>
      </c>
      <c r="N19" s="245"/>
      <c r="O19" s="1139">
        <f>AVERAGE(hr!L16:N18)</f>
        <v>2.9414396257510307E-2</v>
      </c>
      <c r="P19" s="467" t="s">
        <v>362</v>
      </c>
      <c r="Q19" s="245"/>
      <c r="S19" s="228"/>
    </row>
    <row r="20" spans="1:19" ht="18" customHeight="1" x14ac:dyDescent="0.2">
      <c r="A20" s="226"/>
      <c r="B20" s="242"/>
      <c r="C20" s="245"/>
      <c r="D20" s="245"/>
      <c r="E20" s="1139">
        <f>AVERAGE(hr!F16:H18)</f>
        <v>1.2753452237648151E-2</v>
      </c>
      <c r="F20" s="245"/>
      <c r="G20" s="1108">
        <f>$H$21</f>
        <v>10439.718649169648</v>
      </c>
      <c r="H20" s="1134">
        <f>hr!F51</f>
        <v>1537.0906475048237</v>
      </c>
      <c r="I20" s="1134">
        <f>hr!G51</f>
        <v>6203.617434449834</v>
      </c>
      <c r="J20" s="1134">
        <f>hr!H51-J21</f>
        <v>2699.0105672149907</v>
      </c>
      <c r="K20" s="1231" t="s">
        <v>303</v>
      </c>
      <c r="L20" s="1232"/>
      <c r="M20" s="245">
        <f>$K$21</f>
        <v>8549.4417673672724</v>
      </c>
      <c r="N20" s="245"/>
      <c r="O20" s="245"/>
      <c r="P20" s="1110" t="s">
        <v>37</v>
      </c>
      <c r="Q20" s="245"/>
      <c r="S20" s="228"/>
    </row>
    <row r="21" spans="1:19" ht="18" customHeight="1" x14ac:dyDescent="0.2">
      <c r="A21" s="226"/>
      <c r="B21" s="242"/>
      <c r="C21" s="245"/>
      <c r="D21" s="245"/>
      <c r="E21" s="467" t="s">
        <v>362</v>
      </c>
      <c r="F21" s="245"/>
      <c r="G21" s="245">
        <f>$H$21</f>
        <v>10439.718649169648</v>
      </c>
      <c r="H21" s="1225">
        <f>SUM(H20:J20)+J21</f>
        <v>10439.718649169648</v>
      </c>
      <c r="I21" s="1225"/>
      <c r="J21" s="1133">
        <f>(hr!H26*hr!B48+hr!H27*hr!B49+hr!H28*hr!B50)</f>
        <v>0</v>
      </c>
      <c r="K21" s="1223">
        <f>E15+K10+O17+J21</f>
        <v>8549.4417673672724</v>
      </c>
      <c r="L21" s="1224"/>
      <c r="M21" s="245">
        <f>$K$21</f>
        <v>8549.4417673672724</v>
      </c>
      <c r="N21" s="245"/>
      <c r="O21" s="20" t="s">
        <v>38</v>
      </c>
      <c r="P21" s="1138">
        <f>(K9+H21)/J15</f>
        <v>0.36203903132683835</v>
      </c>
      <c r="Q21" s="245"/>
      <c r="S21" s="228"/>
    </row>
    <row r="22" spans="1:19" ht="18" customHeight="1" x14ac:dyDescent="0.2">
      <c r="A22" s="226"/>
      <c r="B22" s="242"/>
      <c r="C22" s="245"/>
      <c r="D22" s="245"/>
      <c r="E22" s="245"/>
      <c r="F22" s="245"/>
      <c r="G22" s="245">
        <f>$H$21</f>
        <v>10439.718649169648</v>
      </c>
      <c r="H22" s="1220">
        <f>H21+K21</f>
        <v>18989.160416536921</v>
      </c>
      <c r="I22" s="1220"/>
      <c r="J22" s="1220"/>
      <c r="K22" s="1220"/>
      <c r="L22" s="1220"/>
      <c r="M22" s="245">
        <f>$K$21</f>
        <v>8549.4417673672724</v>
      </c>
      <c r="N22" s="245"/>
      <c r="O22" s="20" t="s">
        <v>39</v>
      </c>
      <c r="P22" s="1138">
        <f>(D13+P16)/J15</f>
        <v>0.63796096867316177</v>
      </c>
      <c r="Q22" s="245"/>
      <c r="S22" s="228"/>
    </row>
    <row r="23" spans="1:19" x14ac:dyDescent="0.2">
      <c r="A23" s="226"/>
      <c r="J23" s="26" t="str">
        <f>EX!B47</f>
        <v>Queen Street</v>
      </c>
      <c r="S23" s="228"/>
    </row>
    <row r="24" spans="1:19" x14ac:dyDescent="0.2">
      <c r="A24" s="226"/>
      <c r="S24" s="228"/>
    </row>
    <row r="25" spans="1:19" x14ac:dyDescent="0.2">
      <c r="A25" s="226"/>
      <c r="S25" s="228"/>
    </row>
    <row r="26" spans="1:19" x14ac:dyDescent="0.2">
      <c r="A26" s="226"/>
      <c r="S26" s="228"/>
    </row>
    <row r="27" spans="1:19" x14ac:dyDescent="0.2">
      <c r="A27" s="226"/>
      <c r="S27" s="228"/>
    </row>
    <row r="28" spans="1:19" x14ac:dyDescent="0.2">
      <c r="A28" s="226"/>
      <c r="S28" s="228"/>
    </row>
    <row r="29" spans="1:19" x14ac:dyDescent="0.2">
      <c r="A29" s="226"/>
      <c r="S29" s="228"/>
    </row>
    <row r="30" spans="1:19" x14ac:dyDescent="0.2">
      <c r="A30" s="226"/>
      <c r="S30" s="228"/>
    </row>
    <row r="31" spans="1:19" x14ac:dyDescent="0.2">
      <c r="A31" s="226"/>
      <c r="S31" s="228"/>
    </row>
    <row r="32" spans="1:19" x14ac:dyDescent="0.2">
      <c r="A32" s="226"/>
      <c r="S32" s="228"/>
    </row>
    <row r="33" spans="1:19" x14ac:dyDescent="0.2">
      <c r="A33" s="226"/>
      <c r="S33" s="228"/>
    </row>
    <row r="34" spans="1:19" x14ac:dyDescent="0.2">
      <c r="A34" s="226"/>
      <c r="S34" s="228"/>
    </row>
    <row r="35" spans="1:19" x14ac:dyDescent="0.2">
      <c r="A35" s="226"/>
      <c r="S35" s="228"/>
    </row>
    <row r="36" spans="1:19" x14ac:dyDescent="0.2">
      <c r="A36" s="226"/>
      <c r="S36" s="228"/>
    </row>
    <row r="37" spans="1:19" x14ac:dyDescent="0.2">
      <c r="A37" s="226"/>
      <c r="S37" s="228"/>
    </row>
    <row r="38" spans="1:19" x14ac:dyDescent="0.2">
      <c r="A38" s="226"/>
      <c r="S38" s="228"/>
    </row>
    <row r="39" spans="1:19" x14ac:dyDescent="0.2">
      <c r="A39" s="226"/>
      <c r="S39" s="228"/>
    </row>
    <row r="40" spans="1:19" x14ac:dyDescent="0.2">
      <c r="A40" s="226"/>
      <c r="S40" s="228"/>
    </row>
    <row r="41" spans="1:19" x14ac:dyDescent="0.2">
      <c r="A41" s="226"/>
      <c r="S41" s="228"/>
    </row>
    <row r="42" spans="1:19" x14ac:dyDescent="0.2">
      <c r="A42" s="226"/>
      <c r="S42" s="228"/>
    </row>
    <row r="43" spans="1:19" x14ac:dyDescent="0.2">
      <c r="A43" s="226"/>
      <c r="S43" s="228"/>
    </row>
    <row r="44" spans="1:19" x14ac:dyDescent="0.2">
      <c r="A44" s="226"/>
      <c r="S44" s="228"/>
    </row>
    <row r="45" spans="1:19" x14ac:dyDescent="0.2">
      <c r="A45" s="226"/>
      <c r="S45" s="228"/>
    </row>
    <row r="46" spans="1:19" x14ac:dyDescent="0.2">
      <c r="A46" s="226"/>
      <c r="S46" s="228"/>
    </row>
    <row r="47" spans="1:19" x14ac:dyDescent="0.2">
      <c r="A47" s="226"/>
      <c r="S47" s="228"/>
    </row>
    <row r="48" spans="1:19" x14ac:dyDescent="0.2">
      <c r="A48" s="226"/>
      <c r="S48" s="228"/>
    </row>
    <row r="49" spans="1:19" x14ac:dyDescent="0.2">
      <c r="A49" s="226"/>
      <c r="S49" s="228"/>
    </row>
    <row r="50" spans="1:19" x14ac:dyDescent="0.2">
      <c r="A50" s="226"/>
      <c r="S50" s="228"/>
    </row>
    <row r="51" spans="1:19" x14ac:dyDescent="0.2">
      <c r="A51" s="226"/>
      <c r="S51" s="228"/>
    </row>
    <row r="52" spans="1:19" x14ac:dyDescent="0.2">
      <c r="A52" s="226"/>
      <c r="S52" s="228"/>
    </row>
    <row r="53" spans="1:19" x14ac:dyDescent="0.2">
      <c r="A53" s="226"/>
      <c r="S53" s="228"/>
    </row>
    <row r="54" spans="1:19" x14ac:dyDescent="0.2">
      <c r="A54" s="226"/>
      <c r="S54" s="228"/>
    </row>
    <row r="55" spans="1:19" x14ac:dyDescent="0.2">
      <c r="A55" s="226"/>
      <c r="S55" s="228"/>
    </row>
    <row r="56" spans="1:19" x14ac:dyDescent="0.2">
      <c r="A56" s="226"/>
      <c r="S56" s="228"/>
    </row>
    <row r="57" spans="1:19" x14ac:dyDescent="0.2">
      <c r="A57" s="226"/>
      <c r="S57" s="228"/>
    </row>
    <row r="58" spans="1:19" x14ac:dyDescent="0.2">
      <c r="A58" s="226"/>
      <c r="S58" s="228"/>
    </row>
    <row r="59" spans="1:19" x14ac:dyDescent="0.2">
      <c r="A59" s="226"/>
      <c r="S59" s="228"/>
    </row>
    <row r="60" spans="1:19" x14ac:dyDescent="0.2">
      <c r="A60" s="226"/>
      <c r="S60" s="228"/>
    </row>
    <row r="61" spans="1:19" x14ac:dyDescent="0.2">
      <c r="A61" s="226"/>
      <c r="S61" s="228"/>
    </row>
    <row r="62" spans="1:19" ht="13.5" thickBot="1" x14ac:dyDescent="0.25">
      <c r="A62" s="238"/>
      <c r="B62" s="234"/>
      <c r="C62" s="23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5"/>
    </row>
    <row r="63" spans="1:19" ht="13.5" thickTop="1" x14ac:dyDescent="0.2"/>
  </sheetData>
  <mergeCells count="23">
    <mergeCell ref="K9:L9"/>
    <mergeCell ref="P16:P17"/>
    <mergeCell ref="H21:I21"/>
    <mergeCell ref="B6:C6"/>
    <mergeCell ref="Q2:R2"/>
    <mergeCell ref="J15:K15"/>
    <mergeCell ref="Q3:R3"/>
    <mergeCell ref="Q4:R4"/>
    <mergeCell ref="Q13:Q17"/>
    <mergeCell ref="H8:L8"/>
    <mergeCell ref="H9:I9"/>
    <mergeCell ref="H10:I10"/>
    <mergeCell ref="O13:O14"/>
    <mergeCell ref="H22:L22"/>
    <mergeCell ref="B13:B17"/>
    <mergeCell ref="R13:R17"/>
    <mergeCell ref="K21:L21"/>
    <mergeCell ref="P13:P14"/>
    <mergeCell ref="D16:D17"/>
    <mergeCell ref="C13:C17"/>
    <mergeCell ref="E16:E17"/>
    <mergeCell ref="D13:D14"/>
    <mergeCell ref="K20:L20"/>
  </mergeCells>
  <conditionalFormatting sqref="C12:F12">
    <cfRule type="cellIs" dxfId="143" priority="9" operator="greaterThan">
      <formula>0</formula>
    </cfRule>
  </conditionalFormatting>
  <conditionalFormatting sqref="C18:F18">
    <cfRule type="cellIs" dxfId="142" priority="10" operator="greaterThan">
      <formula>0</formula>
    </cfRule>
  </conditionalFormatting>
  <conditionalFormatting sqref="G8:G11">
    <cfRule type="cellIs" dxfId="141" priority="8" operator="greaterThan">
      <formula>0</formula>
    </cfRule>
  </conditionalFormatting>
  <conditionalFormatting sqref="G13:G17">
    <cfRule type="cellIs" dxfId="140" priority="1" operator="equal">
      <formula>0</formula>
    </cfRule>
  </conditionalFormatting>
  <conditionalFormatting sqref="G19:G22">
    <cfRule type="cellIs" dxfId="139" priority="12" operator="greaterThan">
      <formula>0</formula>
    </cfRule>
  </conditionalFormatting>
  <conditionalFormatting sqref="H12:L12">
    <cfRule type="cellIs" dxfId="138" priority="4" operator="equal">
      <formula>0</formula>
    </cfRule>
  </conditionalFormatting>
  <conditionalFormatting sqref="H18:L18">
    <cfRule type="cellIs" dxfId="137" priority="2" operator="equal">
      <formula>0</formula>
    </cfRule>
  </conditionalFormatting>
  <conditionalFormatting sqref="M8:M11">
    <cfRule type="cellIs" dxfId="136" priority="7" operator="greaterThan">
      <formula>0</formula>
    </cfRule>
  </conditionalFormatting>
  <conditionalFormatting sqref="M13:M17">
    <cfRule type="cellIs" dxfId="135" priority="3" operator="equal">
      <formula>0</formula>
    </cfRule>
  </conditionalFormatting>
  <conditionalFormatting sqref="M19:M22">
    <cfRule type="cellIs" dxfId="134" priority="11" operator="greaterThan">
      <formula>0</formula>
    </cfRule>
  </conditionalFormatting>
  <conditionalFormatting sqref="N12:Q12">
    <cfRule type="cellIs" dxfId="133" priority="6" operator="greaterThan">
      <formula>0</formula>
    </cfRule>
  </conditionalFormatting>
  <conditionalFormatting sqref="N18:Q18">
    <cfRule type="cellIs" dxfId="132" priority="5" operator="greaterThan">
      <formula>0</formula>
    </cfRule>
  </conditionalFormatting>
  <printOptions horizontalCentered="1" verticalCentered="1"/>
  <pageMargins left="0.70866141732283472" right="0.51181102362204722" top="0.55118110236220474" bottom="0.55118110236220474" header="0.31496062992125984" footer="0.23622047244094491"/>
  <pageSetup paperSize="9" scale="90" orientation="portrait" r:id="rId1"/>
  <headerFooter>
    <oddFooter>&amp;L&amp;8copyright:
Dr John Sampson&amp;C&amp;9&amp;F
&amp;A&amp;R&amp;9print:
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S62"/>
  <sheetViews>
    <sheetView showGridLines="0" showZeros="0" zoomScale="110" zoomScaleNormal="110" workbookViewId="0">
      <selection activeCell="H8" sqref="H8:L8"/>
    </sheetView>
  </sheetViews>
  <sheetFormatPr defaultColWidth="9.140625" defaultRowHeight="12.75" x14ac:dyDescent="0.2"/>
  <cols>
    <col min="1" max="1" width="2.42578125" style="1" customWidth="1"/>
    <col min="2" max="5" width="6.7109375" style="1" customWidth="1"/>
    <col min="6" max="6" width="2.85546875" style="1" customWidth="1"/>
    <col min="7" max="7" width="0.5703125" style="1" customWidth="1"/>
    <col min="8" max="12" width="6.7109375" style="1" customWidth="1"/>
    <col min="13" max="13" width="0.5703125" style="1" customWidth="1"/>
    <col min="14" max="14" width="2.85546875" style="1" customWidth="1"/>
    <col min="15" max="18" width="6.7109375" style="1" customWidth="1"/>
    <col min="19" max="19" width="2.42578125" style="1" customWidth="1"/>
    <col min="20" max="16384" width="9.140625" style="1"/>
  </cols>
  <sheetData>
    <row r="1" spans="1:19" ht="19.5" thickTop="1" x14ac:dyDescent="0.3">
      <c r="A1" s="223"/>
      <c r="B1" s="224"/>
      <c r="C1" s="224"/>
      <c r="D1" s="224"/>
      <c r="E1" s="224"/>
      <c r="F1" s="224"/>
      <c r="G1" s="224"/>
      <c r="H1" s="224"/>
      <c r="I1" s="433" t="str">
        <f>CVR!E7</f>
        <v>Queen Street</v>
      </c>
      <c r="J1" s="283" t="s">
        <v>298</v>
      </c>
      <c r="K1" s="434" t="str">
        <f>CVR!E9</f>
        <v>Albertina Sisulu Road</v>
      </c>
      <c r="L1" s="224"/>
      <c r="M1" s="224"/>
      <c r="N1" s="224"/>
      <c r="O1" s="224"/>
      <c r="P1" s="224"/>
      <c r="Q1" s="224"/>
      <c r="R1" s="288"/>
      <c r="S1" s="225"/>
    </row>
    <row r="2" spans="1:19" ht="15" customHeight="1" x14ac:dyDescent="0.2">
      <c r="A2" s="226"/>
      <c r="C2" s="27"/>
      <c r="D2" s="27"/>
      <c r="E2" s="10"/>
      <c r="J2" s="249" t="str">
        <f>CVR!E11</f>
        <v>example</v>
      </c>
      <c r="P2" s="16" t="s">
        <v>35</v>
      </c>
      <c r="Q2" s="1235">
        <f>hr!A7</f>
        <v>45292</v>
      </c>
      <c r="R2" s="1235"/>
      <c r="S2" s="228"/>
    </row>
    <row r="3" spans="1:19" ht="15" customHeight="1" x14ac:dyDescent="0.2">
      <c r="A3" s="226"/>
      <c r="B3" s="10"/>
      <c r="C3" s="27"/>
      <c r="D3" s="27"/>
      <c r="E3" s="10"/>
      <c r="F3" s="10"/>
      <c r="P3" s="16" t="s">
        <v>36</v>
      </c>
      <c r="Q3" s="1237" t="str">
        <f>qtr!F5</f>
        <v>weekday</v>
      </c>
      <c r="R3" s="1237"/>
      <c r="S3" s="228"/>
    </row>
    <row r="4" spans="1:19" ht="15.75" x14ac:dyDescent="0.2">
      <c r="A4" s="232"/>
      <c r="B4" s="764" t="str">
        <f>cap!$A$1</f>
        <v>&amp;AutoJ 2408</v>
      </c>
      <c r="C4" s="8"/>
      <c r="D4" s="8"/>
      <c r="E4" s="8"/>
      <c r="F4" s="8"/>
      <c r="G4" s="8"/>
      <c r="H4" s="285"/>
      <c r="I4" s="286"/>
      <c r="J4" s="286" t="s">
        <v>320</v>
      </c>
      <c r="K4" s="290"/>
      <c r="L4" s="287"/>
      <c r="M4" s="8"/>
      <c r="N4" s="8"/>
      <c r="O4" s="8"/>
      <c r="P4" s="657" t="s">
        <v>495</v>
      </c>
      <c r="Q4" s="1238">
        <f>hr!A38</f>
        <v>46387.75</v>
      </c>
      <c r="R4" s="1238"/>
      <c r="S4" s="233"/>
    </row>
    <row r="5" spans="1:19" x14ac:dyDescent="0.2">
      <c r="A5" s="226"/>
      <c r="C5" s="17"/>
      <c r="S5" s="228"/>
    </row>
    <row r="6" spans="1:19" x14ac:dyDescent="0.2">
      <c r="A6" s="226"/>
      <c r="B6" s="765"/>
      <c r="C6" s="18"/>
      <c r="D6" s="19"/>
      <c r="E6" s="19"/>
      <c r="F6" s="19"/>
      <c r="G6" s="19"/>
      <c r="H6" s="19"/>
      <c r="I6" s="19"/>
      <c r="J6" s="26" t="str">
        <f>EX!B6</f>
        <v>Queen Street</v>
      </c>
      <c r="K6" s="19"/>
      <c r="L6" s="19"/>
      <c r="M6" s="19"/>
      <c r="N6" s="19"/>
      <c r="O6" s="19"/>
      <c r="P6" s="19"/>
      <c r="Q6" s="19"/>
      <c r="S6" s="228"/>
    </row>
    <row r="7" spans="1:19" ht="18" customHeight="1" x14ac:dyDescent="0.25">
      <c r="A7" s="226"/>
      <c r="B7" s="1244" t="str">
        <f>hr!$A$9</f>
        <v>AM</v>
      </c>
      <c r="C7" s="1245"/>
      <c r="D7" s="1111" t="s">
        <v>43</v>
      </c>
      <c r="E7" s="1108"/>
      <c r="F7" s="1108"/>
      <c r="G7" s="1108">
        <f>$H$8</f>
        <v>1261.4473294507382</v>
      </c>
      <c r="H7" s="1239">
        <f>H8+K8</f>
        <v>1896.5525091621794</v>
      </c>
      <c r="I7" s="1239"/>
      <c r="J7" s="1239"/>
      <c r="K7" s="1239"/>
      <c r="L7" s="1239"/>
      <c r="M7" s="1108">
        <f>$K$8</f>
        <v>635.10517971144111</v>
      </c>
      <c r="N7" s="1108"/>
      <c r="O7" s="1108"/>
      <c r="P7" s="1108"/>
      <c r="Q7" s="1108"/>
      <c r="S7" s="228"/>
    </row>
    <row r="8" spans="1:19" ht="18" customHeight="1" x14ac:dyDescent="0.2">
      <c r="A8" s="226"/>
      <c r="B8" s="804">
        <f>hr!B9</f>
        <v>0.30208333333333348</v>
      </c>
      <c r="C8" s="1122">
        <f>B8+1/24</f>
        <v>0.34375000000000017</v>
      </c>
      <c r="D8" s="1108"/>
      <c r="E8" s="1108"/>
      <c r="F8" s="1108"/>
      <c r="G8" s="1108">
        <f>$H$8</f>
        <v>1261.4473294507382</v>
      </c>
      <c r="H8" s="1225">
        <f>E12+I19+O14+J8</f>
        <v>1261.4473294507382</v>
      </c>
      <c r="I8" s="1225"/>
      <c r="J8" s="1133">
        <f>hr!E26</f>
        <v>0</v>
      </c>
      <c r="K8" s="1223">
        <f>SUM(J9:L9)+J8</f>
        <v>635.10517971144111</v>
      </c>
      <c r="L8" s="1224"/>
      <c r="M8" s="1108">
        <f>$K$8</f>
        <v>635.10517971144111</v>
      </c>
      <c r="N8" s="1112" t="s">
        <v>268</v>
      </c>
      <c r="O8" s="1108"/>
      <c r="P8" s="1108"/>
      <c r="Q8" s="1108"/>
      <c r="S8" s="228"/>
    </row>
    <row r="9" spans="1:19" ht="18" customHeight="1" x14ac:dyDescent="0.2">
      <c r="A9" s="226"/>
      <c r="B9" s="1113" t="s">
        <v>285</v>
      </c>
      <c r="C9" s="1117">
        <f>qtr!O4</f>
        <v>0.96106557377049184</v>
      </c>
      <c r="D9" s="1108"/>
      <c r="E9" s="1108"/>
      <c r="F9" s="1108"/>
      <c r="G9" s="1108">
        <f>$H$8</f>
        <v>1261.4473294507382</v>
      </c>
      <c r="H9" s="1240" t="s">
        <v>305</v>
      </c>
      <c r="I9" s="1241"/>
      <c r="J9" s="1131">
        <f>hr!E40-J8</f>
        <v>63.078884082802546</v>
      </c>
      <c r="K9" s="1131">
        <f>hr!D40</f>
        <v>478.35630410404838</v>
      </c>
      <c r="L9" s="1131">
        <f>hr!C40</f>
        <v>93.669991524590159</v>
      </c>
      <c r="M9" s="1108">
        <f>$K$8</f>
        <v>635.10517971144111</v>
      </c>
      <c r="N9" s="1251">
        <f>hr!C26+hr!D26*2</f>
        <v>10</v>
      </c>
      <c r="O9" s="1251"/>
      <c r="P9" s="1108"/>
      <c r="Q9" s="1108"/>
      <c r="S9" s="228"/>
    </row>
    <row r="10" spans="1:19" ht="12.75" customHeight="1" x14ac:dyDescent="0.2">
      <c r="A10" s="226"/>
      <c r="B10" s="242"/>
      <c r="C10" s="1108"/>
      <c r="D10" s="1113" t="s">
        <v>270</v>
      </c>
      <c r="E10" s="1108">
        <f>hr!I26+hr!J26*2</f>
        <v>10</v>
      </c>
      <c r="F10" s="1108"/>
      <c r="G10" s="1108">
        <f>$H$8</f>
        <v>1261.4473294507382</v>
      </c>
      <c r="H10" s="1108"/>
      <c r="I10" s="1114"/>
      <c r="J10" s="1120" t="s">
        <v>299</v>
      </c>
      <c r="K10" s="1120" t="s">
        <v>303</v>
      </c>
      <c r="L10" s="1120" t="s">
        <v>300</v>
      </c>
      <c r="M10" s="1108">
        <f>$K$8</f>
        <v>635.10517971144111</v>
      </c>
      <c r="N10" s="1108"/>
      <c r="O10" s="1108"/>
      <c r="P10" s="1108"/>
      <c r="Q10" s="1108"/>
      <c r="S10" s="228"/>
    </row>
    <row r="11" spans="1:19" ht="3" customHeight="1" x14ac:dyDescent="0.2">
      <c r="A11" s="226"/>
      <c r="B11" s="242"/>
      <c r="C11" s="1108">
        <f>$D$12</f>
        <v>1435.2842877023932</v>
      </c>
      <c r="D11" s="1108">
        <f>$D$12</f>
        <v>1435.2842877023932</v>
      </c>
      <c r="E11" s="1108">
        <f>$D$12</f>
        <v>1435.2842877023932</v>
      </c>
      <c r="F11" s="1108">
        <f>$D$12</f>
        <v>1435.2842877023932</v>
      </c>
      <c r="G11" s="1115"/>
      <c r="H11" s="1118">
        <f>$H$8</f>
        <v>1261.4473294507382</v>
      </c>
      <c r="I11" s="1118">
        <f>$H$8</f>
        <v>1261.4473294507382</v>
      </c>
      <c r="J11" s="1118">
        <f>$K$8</f>
        <v>635.10517971144111</v>
      </c>
      <c r="K11" s="1118">
        <f>$K$8</f>
        <v>635.10517971144111</v>
      </c>
      <c r="L11" s="1118">
        <f>$K$8</f>
        <v>635.10517971144111</v>
      </c>
      <c r="M11" s="1115"/>
      <c r="N11" s="1108">
        <f>$P$12</f>
        <v>1546.2598080514972</v>
      </c>
      <c r="O11" s="1108">
        <f>$P$12</f>
        <v>1546.2598080514972</v>
      </c>
      <c r="P11" s="1108">
        <f>$P$12</f>
        <v>1546.2598080514972</v>
      </c>
      <c r="Q11" s="1108">
        <f>$P$12</f>
        <v>1546.2598080514972</v>
      </c>
      <c r="S11" s="228"/>
    </row>
    <row r="12" spans="1:19" ht="18" customHeight="1" x14ac:dyDescent="0.2">
      <c r="A12" s="226"/>
      <c r="B12" s="1221" t="str">
        <f>EX!A7</f>
        <v>Albertina Sisulu Road</v>
      </c>
      <c r="C12" s="1239">
        <f>D12+D15</f>
        <v>3284.4105252929876</v>
      </c>
      <c r="D12" s="1226">
        <f>SUM(E12:E14)+D14</f>
        <v>1435.2842877023932</v>
      </c>
      <c r="E12" s="1132">
        <f>hr!I40</f>
        <v>186.22474084403669</v>
      </c>
      <c r="F12" s="1120" t="s">
        <v>301</v>
      </c>
      <c r="G12" s="1118">
        <f>$D$12</f>
        <v>1435.2842877023932</v>
      </c>
      <c r="H12" s="1108"/>
      <c r="I12" s="242"/>
      <c r="J12" s="242"/>
      <c r="K12" s="1108"/>
      <c r="L12" s="1108"/>
      <c r="M12" s="1118">
        <f>$P$12</f>
        <v>1546.2598080514972</v>
      </c>
      <c r="N12" s="1108"/>
      <c r="O12" s="1242" t="s">
        <v>304</v>
      </c>
      <c r="P12" s="1225">
        <f>L9+E13+J19+P14</f>
        <v>1546.2598080514972</v>
      </c>
      <c r="Q12" s="1239">
        <f>P12+P15</f>
        <v>3646.2974992471577</v>
      </c>
      <c r="R12" s="1222" t="str">
        <f>EX!O7</f>
        <v>Albertina Sisulu Road</v>
      </c>
      <c r="S12" s="228"/>
    </row>
    <row r="13" spans="1:19" ht="18" customHeight="1" x14ac:dyDescent="0.2">
      <c r="A13" s="226"/>
      <c r="B13" s="1221"/>
      <c r="C13" s="1239"/>
      <c r="D13" s="1227"/>
      <c r="E13" s="1132">
        <f>hr!J40</f>
        <v>1190.7128178658193</v>
      </c>
      <c r="F13" s="1120" t="s">
        <v>304</v>
      </c>
      <c r="G13" s="1118">
        <f>$D$12</f>
        <v>1435.2842877023932</v>
      </c>
      <c r="H13" s="1108"/>
      <c r="I13" s="1113" t="s">
        <v>41</v>
      </c>
      <c r="J13" s="1108">
        <f>K8+P15+H20+D12</f>
        <v>5250.9167171005265</v>
      </c>
      <c r="K13" s="1108"/>
      <c r="L13" s="1108"/>
      <c r="M13" s="1118">
        <f>$P$12</f>
        <v>1546.2598080514972</v>
      </c>
      <c r="N13" s="1108"/>
      <c r="O13" s="1243"/>
      <c r="P13" s="1225"/>
      <c r="Q13" s="1239"/>
      <c r="R13" s="1222"/>
      <c r="S13" s="228"/>
    </row>
    <row r="14" spans="1:19" ht="18" customHeight="1" x14ac:dyDescent="0.2">
      <c r="A14" s="226"/>
      <c r="B14" s="1221"/>
      <c r="C14" s="1239"/>
      <c r="D14" s="1130">
        <f>hr!K26</f>
        <v>0</v>
      </c>
      <c r="E14" s="1132">
        <f>hr!K40-D14</f>
        <v>58.346728992537308</v>
      </c>
      <c r="F14" s="1120" t="s">
        <v>300</v>
      </c>
      <c r="G14" s="1118">
        <f>$D$12</f>
        <v>1435.2842877023932</v>
      </c>
      <c r="H14" s="1108"/>
      <c r="I14" s="404"/>
      <c r="J14" s="1119">
        <f>hr!O40</f>
        <v>9.6628032515969603E-2</v>
      </c>
      <c r="K14" s="1112" t="s">
        <v>42</v>
      </c>
      <c r="L14" s="1108"/>
      <c r="M14" s="1118">
        <f>$P$15</f>
        <v>2100.0376911956605</v>
      </c>
      <c r="N14" s="1121" t="s">
        <v>302</v>
      </c>
      <c r="O14" s="1131">
        <f>hr!N40-P14</f>
        <v>304.63054920779223</v>
      </c>
      <c r="P14" s="1124">
        <f>hr!N26</f>
        <v>2</v>
      </c>
      <c r="Q14" s="1239"/>
      <c r="R14" s="1222" t="str">
        <f>EX!O7</f>
        <v>Albertina Sisulu Road</v>
      </c>
      <c r="S14" s="228"/>
    </row>
    <row r="15" spans="1:19" ht="18" customHeight="1" x14ac:dyDescent="0.2">
      <c r="A15" s="226"/>
      <c r="B15" s="1221"/>
      <c r="C15" s="1239"/>
      <c r="D15" s="1225">
        <f>H19+O15+J9+D14</f>
        <v>1849.1262375905942</v>
      </c>
      <c r="E15" s="1229" t="s">
        <v>306</v>
      </c>
      <c r="F15" s="1108"/>
      <c r="G15" s="1118">
        <f>$D$15</f>
        <v>1849.1262375905942</v>
      </c>
      <c r="H15" s="1108"/>
      <c r="I15" s="1113" t="s">
        <v>342</v>
      </c>
      <c r="J15" s="1136">
        <f>IF(SUM(hr!C16:N16)=0,"",AVERAGE(hr!C16:N16))</f>
        <v>1.9593863373305462E-2</v>
      </c>
      <c r="K15" s="1112"/>
      <c r="L15" s="1108"/>
      <c r="M15" s="1118">
        <f>$P$15</f>
        <v>2100.0376911956605</v>
      </c>
      <c r="N15" s="1121" t="s">
        <v>306</v>
      </c>
      <c r="O15" s="1131">
        <f>hr!M40</f>
        <v>1736.0268330767572</v>
      </c>
      <c r="P15" s="1226">
        <f>SUM(O14:O16)+P14</f>
        <v>2100.0376911956605</v>
      </c>
      <c r="Q15" s="1239"/>
      <c r="R15" s="1222"/>
      <c r="S15" s="228"/>
    </row>
    <row r="16" spans="1:19" ht="18" customHeight="1" x14ac:dyDescent="0.2">
      <c r="A16" s="226"/>
      <c r="B16" s="1221"/>
      <c r="C16" s="1239"/>
      <c r="D16" s="1225"/>
      <c r="E16" s="1230"/>
      <c r="F16" s="1108"/>
      <c r="G16" s="1118">
        <f>$D$15</f>
        <v>1849.1262375905942</v>
      </c>
      <c r="H16" s="1108"/>
      <c r="I16" s="242"/>
      <c r="J16" s="242"/>
      <c r="K16" s="242"/>
      <c r="L16" s="1108"/>
      <c r="M16" s="1118">
        <f>$P$15</f>
        <v>2100.0376911956605</v>
      </c>
      <c r="N16" s="1121" t="s">
        <v>299</v>
      </c>
      <c r="O16" s="1131">
        <f>hr!L40</f>
        <v>57.380308911111115</v>
      </c>
      <c r="P16" s="1227"/>
      <c r="Q16" s="1239"/>
      <c r="R16" s="1222"/>
      <c r="S16" s="228"/>
    </row>
    <row r="17" spans="1:19" ht="3" customHeight="1" x14ac:dyDescent="0.2">
      <c r="A17" s="226"/>
      <c r="B17" s="242"/>
      <c r="C17" s="1108">
        <f>$D$15</f>
        <v>1849.1262375905942</v>
      </c>
      <c r="D17" s="1108">
        <f>$D$15</f>
        <v>1849.1262375905942</v>
      </c>
      <c r="E17" s="1108">
        <f>$D$15</f>
        <v>1849.1262375905942</v>
      </c>
      <c r="F17" s="1108">
        <f>$D$15</f>
        <v>1849.1262375905942</v>
      </c>
      <c r="G17" s="1115"/>
      <c r="H17" s="1118">
        <f>$H$20</f>
        <v>1080.4895584910316</v>
      </c>
      <c r="I17" s="1118">
        <f>$H$20</f>
        <v>1080.4895584910316</v>
      </c>
      <c r="J17" s="1118">
        <f>$H$20</f>
        <v>1080.4895584910316</v>
      </c>
      <c r="K17" s="1118">
        <f>$K$20</f>
        <v>594.08334200769684</v>
      </c>
      <c r="L17" s="1118">
        <f>$K$20</f>
        <v>594.08334200769684</v>
      </c>
      <c r="M17" s="1115"/>
      <c r="N17" s="1108">
        <f>$P$15</f>
        <v>2100.0376911956605</v>
      </c>
      <c r="O17" s="1108">
        <f>$P$15</f>
        <v>2100.0376911956605</v>
      </c>
      <c r="P17" s="1108">
        <f>$P$15</f>
        <v>2100.0376911956605</v>
      </c>
      <c r="Q17" s="1108">
        <f>$P$15</f>
        <v>2100.0376911956605</v>
      </c>
      <c r="S17" s="228"/>
    </row>
    <row r="18" spans="1:19" ht="12.75" customHeight="1" x14ac:dyDescent="0.2">
      <c r="A18" s="226"/>
      <c r="B18" s="242"/>
      <c r="C18" s="1108"/>
      <c r="D18" s="1108"/>
      <c r="E18" s="1108"/>
      <c r="F18" s="1108"/>
      <c r="G18" s="1108">
        <f>$H$20</f>
        <v>1080.4895584910316</v>
      </c>
      <c r="H18" s="1120" t="s">
        <v>302</v>
      </c>
      <c r="I18" s="1120" t="s">
        <v>305</v>
      </c>
      <c r="J18" s="1120" t="s">
        <v>301</v>
      </c>
      <c r="K18" s="1108"/>
      <c r="L18" s="1108"/>
      <c r="M18" s="1108">
        <f>$K$20</f>
        <v>594.08334200769684</v>
      </c>
      <c r="N18" s="1108"/>
      <c r="O18" s="1108">
        <f>hr!L26+hr!M26*2</f>
        <v>10</v>
      </c>
      <c r="P18" s="1112" t="s">
        <v>271</v>
      </c>
      <c r="Q18" s="1108"/>
      <c r="S18" s="228"/>
    </row>
    <row r="19" spans="1:19" ht="18" customHeight="1" x14ac:dyDescent="0.2">
      <c r="A19" s="226"/>
      <c r="B19" s="242"/>
      <c r="C19" s="1108"/>
      <c r="D19" s="1108"/>
      <c r="E19" s="1250">
        <f>hr!F26+hr!G26*2</f>
        <v>10</v>
      </c>
      <c r="F19" s="1250"/>
      <c r="G19" s="1108">
        <f>$H$20</f>
        <v>1080.4895584910316</v>
      </c>
      <c r="H19" s="1131">
        <f>hr!F40</f>
        <v>50.020520431034477</v>
      </c>
      <c r="I19" s="1131">
        <f>hr!G40</f>
        <v>770.59203939890926</v>
      </c>
      <c r="J19" s="1131">
        <f>hr!H40-J20</f>
        <v>259.87699866108784</v>
      </c>
      <c r="K19" s="1231" t="s">
        <v>303</v>
      </c>
      <c r="L19" s="1232"/>
      <c r="M19" s="1108">
        <f>$K$20</f>
        <v>594.08334200769684</v>
      </c>
      <c r="N19" s="1108"/>
      <c r="O19" s="1108"/>
      <c r="P19" s="1116" t="s">
        <v>37</v>
      </c>
      <c r="Q19" s="1108"/>
      <c r="S19" s="228"/>
    </row>
    <row r="20" spans="1:19" ht="18" customHeight="1" x14ac:dyDescent="0.2">
      <c r="A20" s="226"/>
      <c r="B20" s="242"/>
      <c r="C20" s="1108"/>
      <c r="D20" s="1108"/>
      <c r="E20" s="1108"/>
      <c r="F20" s="1113" t="s">
        <v>269</v>
      </c>
      <c r="G20" s="1108">
        <f>$H$20</f>
        <v>1080.4895584910316</v>
      </c>
      <c r="H20" s="1223">
        <f>SUM(H19:J19)+J20</f>
        <v>1080.4895584910316</v>
      </c>
      <c r="I20" s="1224"/>
      <c r="J20" s="1123">
        <f>hr!H26</f>
        <v>0</v>
      </c>
      <c r="K20" s="1225">
        <f>E14+K9+O16+J20</f>
        <v>594.08334200769684</v>
      </c>
      <c r="L20" s="1225"/>
      <c r="M20" s="1108">
        <f>$K$20</f>
        <v>594.08334200769684</v>
      </c>
      <c r="N20" s="1108"/>
      <c r="O20" s="1113" t="s">
        <v>38</v>
      </c>
      <c r="P20" s="1137">
        <f>(K8+H20)/J13</f>
        <v>0.32672290013957739</v>
      </c>
      <c r="Q20" s="1108"/>
      <c r="S20" s="228"/>
    </row>
    <row r="21" spans="1:19" ht="18" customHeight="1" x14ac:dyDescent="0.2">
      <c r="A21" s="226"/>
      <c r="B21" s="242"/>
      <c r="C21" s="1108"/>
      <c r="D21" s="1108"/>
      <c r="E21" s="1108"/>
      <c r="F21" s="1108"/>
      <c r="G21" s="1108">
        <f>$H$20</f>
        <v>1080.4895584910316</v>
      </c>
      <c r="H21" s="1239">
        <f>H20+K20</f>
        <v>1674.5729004987284</v>
      </c>
      <c r="I21" s="1239"/>
      <c r="J21" s="1239"/>
      <c r="K21" s="1239"/>
      <c r="L21" s="1239"/>
      <c r="M21" s="1108">
        <f>$K$20</f>
        <v>594.08334200769684</v>
      </c>
      <c r="N21" s="1108"/>
      <c r="O21" s="1113" t="s">
        <v>39</v>
      </c>
      <c r="P21" s="1137">
        <f>(D12+P15)/J13</f>
        <v>0.67327709986042261</v>
      </c>
      <c r="Q21" s="1108"/>
      <c r="S21" s="228"/>
    </row>
    <row r="22" spans="1:19" x14ac:dyDescent="0.2">
      <c r="A22" s="226"/>
      <c r="B22" s="242"/>
      <c r="C22" s="242"/>
      <c r="D22" s="242"/>
      <c r="E22" s="242"/>
      <c r="F22" s="242"/>
      <c r="G22" s="242"/>
      <c r="H22" s="242"/>
      <c r="I22" s="242"/>
      <c r="J22" s="26" t="str">
        <f>EX!B47</f>
        <v>Queen Street</v>
      </c>
      <c r="K22" s="242"/>
      <c r="L22" s="242"/>
      <c r="M22" s="242"/>
      <c r="N22" s="242"/>
      <c r="O22" s="242"/>
      <c r="P22" s="242"/>
      <c r="Q22" s="242"/>
      <c r="S22" s="228"/>
    </row>
    <row r="23" spans="1:19" x14ac:dyDescent="0.2">
      <c r="A23" s="226"/>
      <c r="B23" s="242"/>
      <c r="C23" s="242"/>
      <c r="D23" s="242"/>
      <c r="E23" s="242"/>
      <c r="F23" s="242"/>
      <c r="G23" s="242"/>
      <c r="H23" s="242"/>
      <c r="I23" s="242"/>
      <c r="J23" s="26"/>
      <c r="K23" s="242"/>
      <c r="L23" s="242"/>
      <c r="M23" s="242"/>
      <c r="N23" s="242"/>
      <c r="O23" s="242"/>
      <c r="P23" s="242"/>
      <c r="Q23" s="242"/>
      <c r="S23" s="228"/>
    </row>
    <row r="24" spans="1:19" x14ac:dyDescent="0.2">
      <c r="A24" s="226"/>
      <c r="B24" s="242"/>
      <c r="C24" s="18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S24" s="228"/>
    </row>
    <row r="25" spans="1:19" x14ac:dyDescent="0.2">
      <c r="A25" s="226"/>
      <c r="B25" s="765"/>
      <c r="C25" s="18"/>
      <c r="D25" s="245"/>
      <c r="E25" s="245"/>
      <c r="F25" s="245"/>
      <c r="G25" s="245"/>
      <c r="H25" s="245"/>
      <c r="I25" s="245"/>
      <c r="J25" s="26" t="str">
        <f>J6</f>
        <v>Queen Street</v>
      </c>
      <c r="K25" s="245"/>
      <c r="L25" s="245"/>
      <c r="M25" s="245"/>
      <c r="N25" s="245"/>
      <c r="O25" s="245"/>
      <c r="P25" s="245"/>
      <c r="Q25" s="245"/>
      <c r="S25" s="228"/>
    </row>
    <row r="26" spans="1:19" ht="18" customHeight="1" x14ac:dyDescent="0.25">
      <c r="A26" s="226"/>
      <c r="B26" s="1246" t="str">
        <f>hr!$A$10</f>
        <v>off</v>
      </c>
      <c r="C26" s="1247"/>
      <c r="D26" s="1111" t="s">
        <v>43</v>
      </c>
      <c r="E26" s="1108"/>
      <c r="F26" s="1108"/>
      <c r="G26" s="1108">
        <f>$H$27</f>
        <v>554.12494922203291</v>
      </c>
      <c r="H26" s="1239">
        <f>H27+K27</f>
        <v>1048.1097563920021</v>
      </c>
      <c r="I26" s="1239"/>
      <c r="J26" s="1239"/>
      <c r="K26" s="1239"/>
      <c r="L26" s="1239"/>
      <c r="M26" s="1108">
        <f>$K$27</f>
        <v>493.98480716996914</v>
      </c>
      <c r="N26" s="1108"/>
      <c r="O26" s="1108"/>
      <c r="P26" s="1108"/>
      <c r="Q26" s="1108"/>
      <c r="S26" s="228"/>
    </row>
    <row r="27" spans="1:19" ht="18" customHeight="1" x14ac:dyDescent="0.2">
      <c r="A27" s="226"/>
      <c r="B27" s="804" t="s">
        <v>513</v>
      </c>
      <c r="C27" s="1122"/>
      <c r="D27" s="1108"/>
      <c r="E27" s="1108"/>
      <c r="F27" s="1108"/>
      <c r="G27" s="1108">
        <f>$H$27</f>
        <v>554.12494922203291</v>
      </c>
      <c r="H27" s="1225">
        <f>E31+I38+O33+J27</f>
        <v>554.12494922203291</v>
      </c>
      <c r="I27" s="1225"/>
      <c r="J27" s="1133">
        <f>hr!E27</f>
        <v>0</v>
      </c>
      <c r="K27" s="1223">
        <f>SUM(J28:L28)+J27</f>
        <v>493.98480716996914</v>
      </c>
      <c r="L27" s="1224"/>
      <c r="M27" s="1108">
        <f>$K$27</f>
        <v>493.98480716996914</v>
      </c>
      <c r="N27" s="1112" t="s">
        <v>268</v>
      </c>
      <c r="O27" s="1108"/>
      <c r="P27" s="1108"/>
      <c r="Q27" s="1108"/>
      <c r="S27" s="228"/>
    </row>
    <row r="28" spans="1:19" ht="18" customHeight="1" x14ac:dyDescent="0.2">
      <c r="A28" s="226"/>
      <c r="B28" s="1113"/>
      <c r="C28" s="1117"/>
      <c r="D28" s="1108"/>
      <c r="E28" s="1108"/>
      <c r="F28" s="1108"/>
      <c r="G28" s="1108">
        <f>$H$27</f>
        <v>554.12494922203291</v>
      </c>
      <c r="H28" s="1240" t="s">
        <v>305</v>
      </c>
      <c r="I28" s="1241"/>
      <c r="J28" s="1131">
        <f>hr!E41-J27</f>
        <v>109.89711542857142</v>
      </c>
      <c r="K28" s="1131">
        <f>hr!D41</f>
        <v>305.77693812185669</v>
      </c>
      <c r="L28" s="1131">
        <f>hr!C41</f>
        <v>78.310753619541074</v>
      </c>
      <c r="M28" s="1108">
        <f>$K$27</f>
        <v>493.98480716996914</v>
      </c>
      <c r="N28" s="1251">
        <f>hr!C27+hr!D27*2</f>
        <v>10</v>
      </c>
      <c r="O28" s="1251"/>
      <c r="P28" s="1108"/>
      <c r="Q28" s="1108"/>
      <c r="S28" s="228"/>
    </row>
    <row r="29" spans="1:19" ht="12.75" customHeight="1" x14ac:dyDescent="0.2">
      <c r="A29" s="226"/>
      <c r="B29" s="242"/>
      <c r="C29" s="1108"/>
      <c r="D29" s="1113" t="s">
        <v>270</v>
      </c>
      <c r="E29" s="1108">
        <f>hr!I27+hr!J27*2</f>
        <v>10</v>
      </c>
      <c r="F29" s="1108"/>
      <c r="G29" s="1108">
        <f>$H$27</f>
        <v>554.12494922203291</v>
      </c>
      <c r="H29" s="1108"/>
      <c r="I29" s="1114"/>
      <c r="J29" s="1120" t="s">
        <v>299</v>
      </c>
      <c r="K29" s="1120" t="s">
        <v>303</v>
      </c>
      <c r="L29" s="1120" t="s">
        <v>300</v>
      </c>
      <c r="M29" s="1108">
        <f>$K$27</f>
        <v>493.98480716996914</v>
      </c>
      <c r="N29" s="1108"/>
      <c r="O29" s="1108"/>
      <c r="P29" s="1108"/>
      <c r="Q29" s="1108"/>
      <c r="S29" s="228"/>
    </row>
    <row r="30" spans="1:19" ht="3" customHeight="1" x14ac:dyDescent="0.2">
      <c r="A30" s="226"/>
      <c r="B30" s="242"/>
      <c r="C30" s="1108">
        <f>$D$31</f>
        <v>713.51819650457639</v>
      </c>
      <c r="D30" s="1108">
        <f>$D$31</f>
        <v>713.51819650457639</v>
      </c>
      <c r="E30" s="1108">
        <f>$D$31</f>
        <v>713.51819650457639</v>
      </c>
      <c r="F30" s="1108">
        <f>$D$31</f>
        <v>713.51819650457639</v>
      </c>
      <c r="G30" s="1115"/>
      <c r="H30" s="1118">
        <f>$H$27</f>
        <v>554.12494922203291</v>
      </c>
      <c r="I30" s="1118">
        <f>$H$27</f>
        <v>554.12494922203291</v>
      </c>
      <c r="J30" s="1118">
        <f>$K$27</f>
        <v>493.98480716996914</v>
      </c>
      <c r="K30" s="1118">
        <f>$K$27</f>
        <v>493.98480716996914</v>
      </c>
      <c r="L30" s="1118">
        <f>$K$27</f>
        <v>493.98480716996914</v>
      </c>
      <c r="M30" s="1115"/>
      <c r="N30" s="1108">
        <f>$P$31</f>
        <v>747.33580175325289</v>
      </c>
      <c r="O30" s="1108">
        <f>$P$31</f>
        <v>747.33580175325289</v>
      </c>
      <c r="P30" s="1108">
        <f>$P$31</f>
        <v>747.33580175325289</v>
      </c>
      <c r="Q30" s="1108">
        <f>$P$31</f>
        <v>747.33580175325289</v>
      </c>
      <c r="S30" s="228"/>
    </row>
    <row r="31" spans="1:19" ht="18" customHeight="1" x14ac:dyDescent="0.2">
      <c r="A31" s="226"/>
      <c r="B31" s="1221" t="str">
        <f>B12</f>
        <v>Albertina Sisulu Road</v>
      </c>
      <c r="C31" s="1239">
        <f>D31+D34</f>
        <v>1509.7330671328473</v>
      </c>
      <c r="D31" s="1226">
        <f>SUM(E31:E33)+D33</f>
        <v>713.51819650457639</v>
      </c>
      <c r="E31" s="1132">
        <f>hr!I41</f>
        <v>83.786944123076921</v>
      </c>
      <c r="F31" s="1120" t="s">
        <v>301</v>
      </c>
      <c r="G31" s="1118">
        <f>$D$31</f>
        <v>713.51819650457639</v>
      </c>
      <c r="H31" s="1108"/>
      <c r="I31" s="242"/>
      <c r="J31" s="242"/>
      <c r="K31" s="1108"/>
      <c r="L31" s="1108"/>
      <c r="M31" s="1118">
        <f>$P$31</f>
        <v>747.33580175325289</v>
      </c>
      <c r="N31" s="1108"/>
      <c r="O31" s="1242" t="s">
        <v>304</v>
      </c>
      <c r="P31" s="1225">
        <f>L28+E32+J38+P33</f>
        <v>747.33580175325289</v>
      </c>
      <c r="Q31" s="1239">
        <f>P31+P34</f>
        <v>1556.4112758486885</v>
      </c>
      <c r="R31" s="1222" t="str">
        <f>R12</f>
        <v>Albertina Sisulu Road</v>
      </c>
      <c r="S31" s="228"/>
    </row>
    <row r="32" spans="1:19" ht="18" customHeight="1" x14ac:dyDescent="0.2">
      <c r="A32" s="226"/>
      <c r="B32" s="1221"/>
      <c r="C32" s="1239"/>
      <c r="D32" s="1227"/>
      <c r="E32" s="1132">
        <f>hr!J41</f>
        <v>570.72399438149944</v>
      </c>
      <c r="F32" s="1120" t="s">
        <v>304</v>
      </c>
      <c r="G32" s="1118">
        <f>$D$31</f>
        <v>713.51819650457639</v>
      </c>
      <c r="H32" s="1108"/>
      <c r="I32" s="1113" t="s">
        <v>41</v>
      </c>
      <c r="J32" s="1108">
        <f>K27+P34+H39+D31</f>
        <v>2528.9193381229288</v>
      </c>
      <c r="K32" s="1108"/>
      <c r="L32" s="1108"/>
      <c r="M32" s="1118">
        <f>$P$31</f>
        <v>747.33580175325289</v>
      </c>
      <c r="N32" s="1108"/>
      <c r="O32" s="1243"/>
      <c r="P32" s="1225"/>
      <c r="Q32" s="1239"/>
      <c r="R32" s="1222"/>
      <c r="S32" s="228"/>
    </row>
    <row r="33" spans="1:19" ht="18" customHeight="1" x14ac:dyDescent="0.2">
      <c r="A33" s="226"/>
      <c r="B33" s="1221"/>
      <c r="C33" s="1239"/>
      <c r="D33" s="1130">
        <f>hr!K27</f>
        <v>0</v>
      </c>
      <c r="E33" s="1132">
        <f>hr!K41-D33</f>
        <v>59.007258</v>
      </c>
      <c r="F33" s="1120" t="s">
        <v>300</v>
      </c>
      <c r="G33" s="1118">
        <f>$D$31</f>
        <v>713.51819650457639</v>
      </c>
      <c r="H33" s="1108"/>
      <c r="I33" s="404"/>
      <c r="J33" s="1119">
        <f>hr!O41</f>
        <v>4.6537493013094462E-2</v>
      </c>
      <c r="K33" s="1112" t="s">
        <v>42</v>
      </c>
      <c r="L33" s="1108"/>
      <c r="M33" s="1118">
        <f>$P$34</f>
        <v>809.07547409543577</v>
      </c>
      <c r="N33" s="1121" t="s">
        <v>302</v>
      </c>
      <c r="O33" s="1131">
        <f>hr!N41-P33</f>
        <v>107.61826459890109</v>
      </c>
      <c r="P33" s="1124">
        <f>hr!N27</f>
        <v>1</v>
      </c>
      <c r="Q33" s="1239"/>
      <c r="R33" s="1222">
        <f>EX!H19</f>
        <v>0</v>
      </c>
      <c r="S33" s="228"/>
    </row>
    <row r="34" spans="1:19" ht="18" customHeight="1" x14ac:dyDescent="0.2">
      <c r="A34" s="226"/>
      <c r="B34" s="1221"/>
      <c r="C34" s="1239"/>
      <c r="D34" s="1225">
        <f>H38+O34+J28+D33</f>
        <v>796.21487062827089</v>
      </c>
      <c r="E34" s="1229" t="s">
        <v>306</v>
      </c>
      <c r="F34" s="1108"/>
      <c r="G34" s="1118">
        <f>$D$34</f>
        <v>796.21487062827089</v>
      </c>
      <c r="H34" s="1108"/>
      <c r="I34" s="1113" t="s">
        <v>342</v>
      </c>
      <c r="J34" s="1136">
        <f>IF(SUM(hr!C17:N17)=0,"",AVERAGE(hr!C17:N17))</f>
        <v>2.2242012920819881E-2</v>
      </c>
      <c r="K34" s="1112"/>
      <c r="L34" s="1108"/>
      <c r="M34" s="1118">
        <f>$P$34</f>
        <v>809.07547409543577</v>
      </c>
      <c r="N34" s="1121" t="s">
        <v>306</v>
      </c>
      <c r="O34" s="1131">
        <f>hr!M41</f>
        <v>633.99768909901923</v>
      </c>
      <c r="P34" s="1226">
        <f>SUM(O33:O35)+P33</f>
        <v>809.07547409543577</v>
      </c>
      <c r="Q34" s="1239"/>
      <c r="R34" s="1222"/>
      <c r="S34" s="228"/>
    </row>
    <row r="35" spans="1:19" ht="18" customHeight="1" x14ac:dyDescent="0.2">
      <c r="A35" s="226"/>
      <c r="B35" s="1221"/>
      <c r="C35" s="1239"/>
      <c r="D35" s="1225"/>
      <c r="E35" s="1230"/>
      <c r="F35" s="1108"/>
      <c r="G35" s="1118">
        <f>$D$34</f>
        <v>796.21487062827089</v>
      </c>
      <c r="H35" s="1108"/>
      <c r="I35" s="242"/>
      <c r="J35" s="242"/>
      <c r="K35" s="242"/>
      <c r="L35" s="1108"/>
      <c r="M35" s="1118">
        <f>$P$34</f>
        <v>809.07547409543577</v>
      </c>
      <c r="N35" s="1121" t="s">
        <v>299</v>
      </c>
      <c r="O35" s="1131">
        <f>hr!L41</f>
        <v>66.459520397515519</v>
      </c>
      <c r="P35" s="1227"/>
      <c r="Q35" s="1239"/>
      <c r="R35" s="1222"/>
      <c r="S35" s="228"/>
    </row>
    <row r="36" spans="1:19" ht="3" customHeight="1" x14ac:dyDescent="0.2">
      <c r="A36" s="226"/>
      <c r="B36" s="242"/>
      <c r="C36" s="1108">
        <f>$D$34</f>
        <v>796.21487062827089</v>
      </c>
      <c r="D36" s="1108">
        <f>$D$34</f>
        <v>796.21487062827089</v>
      </c>
      <c r="E36" s="1108">
        <f>$D$34</f>
        <v>796.21487062827089</v>
      </c>
      <c r="F36" s="1108">
        <f>$D$34</f>
        <v>796.21487062827089</v>
      </c>
      <c r="G36" s="1115"/>
      <c r="H36" s="1118">
        <f>$H$39</f>
        <v>512.34086035294752</v>
      </c>
      <c r="I36" s="1118">
        <f>$H$39</f>
        <v>512.34086035294752</v>
      </c>
      <c r="J36" s="1118">
        <f>$H$39</f>
        <v>512.34086035294752</v>
      </c>
      <c r="K36" s="1118">
        <f>$K$39</f>
        <v>431.24371651937219</v>
      </c>
      <c r="L36" s="1118">
        <f>$K$39</f>
        <v>431.24371651937219</v>
      </c>
      <c r="M36" s="1115"/>
      <c r="N36" s="1108">
        <f>$P$34</f>
        <v>809.07547409543577</v>
      </c>
      <c r="O36" s="1108">
        <f>$P$34</f>
        <v>809.07547409543577</v>
      </c>
      <c r="P36" s="1108">
        <f>$P$34</f>
        <v>809.07547409543577</v>
      </c>
      <c r="Q36" s="1108">
        <f>$P$34</f>
        <v>809.07547409543577</v>
      </c>
      <c r="S36" s="228"/>
    </row>
    <row r="37" spans="1:19" ht="12.75" customHeight="1" x14ac:dyDescent="0.2">
      <c r="A37" s="226"/>
      <c r="B37" s="242"/>
      <c r="C37" s="1108"/>
      <c r="D37" s="1108"/>
      <c r="E37" s="1108"/>
      <c r="F37" s="1108"/>
      <c r="G37" s="1108">
        <f>$H$39</f>
        <v>512.34086035294752</v>
      </c>
      <c r="H37" s="1120" t="s">
        <v>302</v>
      </c>
      <c r="I37" s="1120" t="s">
        <v>305</v>
      </c>
      <c r="J37" s="1120" t="s">
        <v>301</v>
      </c>
      <c r="K37" s="1108"/>
      <c r="L37" s="1108"/>
      <c r="M37" s="1108">
        <f>$K$39</f>
        <v>431.24371651937219</v>
      </c>
      <c r="N37" s="1108"/>
      <c r="O37" s="1108">
        <f>hr!L27+hr!M27*2</f>
        <v>10</v>
      </c>
      <c r="P37" s="1112" t="s">
        <v>271</v>
      </c>
      <c r="Q37" s="1108"/>
      <c r="S37" s="228"/>
    </row>
    <row r="38" spans="1:19" ht="18" customHeight="1" x14ac:dyDescent="0.2">
      <c r="A38" s="226"/>
      <c r="B38" s="242"/>
      <c r="C38" s="1108"/>
      <c r="D38" s="1108"/>
      <c r="E38" s="1250">
        <f>hr!F27+hr!G27*2</f>
        <v>10</v>
      </c>
      <c r="F38" s="1250"/>
      <c r="G38" s="1108">
        <f>$H$39</f>
        <v>512.34086035294752</v>
      </c>
      <c r="H38" s="1131">
        <f>hr!F41</f>
        <v>52.320066100680272</v>
      </c>
      <c r="I38" s="1131">
        <f>hr!G41</f>
        <v>362.71974050005485</v>
      </c>
      <c r="J38" s="1131">
        <f>hr!H41-J39</f>
        <v>97.301053752212397</v>
      </c>
      <c r="K38" s="1231" t="s">
        <v>303</v>
      </c>
      <c r="L38" s="1232"/>
      <c r="M38" s="1108">
        <f>$K$39</f>
        <v>431.24371651937219</v>
      </c>
      <c r="N38" s="1108"/>
      <c r="O38" s="1108"/>
      <c r="P38" s="1116" t="s">
        <v>37</v>
      </c>
      <c r="Q38" s="1108"/>
      <c r="S38" s="228"/>
    </row>
    <row r="39" spans="1:19" ht="18" customHeight="1" x14ac:dyDescent="0.2">
      <c r="A39" s="226"/>
      <c r="B39" s="242"/>
      <c r="C39" s="1108"/>
      <c r="D39" s="1108"/>
      <c r="E39" s="1108"/>
      <c r="F39" s="1113" t="s">
        <v>269</v>
      </c>
      <c r="G39" s="1108">
        <f>$H$39</f>
        <v>512.34086035294752</v>
      </c>
      <c r="H39" s="1223">
        <f>SUM(H38:J38)+J39</f>
        <v>512.34086035294752</v>
      </c>
      <c r="I39" s="1224"/>
      <c r="J39" s="1123">
        <f>hr!H27</f>
        <v>0</v>
      </c>
      <c r="K39" s="1225">
        <f>E33+K28+O35+J39</f>
        <v>431.24371651937219</v>
      </c>
      <c r="L39" s="1225"/>
      <c r="M39" s="1108">
        <f>$K$39</f>
        <v>431.24371651937219</v>
      </c>
      <c r="N39" s="1108"/>
      <c r="O39" s="1113" t="s">
        <v>38</v>
      </c>
      <c r="P39" s="1137">
        <f>(K27+H39)/J32</f>
        <v>0.39792715107705029</v>
      </c>
      <c r="Q39" s="1108"/>
      <c r="S39" s="228"/>
    </row>
    <row r="40" spans="1:19" ht="18" customHeight="1" x14ac:dyDescent="0.2">
      <c r="A40" s="226"/>
      <c r="B40" s="242"/>
      <c r="C40" s="1108"/>
      <c r="D40" s="1108"/>
      <c r="E40" s="1108"/>
      <c r="F40" s="1108"/>
      <c r="G40" s="1108">
        <f>$H$39</f>
        <v>512.34086035294752</v>
      </c>
      <c r="H40" s="1239">
        <f>H39+K39</f>
        <v>943.58457687231976</v>
      </c>
      <c r="I40" s="1239"/>
      <c r="J40" s="1239"/>
      <c r="K40" s="1239"/>
      <c r="L40" s="1239"/>
      <c r="M40" s="1108">
        <f>$K$39</f>
        <v>431.24371651937219</v>
      </c>
      <c r="N40" s="1108"/>
      <c r="O40" s="1113" t="s">
        <v>39</v>
      </c>
      <c r="P40" s="1137">
        <f>(D31+P34)/J32</f>
        <v>0.60207284892294965</v>
      </c>
      <c r="Q40" s="1108"/>
      <c r="S40" s="228"/>
    </row>
    <row r="41" spans="1:19" x14ac:dyDescent="0.2">
      <c r="A41" s="226"/>
      <c r="B41" s="242"/>
      <c r="C41" s="242"/>
      <c r="D41" s="242"/>
      <c r="E41" s="242"/>
      <c r="F41" s="242"/>
      <c r="G41" s="242"/>
      <c r="H41" s="242"/>
      <c r="I41" s="242"/>
      <c r="J41" s="26" t="str">
        <f>J22</f>
        <v>Queen Street</v>
      </c>
      <c r="K41" s="242"/>
      <c r="L41" s="242"/>
      <c r="M41" s="242"/>
      <c r="N41" s="242"/>
      <c r="O41" s="242"/>
      <c r="P41" s="242"/>
      <c r="Q41" s="242"/>
      <c r="S41" s="228"/>
    </row>
    <row r="42" spans="1:19" x14ac:dyDescent="0.2">
      <c r="A42" s="226"/>
      <c r="B42" s="242"/>
      <c r="C42" s="242"/>
      <c r="D42" s="242"/>
      <c r="E42" s="242"/>
      <c r="F42" s="242"/>
      <c r="G42" s="242"/>
      <c r="H42" s="242"/>
      <c r="I42" s="242"/>
      <c r="J42" s="26"/>
      <c r="K42" s="242"/>
      <c r="L42" s="242"/>
      <c r="M42" s="242"/>
      <c r="N42" s="242"/>
      <c r="O42" s="242"/>
      <c r="P42" s="242"/>
      <c r="Q42" s="242"/>
      <c r="S42" s="228"/>
    </row>
    <row r="43" spans="1:19" x14ac:dyDescent="0.2">
      <c r="A43" s="226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S43" s="228"/>
    </row>
    <row r="44" spans="1:19" x14ac:dyDescent="0.2">
      <c r="A44" s="226"/>
      <c r="B44" s="765"/>
      <c r="C44" s="18"/>
      <c r="D44" s="245"/>
      <c r="E44" s="245"/>
      <c r="F44" s="245"/>
      <c r="G44" s="245"/>
      <c r="H44" s="245"/>
      <c r="I44" s="245"/>
      <c r="J44" s="26" t="str">
        <f>J25</f>
        <v>Queen Street</v>
      </c>
      <c r="K44" s="245"/>
      <c r="L44" s="245"/>
      <c r="M44" s="245"/>
      <c r="N44" s="245"/>
      <c r="O44" s="245"/>
      <c r="P44" s="245"/>
      <c r="Q44" s="245"/>
      <c r="S44" s="228"/>
    </row>
    <row r="45" spans="1:19" ht="18" customHeight="1" x14ac:dyDescent="0.25">
      <c r="A45" s="226"/>
      <c r="B45" s="1248" t="str">
        <f>hr!$A$11</f>
        <v>PM</v>
      </c>
      <c r="C45" s="1249"/>
      <c r="D45" s="1111" t="s">
        <v>43</v>
      </c>
      <c r="E45" s="1108"/>
      <c r="F45" s="1108"/>
      <c r="G45" s="1108">
        <f>$H$46</f>
        <v>805.57760891274347</v>
      </c>
      <c r="H45" s="1239">
        <f>H46+K46</f>
        <v>1873.3132150912477</v>
      </c>
      <c r="I45" s="1239"/>
      <c r="J45" s="1239"/>
      <c r="K45" s="1239"/>
      <c r="L45" s="1239"/>
      <c r="M45" s="1108">
        <f>$K$46</f>
        <v>1067.7356061785042</v>
      </c>
      <c r="N45" s="1108"/>
      <c r="O45" s="1108"/>
      <c r="P45" s="1108"/>
      <c r="Q45" s="1108"/>
      <c r="S45" s="228"/>
    </row>
    <row r="46" spans="1:19" ht="18" customHeight="1" x14ac:dyDescent="0.2">
      <c r="A46" s="226"/>
      <c r="B46" s="804">
        <f>hr!B11</f>
        <v>0.6979166666666663</v>
      </c>
      <c r="C46" s="1122">
        <f>B46+1/24</f>
        <v>0.73958333333333293</v>
      </c>
      <c r="D46" s="1108"/>
      <c r="E46" s="1108"/>
      <c r="F46" s="1108"/>
      <c r="G46" s="1108">
        <f>$H$46</f>
        <v>805.57760891274347</v>
      </c>
      <c r="H46" s="1225">
        <f>E50+I57+O52+J46</f>
        <v>805.57760891274347</v>
      </c>
      <c r="I46" s="1225"/>
      <c r="J46" s="1133">
        <f>hr!E28</f>
        <v>0</v>
      </c>
      <c r="K46" s="1223">
        <f>SUM(J47:L47)+J46</f>
        <v>1067.7356061785042</v>
      </c>
      <c r="L46" s="1224"/>
      <c r="M46" s="1108">
        <f>$K$46</f>
        <v>1067.7356061785042</v>
      </c>
      <c r="N46" s="1112" t="s">
        <v>268</v>
      </c>
      <c r="O46" s="1108"/>
      <c r="P46" s="1108"/>
      <c r="Q46" s="1108"/>
      <c r="S46" s="228"/>
    </row>
    <row r="47" spans="1:19" ht="18" customHeight="1" x14ac:dyDescent="0.2">
      <c r="A47" s="226"/>
      <c r="B47" s="1113" t="s">
        <v>285</v>
      </c>
      <c r="C47" s="1117">
        <f>qtr!P4</f>
        <v>0.98297342192691028</v>
      </c>
      <c r="D47" s="1108"/>
      <c r="E47" s="1108"/>
      <c r="F47" s="1108"/>
      <c r="G47" s="1108">
        <f>$H$46</f>
        <v>805.57760891274347</v>
      </c>
      <c r="H47" s="1240" t="s">
        <v>305</v>
      </c>
      <c r="I47" s="1241"/>
      <c r="J47" s="1131">
        <f>hr!E42-J46</f>
        <v>64.470893000000004</v>
      </c>
      <c r="K47" s="1131">
        <f>hr!D42</f>
        <v>667.09810468953981</v>
      </c>
      <c r="L47" s="1131">
        <f>hr!C42</f>
        <v>336.16660848896436</v>
      </c>
      <c r="M47" s="1108">
        <f>$K$46</f>
        <v>1067.7356061785042</v>
      </c>
      <c r="N47" s="1251">
        <f>hr!C28+hr!D28*2</f>
        <v>10</v>
      </c>
      <c r="O47" s="1251"/>
      <c r="P47" s="1108"/>
      <c r="Q47" s="1108"/>
      <c r="S47" s="228"/>
    </row>
    <row r="48" spans="1:19" ht="12.75" customHeight="1" x14ac:dyDescent="0.2">
      <c r="A48" s="226"/>
      <c r="B48" s="242"/>
      <c r="C48" s="1108"/>
      <c r="D48" s="1113" t="s">
        <v>270</v>
      </c>
      <c r="E48" s="1108">
        <f>hr!I28+hr!J28*2</f>
        <v>10</v>
      </c>
      <c r="F48" s="1108"/>
      <c r="G48" s="1108">
        <f>$H$46</f>
        <v>805.57760891274347</v>
      </c>
      <c r="H48" s="1108"/>
      <c r="I48" s="1114"/>
      <c r="J48" s="1120" t="s">
        <v>299</v>
      </c>
      <c r="K48" s="1120" t="s">
        <v>303</v>
      </c>
      <c r="L48" s="1120" t="s">
        <v>300</v>
      </c>
      <c r="M48" s="1108">
        <f>$K$46</f>
        <v>1067.7356061785042</v>
      </c>
      <c r="N48" s="1108"/>
      <c r="O48" s="1108"/>
      <c r="P48" s="1108"/>
      <c r="Q48" s="1108"/>
      <c r="S48" s="228"/>
    </row>
    <row r="49" spans="1:19" ht="3" customHeight="1" x14ac:dyDescent="0.2">
      <c r="A49" s="226"/>
      <c r="B49" s="242"/>
      <c r="C49" s="1108">
        <f>$D$50</f>
        <v>2090.4585594749256</v>
      </c>
      <c r="D49" s="1108">
        <f>$D$50</f>
        <v>2090.4585594749256</v>
      </c>
      <c r="E49" s="1108">
        <f>$D$50</f>
        <v>2090.4585594749256</v>
      </c>
      <c r="F49" s="1108">
        <f>$D$50</f>
        <v>2090.4585594749256</v>
      </c>
      <c r="G49" s="1115"/>
      <c r="H49" s="1118">
        <f>$H$46</f>
        <v>805.57760891274347</v>
      </c>
      <c r="I49" s="1118">
        <f>$H$46</f>
        <v>805.57760891274347</v>
      </c>
      <c r="J49" s="1118">
        <f>$K$46</f>
        <v>1067.7356061785042</v>
      </c>
      <c r="K49" s="1118">
        <f>$K$46</f>
        <v>1067.7356061785042</v>
      </c>
      <c r="L49" s="1118">
        <f>$K$46</f>
        <v>1067.7356061785042</v>
      </c>
      <c r="M49" s="1115"/>
      <c r="N49" s="1108">
        <f>$P$50</f>
        <v>2156.5956107620277</v>
      </c>
      <c r="O49" s="1108">
        <f>$P$50</f>
        <v>2156.5956107620277</v>
      </c>
      <c r="P49" s="1108">
        <f>$P$50</f>
        <v>2156.5956107620277</v>
      </c>
      <c r="Q49" s="1108">
        <f>$P$50</f>
        <v>2156.5956107620277</v>
      </c>
      <c r="S49" s="228"/>
    </row>
    <row r="50" spans="1:19" ht="18" customHeight="1" x14ac:dyDescent="0.2">
      <c r="A50" s="226"/>
      <c r="B50" s="1221" t="str">
        <f>B31</f>
        <v>Albertina Sisulu Road</v>
      </c>
      <c r="C50" s="1239">
        <f>D50+D53</f>
        <v>3462.5398394547829</v>
      </c>
      <c r="D50" s="1226">
        <f>SUM(E50:E52)+D52</f>
        <v>2090.4585594749256</v>
      </c>
      <c r="E50" s="1132">
        <f>hr!I42</f>
        <v>303.69580856903764</v>
      </c>
      <c r="F50" s="1120" t="s">
        <v>301</v>
      </c>
      <c r="G50" s="1118">
        <f>$D$50</f>
        <v>2090.4585594749256</v>
      </c>
      <c r="H50" s="1108"/>
      <c r="I50" s="242"/>
      <c r="J50" s="242"/>
      <c r="K50" s="1108"/>
      <c r="L50" s="1108"/>
      <c r="M50" s="1118">
        <f>$P$50</f>
        <v>2156.5956107620277</v>
      </c>
      <c r="N50" s="1108"/>
      <c r="O50" s="1242" t="s">
        <v>304</v>
      </c>
      <c r="P50" s="1225">
        <f>L47+E51+J57+P52</f>
        <v>2156.5956107620277</v>
      </c>
      <c r="Q50" s="1239">
        <f>P50+P53</f>
        <v>3432.3534975649077</v>
      </c>
      <c r="R50" s="1222" t="str">
        <f>R31</f>
        <v>Albertina Sisulu Road</v>
      </c>
      <c r="S50" s="228"/>
    </row>
    <row r="51" spans="1:19" ht="18" customHeight="1" x14ac:dyDescent="0.2">
      <c r="A51" s="226"/>
      <c r="B51" s="1221"/>
      <c r="C51" s="1239"/>
      <c r="D51" s="1227"/>
      <c r="E51" s="1132">
        <f>hr!J42</f>
        <v>1510.7793986597819</v>
      </c>
      <c r="F51" s="1120" t="s">
        <v>304</v>
      </c>
      <c r="G51" s="1118">
        <f>$D$50</f>
        <v>2090.4585594749256</v>
      </c>
      <c r="H51" s="1108"/>
      <c r="I51" s="1113" t="s">
        <v>41</v>
      </c>
      <c r="J51" s="1108">
        <f>K46+P53+H58+D50</f>
        <v>5354.57309917564</v>
      </c>
      <c r="K51" s="1108"/>
      <c r="L51" s="1108"/>
      <c r="M51" s="1118">
        <f>$P$50</f>
        <v>2156.5956107620277</v>
      </c>
      <c r="N51" s="1108"/>
      <c r="O51" s="1243"/>
      <c r="P51" s="1225"/>
      <c r="Q51" s="1239"/>
      <c r="R51" s="1222"/>
      <c r="S51" s="228"/>
    </row>
    <row r="52" spans="1:19" ht="18" customHeight="1" x14ac:dyDescent="0.2">
      <c r="A52" s="226"/>
      <c r="B52" s="1221"/>
      <c r="C52" s="1239"/>
      <c r="D52" s="1130">
        <f>hr!K28</f>
        <v>0</v>
      </c>
      <c r="E52" s="1132">
        <f>hr!K42-D52</f>
        <v>275.98335224610594</v>
      </c>
      <c r="F52" s="1120" t="s">
        <v>300</v>
      </c>
      <c r="G52" s="1118">
        <f>$D$50</f>
        <v>2090.4585594749256</v>
      </c>
      <c r="H52" s="1108"/>
      <c r="I52" s="404"/>
      <c r="J52" s="1119">
        <f>hr!O42</f>
        <v>9.8535530348685674E-2</v>
      </c>
      <c r="K52" s="1112" t="s">
        <v>42</v>
      </c>
      <c r="L52" s="1108"/>
      <c r="M52" s="1118">
        <f>$P$53</f>
        <v>1275.75788680288</v>
      </c>
      <c r="N52" s="1121" t="s">
        <v>302</v>
      </c>
      <c r="O52" s="1131">
        <f>hr!N42-P52</f>
        <v>164.01096218042815</v>
      </c>
      <c r="P52" s="1124">
        <f>hr!N28</f>
        <v>2</v>
      </c>
      <c r="Q52" s="1239"/>
      <c r="R52" s="1222">
        <f>EX!H39</f>
        <v>0</v>
      </c>
      <c r="S52" s="228"/>
    </row>
    <row r="53" spans="1:19" ht="18" customHeight="1" x14ac:dyDescent="0.2">
      <c r="A53" s="226"/>
      <c r="B53" s="1221"/>
      <c r="C53" s="1239"/>
      <c r="D53" s="1225">
        <f>H57+O53+J47+D52</f>
        <v>1372.0812799798571</v>
      </c>
      <c r="E53" s="1229" t="s">
        <v>306</v>
      </c>
      <c r="F53" s="1108"/>
      <c r="G53" s="1118">
        <f>$D$53</f>
        <v>1372.0812799798571</v>
      </c>
      <c r="H53" s="1108"/>
      <c r="I53" s="1113" t="s">
        <v>342</v>
      </c>
      <c r="J53" s="1136">
        <f>IF(SUM(hr!C18:N18)=0,"",AVERAGE(hr!C18:N18))</f>
        <v>1.8004618331293906E-2</v>
      </c>
      <c r="K53" s="1112"/>
      <c r="L53" s="1108"/>
      <c r="M53" s="1118">
        <f>$P$53</f>
        <v>1275.75788680288</v>
      </c>
      <c r="N53" s="1121" t="s">
        <v>306</v>
      </c>
      <c r="O53" s="1131">
        <f>hr!M42</f>
        <v>1032.5097820370861</v>
      </c>
      <c r="P53" s="1226">
        <f>SUM(O52:O54)+P52</f>
        <v>1275.75788680288</v>
      </c>
      <c r="Q53" s="1239"/>
      <c r="R53" s="1222"/>
      <c r="S53" s="228"/>
    </row>
    <row r="54" spans="1:19" ht="18" customHeight="1" x14ac:dyDescent="0.2">
      <c r="A54" s="226"/>
      <c r="B54" s="1221"/>
      <c r="C54" s="1239"/>
      <c r="D54" s="1225"/>
      <c r="E54" s="1230"/>
      <c r="F54" s="1108"/>
      <c r="G54" s="1118">
        <f>$D$53</f>
        <v>1372.0812799798571</v>
      </c>
      <c r="H54" s="1108"/>
      <c r="I54" s="242"/>
      <c r="J54" s="242"/>
      <c r="K54" s="242"/>
      <c r="L54" s="1108"/>
      <c r="M54" s="1118">
        <f>$P$53</f>
        <v>1275.75788680288</v>
      </c>
      <c r="N54" s="1121" t="s">
        <v>299</v>
      </c>
      <c r="O54" s="1131">
        <f>hr!L42</f>
        <v>77.237142585365845</v>
      </c>
      <c r="P54" s="1227"/>
      <c r="Q54" s="1239"/>
      <c r="R54" s="1222"/>
      <c r="S54" s="228"/>
    </row>
    <row r="55" spans="1:19" ht="3" customHeight="1" x14ac:dyDescent="0.2">
      <c r="A55" s="226"/>
      <c r="B55" s="242"/>
      <c r="C55" s="1108">
        <f>$D$53</f>
        <v>1372.0812799798571</v>
      </c>
      <c r="D55" s="1108">
        <f>$D$53</f>
        <v>1372.0812799798571</v>
      </c>
      <c r="E55" s="1108">
        <f>$D$53</f>
        <v>1372.0812799798571</v>
      </c>
      <c r="F55" s="1108">
        <f>$D$53</f>
        <v>1372.0812799798571</v>
      </c>
      <c r="G55" s="1115"/>
      <c r="H55" s="1118">
        <f>$H$58</f>
        <v>920.62104671933002</v>
      </c>
      <c r="I55" s="1118">
        <f>$H$58</f>
        <v>920.62104671933002</v>
      </c>
      <c r="J55" s="1118">
        <f>$H$58</f>
        <v>920.62104671933002</v>
      </c>
      <c r="K55" s="1118">
        <f>$K$58</f>
        <v>1020.3185995210116</v>
      </c>
      <c r="L55" s="1118">
        <f>$K$58</f>
        <v>1020.3185995210116</v>
      </c>
      <c r="M55" s="1115"/>
      <c r="N55" s="1108">
        <f>$P$53</f>
        <v>1275.75788680288</v>
      </c>
      <c r="O55" s="1108">
        <f>$P$53</f>
        <v>1275.75788680288</v>
      </c>
      <c r="P55" s="1108">
        <f>$P$53</f>
        <v>1275.75788680288</v>
      </c>
      <c r="Q55" s="1108">
        <f>$P$53</f>
        <v>1275.75788680288</v>
      </c>
      <c r="S55" s="228"/>
    </row>
    <row r="56" spans="1:19" ht="12.75" customHeight="1" x14ac:dyDescent="0.2">
      <c r="A56" s="226"/>
      <c r="B56" s="242"/>
      <c r="C56" s="1108"/>
      <c r="D56" s="1108"/>
      <c r="E56" s="1108"/>
      <c r="F56" s="1108"/>
      <c r="G56" s="1108">
        <f>$H$58</f>
        <v>920.62104671933002</v>
      </c>
      <c r="H56" s="1120" t="s">
        <v>302</v>
      </c>
      <c r="I56" s="1120" t="s">
        <v>305</v>
      </c>
      <c r="J56" s="1120" t="s">
        <v>301</v>
      </c>
      <c r="K56" s="1108"/>
      <c r="L56" s="1108"/>
      <c r="M56" s="1108">
        <f>$K$58</f>
        <v>1020.3185995210116</v>
      </c>
      <c r="N56" s="1108"/>
      <c r="O56" s="1108">
        <f>hr!L28+hr!M28*2</f>
        <v>10</v>
      </c>
      <c r="P56" s="1112" t="s">
        <v>271</v>
      </c>
      <c r="Q56" s="1108"/>
      <c r="S56" s="228"/>
    </row>
    <row r="57" spans="1:19" ht="18" customHeight="1" x14ac:dyDescent="0.2">
      <c r="A57" s="226"/>
      <c r="B57" s="242"/>
      <c r="C57" s="1108"/>
      <c r="D57" s="1108"/>
      <c r="E57" s="1250">
        <f>hr!F28+hr!G28*2</f>
        <v>10</v>
      </c>
      <c r="F57" s="1250"/>
      <c r="G57" s="1108">
        <f>$H$58</f>
        <v>920.62104671933002</v>
      </c>
      <c r="H57" s="1131">
        <f>hr!F42</f>
        <v>275.1006049427711</v>
      </c>
      <c r="I57" s="1131">
        <f>hr!G42</f>
        <v>337.87083816327777</v>
      </c>
      <c r="J57" s="1131">
        <f>hr!H42-J58</f>
        <v>307.64960361328122</v>
      </c>
      <c r="K57" s="1231" t="s">
        <v>303</v>
      </c>
      <c r="L57" s="1232"/>
      <c r="M57" s="1108">
        <f>$K$58</f>
        <v>1020.3185995210116</v>
      </c>
      <c r="N57" s="1108"/>
      <c r="O57" s="1108"/>
      <c r="P57" s="1116" t="s">
        <v>37</v>
      </c>
      <c r="Q57" s="1108"/>
      <c r="S57" s="228"/>
    </row>
    <row r="58" spans="1:19" ht="18" customHeight="1" x14ac:dyDescent="0.2">
      <c r="A58" s="226"/>
      <c r="B58" s="242"/>
      <c r="C58" s="1108"/>
      <c r="D58" s="1108"/>
      <c r="E58" s="1108"/>
      <c r="F58" s="1113" t="s">
        <v>269</v>
      </c>
      <c r="G58" s="1108">
        <f>$H$58</f>
        <v>920.62104671933002</v>
      </c>
      <c r="H58" s="1223">
        <f>SUM(H57:J57)+J58</f>
        <v>920.62104671933002</v>
      </c>
      <c r="I58" s="1224"/>
      <c r="J58" s="1123">
        <f>hr!H28</f>
        <v>0</v>
      </c>
      <c r="K58" s="1225">
        <f>E52+K47+O54+J58</f>
        <v>1020.3185995210116</v>
      </c>
      <c r="L58" s="1225"/>
      <c r="M58" s="1108">
        <f>$K$58</f>
        <v>1020.3185995210116</v>
      </c>
      <c r="N58" s="1108"/>
      <c r="O58" s="1113" t="s">
        <v>38</v>
      </c>
      <c r="P58" s="1137">
        <f>(K46+H58)/J51</f>
        <v>0.37133803499740259</v>
      </c>
      <c r="Q58" s="1108"/>
      <c r="S58" s="228"/>
    </row>
    <row r="59" spans="1:19" ht="18" customHeight="1" x14ac:dyDescent="0.2">
      <c r="A59" s="226"/>
      <c r="B59" s="242"/>
      <c r="C59" s="1108"/>
      <c r="D59" s="1108"/>
      <c r="E59" s="1108"/>
      <c r="F59" s="1108"/>
      <c r="G59" s="1108">
        <f>$H$58</f>
        <v>920.62104671933002</v>
      </c>
      <c r="H59" s="1239">
        <f>H58+K58</f>
        <v>1940.9396462403415</v>
      </c>
      <c r="I59" s="1239"/>
      <c r="J59" s="1239"/>
      <c r="K59" s="1239"/>
      <c r="L59" s="1239"/>
      <c r="M59" s="1108">
        <f>$K$58</f>
        <v>1020.3185995210116</v>
      </c>
      <c r="N59" s="1108"/>
      <c r="O59" s="1113" t="s">
        <v>39</v>
      </c>
      <c r="P59" s="1137">
        <f>(D50+P53)/J51</f>
        <v>0.62866196500259741</v>
      </c>
      <c r="Q59" s="1108"/>
      <c r="S59" s="228"/>
    </row>
    <row r="60" spans="1:19" x14ac:dyDescent="0.2">
      <c r="A60" s="226"/>
      <c r="J60" s="26" t="str">
        <f>J41</f>
        <v>Queen Street</v>
      </c>
      <c r="S60" s="228"/>
    </row>
    <row r="61" spans="1:19" ht="13.5" thickBot="1" x14ac:dyDescent="0.25">
      <c r="A61" s="238"/>
      <c r="B61" s="234"/>
      <c r="C61" s="23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5"/>
    </row>
    <row r="62" spans="1:19" ht="13.5" thickTop="1" x14ac:dyDescent="0.2"/>
  </sheetData>
  <mergeCells count="66">
    <mergeCell ref="Q2:R2"/>
    <mergeCell ref="D12:D13"/>
    <mergeCell ref="D31:D32"/>
    <mergeCell ref="D15:D16"/>
    <mergeCell ref="P15:P16"/>
    <mergeCell ref="E15:E16"/>
    <mergeCell ref="K27:L27"/>
    <mergeCell ref="R31:R35"/>
    <mergeCell ref="Q3:R3"/>
    <mergeCell ref="K19:L19"/>
    <mergeCell ref="Q4:R4"/>
    <mergeCell ref="H7:L7"/>
    <mergeCell ref="H8:I8"/>
    <mergeCell ref="P12:P13"/>
    <mergeCell ref="Q12:Q16"/>
    <mergeCell ref="R12:R16"/>
    <mergeCell ref="E57:F57"/>
    <mergeCell ref="N9:O9"/>
    <mergeCell ref="N28:O28"/>
    <mergeCell ref="N47:O47"/>
    <mergeCell ref="E19:F19"/>
    <mergeCell ref="E38:F38"/>
    <mergeCell ref="H40:L40"/>
    <mergeCell ref="H45:L45"/>
    <mergeCell ref="H46:I46"/>
    <mergeCell ref="H21:L21"/>
    <mergeCell ref="H26:L26"/>
    <mergeCell ref="H27:I27"/>
    <mergeCell ref="H9:I9"/>
    <mergeCell ref="H28:I28"/>
    <mergeCell ref="K39:L39"/>
    <mergeCell ref="K20:L20"/>
    <mergeCell ref="H59:L59"/>
    <mergeCell ref="P50:P51"/>
    <mergeCell ref="Q50:Q54"/>
    <mergeCell ref="R50:R54"/>
    <mergeCell ref="K58:L58"/>
    <mergeCell ref="O50:O51"/>
    <mergeCell ref="K57:L57"/>
    <mergeCell ref="P53:P54"/>
    <mergeCell ref="H58:I58"/>
    <mergeCell ref="O12:O13"/>
    <mergeCell ref="Q31:Q35"/>
    <mergeCell ref="D53:D54"/>
    <mergeCell ref="B31:B35"/>
    <mergeCell ref="C31:C35"/>
    <mergeCell ref="H47:I47"/>
    <mergeCell ref="E34:E35"/>
    <mergeCell ref="E53:E54"/>
    <mergeCell ref="O31:O32"/>
    <mergeCell ref="K38:L38"/>
    <mergeCell ref="D50:D51"/>
    <mergeCell ref="K46:L46"/>
    <mergeCell ref="H39:I39"/>
    <mergeCell ref="D34:D35"/>
    <mergeCell ref="P34:P35"/>
    <mergeCell ref="P31:P32"/>
    <mergeCell ref="K8:L8"/>
    <mergeCell ref="H20:I20"/>
    <mergeCell ref="B7:C7"/>
    <mergeCell ref="B26:C26"/>
    <mergeCell ref="C50:C54"/>
    <mergeCell ref="B45:C45"/>
    <mergeCell ref="B12:B16"/>
    <mergeCell ref="C12:C16"/>
    <mergeCell ref="B50:B54"/>
  </mergeCells>
  <conditionalFormatting sqref="C11:F11">
    <cfRule type="cellIs" dxfId="131" priority="9" operator="greaterThan">
      <formula>0</formula>
    </cfRule>
  </conditionalFormatting>
  <conditionalFormatting sqref="C17:F17">
    <cfRule type="cellIs" dxfId="130" priority="10" operator="greaterThan">
      <formula>0</formula>
    </cfRule>
  </conditionalFormatting>
  <conditionalFormatting sqref="C30:F30">
    <cfRule type="cellIs" dxfId="129" priority="33" operator="greaterThan">
      <formula>0</formula>
    </cfRule>
  </conditionalFormatting>
  <conditionalFormatting sqref="C36:F36">
    <cfRule type="cellIs" dxfId="128" priority="34" operator="greaterThan">
      <formula>0</formula>
    </cfRule>
  </conditionalFormatting>
  <conditionalFormatting sqref="C49:F49">
    <cfRule type="cellIs" dxfId="127" priority="21" operator="greaterThan">
      <formula>0</formula>
    </cfRule>
  </conditionalFormatting>
  <conditionalFormatting sqref="C55:F55">
    <cfRule type="cellIs" dxfId="126" priority="22" operator="greaterThan">
      <formula>0</formula>
    </cfRule>
  </conditionalFormatting>
  <conditionalFormatting sqref="G7:G10">
    <cfRule type="cellIs" dxfId="125" priority="8" operator="greaterThan">
      <formula>0</formula>
    </cfRule>
  </conditionalFormatting>
  <conditionalFormatting sqref="G12:G16">
    <cfRule type="cellIs" dxfId="124" priority="1" operator="equal">
      <formula>0</formula>
    </cfRule>
  </conditionalFormatting>
  <conditionalFormatting sqref="G18:G21">
    <cfRule type="cellIs" dxfId="123" priority="12" operator="greaterThan">
      <formula>0</formula>
    </cfRule>
  </conditionalFormatting>
  <conditionalFormatting sqref="G26:G29">
    <cfRule type="cellIs" dxfId="122" priority="32" operator="greaterThan">
      <formula>0</formula>
    </cfRule>
  </conditionalFormatting>
  <conditionalFormatting sqref="G31:G35">
    <cfRule type="cellIs" dxfId="121" priority="25" operator="equal">
      <formula>0</formula>
    </cfRule>
  </conditionalFormatting>
  <conditionalFormatting sqref="G37:G40">
    <cfRule type="cellIs" dxfId="120" priority="36" operator="greaterThan">
      <formula>0</formula>
    </cfRule>
  </conditionalFormatting>
  <conditionalFormatting sqref="G45:G48">
    <cfRule type="cellIs" dxfId="119" priority="20" operator="greaterThan">
      <formula>0</formula>
    </cfRule>
  </conditionalFormatting>
  <conditionalFormatting sqref="G50:G54">
    <cfRule type="cellIs" dxfId="118" priority="13" operator="equal">
      <formula>0</formula>
    </cfRule>
  </conditionalFormatting>
  <conditionalFormatting sqref="G56:G59">
    <cfRule type="cellIs" dxfId="117" priority="24" operator="greaterThan">
      <formula>0</formula>
    </cfRule>
  </conditionalFormatting>
  <conditionalFormatting sqref="H11:L11">
    <cfRule type="cellIs" dxfId="116" priority="4" operator="equal">
      <formula>0</formula>
    </cfRule>
  </conditionalFormatting>
  <conditionalFormatting sqref="H17:L17">
    <cfRule type="cellIs" dxfId="115" priority="3" operator="equal">
      <formula>0</formula>
    </cfRule>
  </conditionalFormatting>
  <conditionalFormatting sqref="H30:L30">
    <cfRule type="cellIs" dxfId="114" priority="28" operator="equal">
      <formula>0</formula>
    </cfRule>
  </conditionalFormatting>
  <conditionalFormatting sqref="H36:L36">
    <cfRule type="cellIs" dxfId="113" priority="27" operator="equal">
      <formula>0</formula>
    </cfRule>
  </conditionalFormatting>
  <conditionalFormatting sqref="H49:L49">
    <cfRule type="cellIs" dxfId="112" priority="16" operator="equal">
      <formula>0</formula>
    </cfRule>
  </conditionalFormatting>
  <conditionalFormatting sqref="H55:L55">
    <cfRule type="cellIs" dxfId="111" priority="15" operator="equal">
      <formula>0</formula>
    </cfRule>
  </conditionalFormatting>
  <conditionalFormatting sqref="M7:M10">
    <cfRule type="cellIs" dxfId="110" priority="7" operator="greaterThan">
      <formula>0</formula>
    </cfRule>
  </conditionalFormatting>
  <conditionalFormatting sqref="M12:M16">
    <cfRule type="cellIs" dxfId="109" priority="2" operator="equal">
      <formula>0</formula>
    </cfRule>
  </conditionalFormatting>
  <conditionalFormatting sqref="M18:M21">
    <cfRule type="cellIs" dxfId="108" priority="11" operator="greaterThan">
      <formula>0</formula>
    </cfRule>
  </conditionalFormatting>
  <conditionalFormatting sqref="M26:M29">
    <cfRule type="cellIs" dxfId="107" priority="31" operator="greaterThan">
      <formula>0</formula>
    </cfRule>
  </conditionalFormatting>
  <conditionalFormatting sqref="M31:M35">
    <cfRule type="cellIs" dxfId="106" priority="26" operator="equal">
      <formula>0</formula>
    </cfRule>
  </conditionalFormatting>
  <conditionalFormatting sqref="M37:M40">
    <cfRule type="cellIs" dxfId="105" priority="35" operator="greaterThan">
      <formula>0</formula>
    </cfRule>
  </conditionalFormatting>
  <conditionalFormatting sqref="M45:M48">
    <cfRule type="cellIs" dxfId="104" priority="19" operator="greaterThan">
      <formula>0</formula>
    </cfRule>
  </conditionalFormatting>
  <conditionalFormatting sqref="M50:M54">
    <cfRule type="cellIs" dxfId="103" priority="14" operator="equal">
      <formula>0</formula>
    </cfRule>
  </conditionalFormatting>
  <conditionalFormatting sqref="M56:M59">
    <cfRule type="cellIs" dxfId="102" priority="23" operator="greaterThan">
      <formula>0</formula>
    </cfRule>
  </conditionalFormatting>
  <conditionalFormatting sqref="N11:Q11">
    <cfRule type="cellIs" dxfId="101" priority="6" operator="greaterThan">
      <formula>0</formula>
    </cfRule>
  </conditionalFormatting>
  <conditionalFormatting sqref="N17:Q17">
    <cfRule type="cellIs" dxfId="100" priority="5" operator="greaterThan">
      <formula>0</formula>
    </cfRule>
  </conditionalFormatting>
  <conditionalFormatting sqref="N30:Q30">
    <cfRule type="cellIs" dxfId="99" priority="30" operator="greaterThan">
      <formula>0</formula>
    </cfRule>
  </conditionalFormatting>
  <conditionalFormatting sqref="N36:Q36">
    <cfRule type="cellIs" dxfId="98" priority="29" operator="greaterThan">
      <formula>0</formula>
    </cfRule>
  </conditionalFormatting>
  <conditionalFormatting sqref="N49:Q49">
    <cfRule type="cellIs" dxfId="97" priority="18" operator="greaterThan">
      <formula>0</formula>
    </cfRule>
  </conditionalFormatting>
  <conditionalFormatting sqref="N55:Q55">
    <cfRule type="cellIs" dxfId="96" priority="17" operator="greaterThan">
      <formula>0</formula>
    </cfRule>
  </conditionalFormatting>
  <printOptions horizontalCentered="1" verticalCentered="1"/>
  <pageMargins left="0.70866141732283472" right="0.51181102362204722" top="0.55118110236220474" bottom="0.55118110236220474" header="0.31496062992125984" footer="0.23622047244094491"/>
  <pageSetup paperSize="9" scale="86" orientation="portrait" r:id="rId1"/>
  <headerFooter>
    <oddFooter>&amp;L&amp;8copyright:
Dr John Sampson&amp;C&amp;9&amp;F
&amp;A&amp;R&amp;9print:
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CFFCC"/>
    <pageSetUpPr fitToPage="1"/>
  </sheetPr>
  <dimension ref="A1:AI44"/>
  <sheetViews>
    <sheetView showGridLines="0" zoomScale="110" zoomScaleNormal="110" workbookViewId="0">
      <pane ySplit="4" topLeftCell="A5" activePane="bottomLeft" state="frozen"/>
      <selection pane="bottomLeft" activeCell="AD24" sqref="AD24"/>
    </sheetView>
  </sheetViews>
  <sheetFormatPr defaultColWidth="9.140625" defaultRowHeight="12.75" x14ac:dyDescent="0.2"/>
  <cols>
    <col min="1" max="8" width="4.7109375" style="1" customWidth="1"/>
    <col min="9" max="9" width="3.85546875" style="1" customWidth="1"/>
    <col min="10" max="10" width="0.5703125" style="1" customWidth="1"/>
    <col min="11" max="25" width="4.7109375" style="1" customWidth="1"/>
    <col min="26" max="26" width="0.5703125" style="1" customWidth="1"/>
    <col min="27" max="27" width="3.85546875" style="1" customWidth="1"/>
    <col min="28" max="35" width="4.7109375" style="1" customWidth="1"/>
    <col min="36" max="36" width="9.140625" style="1"/>
    <col min="37" max="37" width="13.140625" style="1" customWidth="1"/>
    <col min="38" max="43" width="8.28515625" style="1" customWidth="1"/>
    <col min="44" max="16384" width="9.140625" style="1"/>
  </cols>
  <sheetData>
    <row r="1" spans="1:35" ht="17.25" customHeight="1" thickTop="1" x14ac:dyDescent="0.3">
      <c r="A1" s="223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433" t="str">
        <f>CVR!E7</f>
        <v>Queen Street</v>
      </c>
      <c r="R1" s="283" t="s">
        <v>298</v>
      </c>
      <c r="S1" s="434" t="str">
        <f>CVR!E9</f>
        <v>Albertina Sisulu Road</v>
      </c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89"/>
    </row>
    <row r="2" spans="1:35" ht="12.75" customHeight="1" x14ac:dyDescent="0.2">
      <c r="A2" s="226"/>
      <c r="D2" s="27"/>
      <c r="R2" s="249" t="str">
        <f>CVR!E11</f>
        <v>example</v>
      </c>
      <c r="AD2" s="98"/>
      <c r="AF2" s="196"/>
      <c r="AG2" s="197"/>
      <c r="AH2" s="197"/>
      <c r="AI2" s="252"/>
    </row>
    <row r="3" spans="1:35" ht="12.75" customHeight="1" x14ac:dyDescent="0.2">
      <c r="A3" s="251"/>
      <c r="B3" s="27"/>
      <c r="C3" s="27"/>
      <c r="D3" s="27"/>
      <c r="E3" s="27"/>
      <c r="R3" s="623" t="str">
        <f>IF((V7+AF26+N38+D19+R13+AB23+R33+H23)=0,"Check median island widths, grades, and clearances. If correct, delete this blue cell","")</f>
        <v/>
      </c>
      <c r="AD3" s="111"/>
      <c r="AF3" s="196"/>
      <c r="AG3" s="197" t="s">
        <v>3</v>
      </c>
      <c r="AH3" s="197" t="s">
        <v>167</v>
      </c>
      <c r="AI3" s="252" t="s">
        <v>166</v>
      </c>
    </row>
    <row r="4" spans="1:35" ht="15.75" customHeight="1" x14ac:dyDescent="0.2">
      <c r="A4" s="614" t="str">
        <f>cap!$A$1</f>
        <v>&amp;AutoJ 2408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285"/>
      <c r="O4" s="290"/>
      <c r="P4" s="290"/>
      <c r="Q4" s="286"/>
      <c r="R4" s="286" t="s">
        <v>321</v>
      </c>
      <c r="S4" s="290"/>
      <c r="T4" s="290"/>
      <c r="U4" s="290"/>
      <c r="V4" s="287"/>
      <c r="W4" s="7"/>
      <c r="X4" s="8"/>
      <c r="Y4" s="8"/>
      <c r="Z4" s="8"/>
      <c r="AA4" s="8"/>
      <c r="AB4" s="8"/>
      <c r="AC4" s="8"/>
      <c r="AD4" s="199"/>
      <c r="AE4" s="8"/>
      <c r="AF4" s="199" t="s">
        <v>578</v>
      </c>
      <c r="AG4" s="369" t="str">
        <f>SMY!$D$10</f>
        <v>s4we</v>
      </c>
      <c r="AH4" s="198">
        <f>MAX(SMY!$G$10:$I$10)</f>
        <v>0.92357272584450956</v>
      </c>
      <c r="AI4" s="666">
        <f>MAX(SMY!$K$10:$M$10)</f>
        <v>50.507666952507648</v>
      </c>
    </row>
    <row r="5" spans="1:35" ht="13.5" customHeight="1" x14ac:dyDescent="0.25">
      <c r="A5" s="226"/>
      <c r="C5" s="17"/>
      <c r="P5" s="155"/>
      <c r="R5" s="607" t="str">
        <f>IF(AND(G17="",G19="",G22="",L34="",N34="",Q34="",AC29="",AC27="",AC24="",X12="",V12="",S12="",T16="",Y16="",Y25="",Y30="",P30="",K30="",K21="",K16=""),"","NOTE, add or amend lanes")</f>
        <v/>
      </c>
      <c r="AI5" s="228"/>
    </row>
    <row r="6" spans="1:35" ht="13.5" customHeight="1" x14ac:dyDescent="0.2">
      <c r="A6" s="226"/>
      <c r="K6" s="273"/>
      <c r="R6" s="253" t="str">
        <f>EX!B6</f>
        <v>Queen Street</v>
      </c>
      <c r="U6" s="715" t="s">
        <v>462</v>
      </c>
      <c r="V6" s="806">
        <v>60</v>
      </c>
      <c r="Y6" s="254"/>
      <c r="AI6" s="228"/>
    </row>
    <row r="7" spans="1:35" ht="13.5" customHeight="1" x14ac:dyDescent="0.2">
      <c r="A7" s="226"/>
      <c r="J7" s="14">
        <f t="shared" ref="J7:J14" si="0">$N$12</f>
        <v>2</v>
      </c>
      <c r="R7" s="603"/>
      <c r="T7" s="255"/>
      <c r="U7" s="715" t="s">
        <v>463</v>
      </c>
      <c r="V7" s="807">
        <v>0</v>
      </c>
      <c r="Z7" s="14">
        <f>$Z$12</f>
        <v>3</v>
      </c>
      <c r="AI7" s="228"/>
    </row>
    <row r="8" spans="1:35" ht="13.5" customHeight="1" x14ac:dyDescent="0.2">
      <c r="A8" s="226"/>
      <c r="J8" s="14">
        <f t="shared" si="0"/>
        <v>2</v>
      </c>
      <c r="R8" s="604"/>
      <c r="T8" s="255"/>
      <c r="U8" s="715" t="s">
        <v>67</v>
      </c>
      <c r="V8" s="808" t="s">
        <v>45</v>
      </c>
      <c r="Z8" s="14">
        <f>$Z$12</f>
        <v>3</v>
      </c>
      <c r="AI8" s="228"/>
    </row>
    <row r="9" spans="1:35" ht="13.5" customHeight="1" x14ac:dyDescent="0.2">
      <c r="A9" s="226"/>
      <c r="J9" s="14">
        <f t="shared" si="0"/>
        <v>2</v>
      </c>
      <c r="R9" s="604"/>
      <c r="T9" s="255"/>
      <c r="U9" s="715" t="s">
        <v>62</v>
      </c>
      <c r="V9" s="808" t="s">
        <v>45</v>
      </c>
      <c r="Z9" s="14">
        <f>$Z$12</f>
        <v>3</v>
      </c>
      <c r="AI9" s="228"/>
    </row>
    <row r="10" spans="1:35" ht="13.5" customHeight="1" x14ac:dyDescent="0.2">
      <c r="A10" s="226"/>
      <c r="J10" s="14">
        <f t="shared" si="0"/>
        <v>2</v>
      </c>
      <c r="R10" s="604"/>
      <c r="S10" s="256">
        <f>IF(S13&gt;0,MAX(hr!E40:E42)/MAX(1,S13+T13+U13)*SET!$F$61*SET!$K$60,0)</f>
        <v>21.979423085714284</v>
      </c>
      <c r="T10" s="272"/>
      <c r="V10" s="723"/>
      <c r="W10" s="8"/>
      <c r="X10" s="1254">
        <f>IF(X13+Y13&gt;0,MAX(hr!C40:C42)/MAX(1,X13+W13+U13,Y13)*SET!$F$61*SET!$K$60,0)</f>
        <v>67.23332169779286</v>
      </c>
      <c r="Y10" s="1254"/>
      <c r="Z10" s="14">
        <f>$Z$12</f>
        <v>3</v>
      </c>
      <c r="AI10" s="228"/>
    </row>
    <row r="11" spans="1:35" ht="13.5" customHeight="1" x14ac:dyDescent="0.2">
      <c r="A11" s="226"/>
      <c r="J11" s="14">
        <f t="shared" si="0"/>
        <v>2</v>
      </c>
      <c r="R11" s="604"/>
      <c r="S11" s="809">
        <v>50</v>
      </c>
      <c r="T11" s="737" t="s">
        <v>497</v>
      </c>
      <c r="U11" s="738"/>
      <c r="V11" s="738"/>
      <c r="W11" s="739" t="s">
        <v>497</v>
      </c>
      <c r="X11" s="1260">
        <v>50</v>
      </c>
      <c r="Y11" s="1261"/>
      <c r="Z11" s="14">
        <f>$Z$12</f>
        <v>3</v>
      </c>
      <c r="AI11" s="228"/>
    </row>
    <row r="12" spans="1:35" ht="18" customHeight="1" x14ac:dyDescent="0.25">
      <c r="A12" s="226"/>
      <c r="J12" s="14">
        <f t="shared" si="0"/>
        <v>2</v>
      </c>
      <c r="N12" s="353">
        <f>MAX((H16+H17+H18+H20),(M33+N33+IF(hr!G51&gt;0,O33,0)+P33),(AB26+AB25+AB24))</f>
        <v>2</v>
      </c>
      <c r="R12" s="724" t="s">
        <v>469</v>
      </c>
      <c r="S12" s="257" t="str">
        <f>IF(AND(hr!E43&gt;0,(S13+T13+U13)=0),hr!E43/300,"")</f>
        <v/>
      </c>
      <c r="T12" s="258"/>
      <c r="U12" s="258"/>
      <c r="V12" s="257" t="str">
        <f>IF(AND(hr!D43&gt;0,(T13+U13+V13+W13)=0),hr!D43/550,"")</f>
        <v/>
      </c>
      <c r="W12" s="258"/>
      <c r="X12" s="257" t="str">
        <f>IF(AND(hr!C43&gt;0,(U13+W13+X13+Y13)=0),hr!C43/500,"")</f>
        <v/>
      </c>
      <c r="Y12" s="258"/>
      <c r="Z12" s="14">
        <f>SUM(S13:X13)</f>
        <v>3</v>
      </c>
      <c r="AI12" s="228"/>
    </row>
    <row r="13" spans="1:35" ht="18" customHeight="1" thickBot="1" x14ac:dyDescent="0.25">
      <c r="A13" s="226"/>
      <c r="J13" s="14">
        <f t="shared" si="0"/>
        <v>2</v>
      </c>
      <c r="R13" s="819">
        <v>1.5</v>
      </c>
      <c r="S13" s="470">
        <v>1</v>
      </c>
      <c r="T13" s="471"/>
      <c r="U13" s="471"/>
      <c r="V13" s="471">
        <v>2</v>
      </c>
      <c r="W13" s="471"/>
      <c r="X13" s="471"/>
      <c r="Y13" s="471">
        <v>1</v>
      </c>
      <c r="Z13" s="14">
        <f>$Z$12</f>
        <v>3</v>
      </c>
      <c r="AI13" s="228"/>
    </row>
    <row r="14" spans="1:35" ht="18" customHeight="1" thickBot="1" x14ac:dyDescent="0.25">
      <c r="A14" s="226"/>
      <c r="J14" s="14">
        <f t="shared" si="0"/>
        <v>2</v>
      </c>
      <c r="K14" s="717" t="s">
        <v>466</v>
      </c>
      <c r="L14" s="812">
        <f>IF(R13&gt;0,MAX(N12,Z12),(N12+Z12))*3.6+1.2</f>
        <v>12</v>
      </c>
      <c r="M14" s="717" t="s">
        <v>379</v>
      </c>
      <c r="N14" s="811">
        <v>3</v>
      </c>
      <c r="O14" s="717" t="s">
        <v>467</v>
      </c>
      <c r="P14" s="810" t="s">
        <v>45</v>
      </c>
      <c r="Q14" s="718"/>
      <c r="R14" s="714"/>
      <c r="S14" s="714"/>
      <c r="T14" s="714"/>
      <c r="U14" s="714"/>
      <c r="V14" s="714"/>
      <c r="W14" s="714"/>
      <c r="X14" s="714"/>
      <c r="Y14" s="714"/>
      <c r="Z14" s="14">
        <f>$Z$12</f>
        <v>3</v>
      </c>
      <c r="AI14" s="228"/>
    </row>
    <row r="15" spans="1:35" ht="3" customHeight="1" x14ac:dyDescent="0.2">
      <c r="A15" s="226"/>
      <c r="B15" s="14">
        <f>$G$15</f>
        <v>4</v>
      </c>
      <c r="C15" s="14">
        <f>$G$15</f>
        <v>4</v>
      </c>
      <c r="D15" s="14">
        <f>$G$15</f>
        <v>4</v>
      </c>
      <c r="E15" s="14">
        <f>$G$15</f>
        <v>4</v>
      </c>
      <c r="F15" s="14">
        <f>$G$15</f>
        <v>4</v>
      </c>
      <c r="G15" s="14">
        <f>SUM(H17:H22)</f>
        <v>4</v>
      </c>
      <c r="H15" s="14">
        <f>$G$15</f>
        <v>4</v>
      </c>
      <c r="I15" s="14">
        <f>$G$15</f>
        <v>4</v>
      </c>
      <c r="J15" s="259"/>
      <c r="K15" s="260">
        <f t="shared" ref="K15:Q15" si="1">$N$12</f>
        <v>2</v>
      </c>
      <c r="L15" s="260">
        <f t="shared" si="1"/>
        <v>2</v>
      </c>
      <c r="M15" s="260">
        <f t="shared" si="1"/>
        <v>2</v>
      </c>
      <c r="N15" s="260">
        <f t="shared" si="1"/>
        <v>2</v>
      </c>
      <c r="O15" s="260">
        <f t="shared" si="1"/>
        <v>2</v>
      </c>
      <c r="P15" s="260">
        <f t="shared" si="1"/>
        <v>2</v>
      </c>
      <c r="Q15" s="260">
        <f t="shared" si="1"/>
        <v>2</v>
      </c>
      <c r="R15" s="260">
        <f>$N$12</f>
        <v>2</v>
      </c>
      <c r="S15" s="260">
        <f t="shared" ref="S15:Y15" si="2">$Z$12</f>
        <v>3</v>
      </c>
      <c r="T15" s="260">
        <f t="shared" si="2"/>
        <v>3</v>
      </c>
      <c r="U15" s="260">
        <f t="shared" si="2"/>
        <v>3</v>
      </c>
      <c r="V15" s="260">
        <f t="shared" si="2"/>
        <v>3</v>
      </c>
      <c r="W15" s="260">
        <f t="shared" si="2"/>
        <v>3</v>
      </c>
      <c r="X15" s="260">
        <f t="shared" si="2"/>
        <v>3</v>
      </c>
      <c r="Y15" s="260">
        <f t="shared" si="2"/>
        <v>3</v>
      </c>
      <c r="Z15" s="259"/>
      <c r="AA15" s="14">
        <f t="shared" ref="AA15:AH15" si="3">$AC$19</f>
        <v>3</v>
      </c>
      <c r="AB15" s="14">
        <f t="shared" si="3"/>
        <v>3</v>
      </c>
      <c r="AC15" s="14">
        <f t="shared" si="3"/>
        <v>3</v>
      </c>
      <c r="AD15" s="14">
        <f t="shared" si="3"/>
        <v>3</v>
      </c>
      <c r="AE15" s="14">
        <f t="shared" si="3"/>
        <v>3</v>
      </c>
      <c r="AF15" s="14">
        <f t="shared" si="3"/>
        <v>3</v>
      </c>
      <c r="AG15" s="14">
        <f t="shared" si="3"/>
        <v>3</v>
      </c>
      <c r="AH15" s="14">
        <f t="shared" si="3"/>
        <v>3</v>
      </c>
      <c r="AI15" s="228"/>
    </row>
    <row r="16" spans="1:35" ht="13.5" customHeight="1" x14ac:dyDescent="0.25">
      <c r="A16" s="226"/>
      <c r="B16" s="262"/>
      <c r="E16" s="1255">
        <f>IF(H16+H17&gt;0,MAX(hr!I40:I42)/MAX(1,H16,H17+H18+H20)*SET!$F$61*SET!$K$60,0)</f>
        <v>0</v>
      </c>
      <c r="F16" s="1252">
        <v>100</v>
      </c>
      <c r="G16" s="258"/>
      <c r="H16" s="471"/>
      <c r="I16" s="712"/>
      <c r="J16" s="260">
        <f>$G$15</f>
        <v>4</v>
      </c>
      <c r="K16" s="29" t="str">
        <f>IF(AND((H17+H18+H20)&gt;0,H16&gt;0),"lane clash","")</f>
        <v/>
      </c>
      <c r="T16" s="30" t="str">
        <f>IF(AND((T13+V13+W13+Y13)&gt;0,U13&gt;0),"lane clash","")</f>
        <v/>
      </c>
      <c r="U16" s="817">
        <f>MAX((AC19+AC31)*3.7+AB23+6,(G15+G27)*3.7+H23+6)</f>
        <v>33.400000000000006</v>
      </c>
      <c r="V16" s="29" t="str">
        <f>IF(OR(T13&gt;1.5,U13&gt;1.5,W13&gt;1.5),"lane clash","")</f>
        <v/>
      </c>
      <c r="X16" s="261"/>
      <c r="Y16" s="30" t="str">
        <f>IF(AND((U13+W13+X13)&gt;0,Y13&gt;0),"lane clash","")</f>
        <v/>
      </c>
      <c r="Z16" s="260">
        <f t="shared" ref="Z16:Z23" si="4">$AC$19</f>
        <v>3</v>
      </c>
      <c r="AA16" s="713" t="s">
        <v>466</v>
      </c>
      <c r="AI16" s="228"/>
    </row>
    <row r="17" spans="1:35" ht="13.5" customHeight="1" x14ac:dyDescent="0.25">
      <c r="A17" s="226"/>
      <c r="E17" s="1255"/>
      <c r="F17" s="1253"/>
      <c r="G17" s="257" t="str">
        <f>IF(AND(hr!I43&gt;0,(H16+H17+H18+H20)=0),hr!I43/500,"")</f>
        <v/>
      </c>
      <c r="H17" s="471"/>
      <c r="I17" s="712"/>
      <c r="J17" s="260">
        <f t="shared" ref="J17:J22" si="5">$G$15</f>
        <v>4</v>
      </c>
      <c r="U17" s="152" t="s">
        <v>471</v>
      </c>
      <c r="Z17" s="260">
        <f t="shared" si="4"/>
        <v>3</v>
      </c>
      <c r="AA17" s="816">
        <f>IF(AB23&gt;0,MAX(AC31,AC19),(AC31+AC19))*3.6+1.2</f>
        <v>15.6</v>
      </c>
      <c r="AH17" s="254"/>
      <c r="AI17" s="228"/>
    </row>
    <row r="18" spans="1:35" ht="13.5" customHeight="1" x14ac:dyDescent="0.25">
      <c r="A18" s="226"/>
      <c r="C18" s="716" t="s">
        <v>462</v>
      </c>
      <c r="D18" s="806">
        <v>70</v>
      </c>
      <c r="E18" s="368"/>
      <c r="F18" s="740" t="s">
        <v>497</v>
      </c>
      <c r="G18" s="258"/>
      <c r="H18" s="471">
        <v>1</v>
      </c>
      <c r="I18" s="712"/>
      <c r="J18" s="260">
        <f t="shared" si="5"/>
        <v>4</v>
      </c>
      <c r="K18" s="29" t="str">
        <f>IF(OR(H18&gt;1.5,H20&gt;1.5,H21&gt;1.5),"lane clash","")</f>
        <v/>
      </c>
      <c r="Z18" s="260">
        <f t="shared" si="4"/>
        <v>3</v>
      </c>
      <c r="AA18" s="713" t="s">
        <v>379</v>
      </c>
      <c r="AI18" s="228"/>
    </row>
    <row r="19" spans="1:35" ht="13.5" customHeight="1" x14ac:dyDescent="0.25">
      <c r="A19" s="1266" t="str">
        <f>EX!A7</f>
        <v>Albertina Sisulu Road</v>
      </c>
      <c r="C19" s="716" t="s">
        <v>463</v>
      </c>
      <c r="D19" s="807">
        <v>0</v>
      </c>
      <c r="F19" s="741"/>
      <c r="G19" s="257" t="str">
        <f>IF(AND(hr!J43&gt;0,(H18+H19+H20+H21)=0),hr!J43/550,"")</f>
        <v/>
      </c>
      <c r="H19" s="471">
        <v>2</v>
      </c>
      <c r="I19" s="719"/>
      <c r="J19" s="260">
        <f t="shared" si="5"/>
        <v>4</v>
      </c>
      <c r="Z19" s="260">
        <f t="shared" si="4"/>
        <v>3</v>
      </c>
      <c r="AA19" s="815">
        <v>3</v>
      </c>
      <c r="AC19" s="159">
        <f>MAX((Y13+X13+W13+U13),(H18+H19+IF(hr!J51&gt;0,H20,0)+H21),(O33+P33+Q33))</f>
        <v>3</v>
      </c>
      <c r="AI19" s="1262" t="str">
        <f>EX!O7</f>
        <v>Albertina Sisulu Road</v>
      </c>
    </row>
    <row r="20" spans="1:35" ht="13.5" customHeight="1" x14ac:dyDescent="0.25">
      <c r="A20" s="1266"/>
      <c r="C20" s="716" t="s">
        <v>67</v>
      </c>
      <c r="D20" s="808" t="s">
        <v>45</v>
      </c>
      <c r="F20" s="741"/>
      <c r="G20" s="258"/>
      <c r="H20" s="471"/>
      <c r="I20" s="712"/>
      <c r="J20" s="260">
        <f t="shared" si="5"/>
        <v>4</v>
      </c>
      <c r="K20" s="817">
        <f>MAX((N12+Z12)*3.7+R13+6,(J34+V34)*3.7+R33+6)</f>
        <v>26</v>
      </c>
      <c r="L20" s="638" t="s">
        <v>471</v>
      </c>
      <c r="Z20" s="260">
        <f t="shared" si="4"/>
        <v>3</v>
      </c>
      <c r="AA20" s="713" t="s">
        <v>467</v>
      </c>
      <c r="AI20" s="1262"/>
    </row>
    <row r="21" spans="1:35" ht="13.5" customHeight="1" x14ac:dyDescent="0.25">
      <c r="A21" s="1266"/>
      <c r="C21" s="716" t="s">
        <v>62</v>
      </c>
      <c r="D21" s="808" t="s">
        <v>45</v>
      </c>
      <c r="F21" s="742" t="s">
        <v>497</v>
      </c>
      <c r="G21" s="258"/>
      <c r="H21" s="471"/>
      <c r="I21" s="712"/>
      <c r="J21" s="260">
        <f t="shared" si="5"/>
        <v>4</v>
      </c>
      <c r="K21" s="29" t="str">
        <f>IF(AND((H16+H18+H19+H21)&gt;0,H20&gt;0),"lane clash","")</f>
        <v/>
      </c>
      <c r="Q21" s="606" t="s">
        <v>473</v>
      </c>
      <c r="S21" s="40" t="s">
        <v>378</v>
      </c>
      <c r="Z21" s="260">
        <f t="shared" si="4"/>
        <v>3</v>
      </c>
      <c r="AA21" s="814" t="s">
        <v>45</v>
      </c>
      <c r="AI21" s="1262"/>
    </row>
    <row r="22" spans="1:35" ht="13.5" customHeight="1" thickBot="1" x14ac:dyDescent="0.3">
      <c r="A22" s="1266"/>
      <c r="E22" s="256">
        <f>IF(H22&gt;0,MAX(hr!K40:K42)/MAX(1,H22+H21+H20)*SET!$F$61*SET!$K$60,0)</f>
        <v>55.196670449221187</v>
      </c>
      <c r="F22" s="813">
        <v>100</v>
      </c>
      <c r="G22" s="257" t="str">
        <f>IF(AND(hr!K43&gt;0,(H22+H21+H20)=0),hr!K43/300,"")</f>
        <v/>
      </c>
      <c r="H22" s="473">
        <v>1</v>
      </c>
      <c r="I22" s="719"/>
      <c r="J22" s="260">
        <f t="shared" si="5"/>
        <v>4</v>
      </c>
      <c r="P22" s="34" t="s">
        <v>379</v>
      </c>
      <c r="Q22" s="158">
        <f>MIN(SUM(H17:H21),2)+IF(SUM(H17:H21)=0,H22,0)</f>
        <v>2</v>
      </c>
      <c r="R22" s="242"/>
      <c r="S22" s="158">
        <f>MIN(SUM(T13:X13),2)+IF(SUM(T13:X13)=0,S13,0)</f>
        <v>2</v>
      </c>
      <c r="T22" s="263"/>
      <c r="Z22" s="260">
        <f t="shared" si="4"/>
        <v>3</v>
      </c>
      <c r="AA22" s="712"/>
      <c r="AI22" s="1262"/>
    </row>
    <row r="23" spans="1:35" ht="13.5" customHeight="1" thickTop="1" thickBot="1" x14ac:dyDescent="0.25">
      <c r="A23" s="1266"/>
      <c r="B23" s="1264" t="s">
        <v>469</v>
      </c>
      <c r="C23" s="1264"/>
      <c r="D23" s="1264"/>
      <c r="E23" s="1264"/>
      <c r="F23" s="1264"/>
      <c r="G23" s="1264"/>
      <c r="H23" s="667">
        <v>1.5</v>
      </c>
      <c r="I23" s="712"/>
      <c r="J23" s="260">
        <f>$G$27</f>
        <v>3</v>
      </c>
      <c r="P23" s="34"/>
      <c r="Q23" s="34" t="s">
        <v>232</v>
      </c>
      <c r="R23" s="159">
        <f>MAX(Q22,S22,Q24,S24)</f>
        <v>2</v>
      </c>
      <c r="S23" s="242"/>
      <c r="T23" s="263"/>
      <c r="Z23" s="260">
        <f t="shared" si="4"/>
        <v>3</v>
      </c>
      <c r="AA23" s="712"/>
      <c r="AB23" s="820">
        <v>1.5</v>
      </c>
      <c r="AC23" s="1256" t="s">
        <v>469</v>
      </c>
      <c r="AD23" s="1257"/>
      <c r="AE23" s="1257"/>
      <c r="AF23" s="1257"/>
      <c r="AG23" s="1257"/>
      <c r="AH23" s="1257"/>
      <c r="AI23" s="1262"/>
    </row>
    <row r="24" spans="1:35" ht="13.5" customHeight="1" thickTop="1" x14ac:dyDescent="0.25">
      <c r="A24" s="1266"/>
      <c r="I24" s="720"/>
      <c r="J24" s="260">
        <f t="shared" ref="J24:J30" si="6">$G$27</f>
        <v>3</v>
      </c>
      <c r="P24" s="34"/>
      <c r="Q24" s="158">
        <f>MIN(SUM(L33:P33),2)+IF(SUM(L33:P33)=0,Q33,0)</f>
        <v>2</v>
      </c>
      <c r="R24" s="242"/>
      <c r="S24" s="158">
        <f>MIN(SUM(AB25:AB29),2)+IF(SUM(AB25:AB29)=0,AB30,0)</f>
        <v>2</v>
      </c>
      <c r="T24" s="263" t="s">
        <v>192</v>
      </c>
      <c r="Z24" s="260">
        <f t="shared" ref="Z24:Z30" si="7">$AC$31</f>
        <v>4</v>
      </c>
      <c r="AA24" s="712"/>
      <c r="AB24" s="472">
        <v>1</v>
      </c>
      <c r="AC24" s="257" t="str">
        <f>IF(AND(hr!N43&gt;0,(AB24+AB25+AB26)=0),hr!N43/300,"")</f>
        <v/>
      </c>
      <c r="AD24" s="821">
        <v>70</v>
      </c>
      <c r="AE24" s="256">
        <f>IF(AB24&gt;0,MAX(hr!N40:N42)/MAX(1,AB24+AB25+AB26)*SET!$F$61*SET!$K$60,0)</f>
        <v>61.326109841558441</v>
      </c>
      <c r="AI24" s="1262"/>
    </row>
    <row r="25" spans="1:35" ht="13.5" customHeight="1" x14ac:dyDescent="0.25">
      <c r="A25" s="1266"/>
      <c r="I25" s="713" t="s">
        <v>467</v>
      </c>
      <c r="J25" s="260">
        <f t="shared" si="6"/>
        <v>3</v>
      </c>
      <c r="Q25" s="40" t="s">
        <v>64</v>
      </c>
      <c r="Y25" s="30" t="str">
        <f>IF(AND((AB25+AB27+AB28+AB30)&gt;0,AB26&gt;0),"lane clash","")</f>
        <v/>
      </c>
      <c r="Z25" s="260">
        <f t="shared" si="7"/>
        <v>4</v>
      </c>
      <c r="AA25" s="712"/>
      <c r="AB25" s="471"/>
      <c r="AC25" s="258"/>
      <c r="AD25" s="744" t="s">
        <v>497</v>
      </c>
      <c r="AE25" s="716" t="s">
        <v>462</v>
      </c>
      <c r="AF25" s="806">
        <v>70</v>
      </c>
      <c r="AI25" s="1262"/>
    </row>
    <row r="26" spans="1:35" ht="13.5" customHeight="1" x14ac:dyDescent="0.25">
      <c r="A26" s="1266"/>
      <c r="I26" s="814" t="s">
        <v>45</v>
      </c>
      <c r="J26" s="260">
        <f t="shared" si="6"/>
        <v>3</v>
      </c>
      <c r="X26" s="722" t="s">
        <v>471</v>
      </c>
      <c r="Y26" s="817">
        <f>MAX((J34+V34)*3.7+R33+6,(N12+Z12)*3.7+R13+6)</f>
        <v>26</v>
      </c>
      <c r="Z26" s="260">
        <f t="shared" si="7"/>
        <v>4</v>
      </c>
      <c r="AA26" s="712"/>
      <c r="AB26" s="471"/>
      <c r="AC26" s="258"/>
      <c r="AD26" s="741"/>
      <c r="AE26" s="716" t="s">
        <v>463</v>
      </c>
      <c r="AF26" s="822">
        <v>0</v>
      </c>
      <c r="AI26" s="1262"/>
    </row>
    <row r="27" spans="1:35" ht="13.5" customHeight="1" x14ac:dyDescent="0.25">
      <c r="A27" s="264"/>
      <c r="G27" s="159">
        <f>MAX((K33+L33+M33+O33),(AB28+AB27+IF(hr!M51&gt;0,AB26,0)+AB25),(S13+T13+U13))</f>
        <v>3</v>
      </c>
      <c r="I27" s="713" t="s">
        <v>379</v>
      </c>
      <c r="J27" s="260">
        <f t="shared" si="6"/>
        <v>3</v>
      </c>
      <c r="Z27" s="260">
        <f t="shared" si="7"/>
        <v>4</v>
      </c>
      <c r="AA27" s="720"/>
      <c r="AB27" s="471">
        <v>3</v>
      </c>
      <c r="AC27" s="257" t="str">
        <f>IF(AND(hr!M43&gt;0,(AB25+AB26+AB27+AB28)=0),hr!M43/550,"")</f>
        <v/>
      </c>
      <c r="AD27" s="741"/>
      <c r="AE27" s="716" t="s">
        <v>67</v>
      </c>
      <c r="AF27" s="808" t="s">
        <v>45</v>
      </c>
      <c r="AI27" s="228"/>
    </row>
    <row r="28" spans="1:35" ht="13.5" customHeight="1" x14ac:dyDescent="0.25">
      <c r="A28" s="226"/>
      <c r="I28" s="815">
        <v>3</v>
      </c>
      <c r="J28" s="260">
        <f t="shared" si="6"/>
        <v>3</v>
      </c>
      <c r="Y28" s="30" t="str">
        <f>IF(OR(AB25&gt;1.5,AB26&gt;1.5,AB28&gt;1.5),"lane clash","")</f>
        <v/>
      </c>
      <c r="Z28" s="260">
        <f t="shared" si="7"/>
        <v>4</v>
      </c>
      <c r="AA28" s="720"/>
      <c r="AB28" s="471"/>
      <c r="AC28" s="258"/>
      <c r="AD28" s="745" t="s">
        <v>497</v>
      </c>
      <c r="AE28" s="716" t="s">
        <v>62</v>
      </c>
      <c r="AF28" s="808" t="s">
        <v>45</v>
      </c>
      <c r="AI28" s="228"/>
    </row>
    <row r="29" spans="1:35" ht="13.5" customHeight="1" x14ac:dyDescent="0.25">
      <c r="A29" s="226"/>
      <c r="B29" s="262"/>
      <c r="I29" s="713" t="s">
        <v>466</v>
      </c>
      <c r="J29" s="260">
        <f t="shared" si="6"/>
        <v>3</v>
      </c>
      <c r="O29" s="152" t="s">
        <v>471</v>
      </c>
      <c r="Z29" s="260">
        <f t="shared" si="7"/>
        <v>4</v>
      </c>
      <c r="AA29" s="720"/>
      <c r="AB29" s="471"/>
      <c r="AC29" s="257" t="str">
        <f>IF(AND(hr!L43&gt;0,(AB26+AB28+AB29+AB30)=0),hr!L43/500,"")</f>
        <v/>
      </c>
      <c r="AD29" s="1253">
        <v>50</v>
      </c>
      <c r="AE29" s="1259">
        <f>IF(AB29+AB30&gt;0,MAX(hr!L40:L42)/MAX(1,AB29+AB28+AB26,AB30)*SET!$F$61*SET!$K$60,0)</f>
        <v>15.44742851707317</v>
      </c>
      <c r="AI29" s="228"/>
    </row>
    <row r="30" spans="1:35" ht="13.5" customHeight="1" x14ac:dyDescent="0.25">
      <c r="A30" s="226"/>
      <c r="I30" s="816">
        <f>IF(H23&gt;0,MAX(G15,G27),(G15+G27))*3.6+1.2</f>
        <v>15.6</v>
      </c>
      <c r="J30" s="260">
        <f t="shared" si="6"/>
        <v>3</v>
      </c>
      <c r="K30" s="29" t="str">
        <f>IF(AND((L33+M33+O33)&gt;0,K33&gt;0),"lane clash","")</f>
        <v/>
      </c>
      <c r="N30" s="30" t="str">
        <f>IF(OR(M33&gt;1.5,O33&gt;1.5,P33&gt;1.5),"lane clash","")</f>
        <v/>
      </c>
      <c r="O30" s="817">
        <f>MAX((G15+G27)*3.7+H23+6,(AC19+AC31)*3.7+AB23+6)</f>
        <v>33.400000000000006</v>
      </c>
      <c r="P30" s="29" t="str">
        <f>IF(AND((M33+N33+P33+K33)&gt;0,O33&gt;0),"lane clash","")</f>
        <v/>
      </c>
      <c r="Y30" s="30" t="str">
        <f>IF(AND((AB26+AB28+AB29)&gt;0,AB30&gt;0),"lane clash","")</f>
        <v/>
      </c>
      <c r="Z30" s="260">
        <f t="shared" si="7"/>
        <v>4</v>
      </c>
      <c r="AA30" s="720"/>
      <c r="AB30" s="471">
        <v>1</v>
      </c>
      <c r="AC30" s="258"/>
      <c r="AD30" s="1258"/>
      <c r="AE30" s="1259"/>
      <c r="AH30" s="254"/>
      <c r="AI30" s="228"/>
    </row>
    <row r="31" spans="1:35" ht="3" customHeight="1" thickBot="1" x14ac:dyDescent="0.25">
      <c r="A31" s="226"/>
      <c r="B31" s="14">
        <f t="shared" ref="B31:I31" si="8">$G$27</f>
        <v>3</v>
      </c>
      <c r="C31" s="14">
        <f t="shared" si="8"/>
        <v>3</v>
      </c>
      <c r="D31" s="14">
        <f t="shared" si="8"/>
        <v>3</v>
      </c>
      <c r="E31" s="14">
        <f t="shared" si="8"/>
        <v>3</v>
      </c>
      <c r="F31" s="14">
        <f t="shared" si="8"/>
        <v>3</v>
      </c>
      <c r="G31" s="14">
        <f t="shared" si="8"/>
        <v>3</v>
      </c>
      <c r="H31" s="14">
        <f t="shared" si="8"/>
        <v>3</v>
      </c>
      <c r="I31" s="14">
        <f t="shared" si="8"/>
        <v>3</v>
      </c>
      <c r="J31" s="259"/>
      <c r="K31" s="260">
        <f t="shared" ref="K31:Q31" si="9">$J$34</f>
        <v>3</v>
      </c>
      <c r="L31" s="260">
        <f t="shared" si="9"/>
        <v>3</v>
      </c>
      <c r="M31" s="260">
        <f t="shared" si="9"/>
        <v>3</v>
      </c>
      <c r="N31" s="260">
        <f t="shared" si="9"/>
        <v>3</v>
      </c>
      <c r="O31" s="260">
        <f t="shared" si="9"/>
        <v>3</v>
      </c>
      <c r="P31" s="260">
        <f t="shared" si="9"/>
        <v>3</v>
      </c>
      <c r="Q31" s="260">
        <f t="shared" si="9"/>
        <v>3</v>
      </c>
      <c r="R31" s="260">
        <f>$V$34</f>
        <v>2</v>
      </c>
      <c r="S31" s="260">
        <f t="shared" ref="S31:Y31" si="10">$V$34</f>
        <v>2</v>
      </c>
      <c r="T31" s="260">
        <f t="shared" si="10"/>
        <v>2</v>
      </c>
      <c r="U31" s="260">
        <f t="shared" si="10"/>
        <v>2</v>
      </c>
      <c r="V31" s="260">
        <f t="shared" si="10"/>
        <v>2</v>
      </c>
      <c r="W31" s="260">
        <f t="shared" si="10"/>
        <v>2</v>
      </c>
      <c r="X31" s="260">
        <f t="shared" si="10"/>
        <v>2</v>
      </c>
      <c r="Y31" s="260">
        <f t="shared" si="10"/>
        <v>2</v>
      </c>
      <c r="Z31" s="259"/>
      <c r="AA31" s="404">
        <f>$AC$31</f>
        <v>4</v>
      </c>
      <c r="AB31" s="14">
        <f>$AC$31</f>
        <v>4</v>
      </c>
      <c r="AC31" s="14">
        <f>SUM(AB24:AB29)</f>
        <v>4</v>
      </c>
      <c r="AD31" s="14">
        <f>$AC$31</f>
        <v>4</v>
      </c>
      <c r="AE31" s="14">
        <f>$AC$31</f>
        <v>4</v>
      </c>
      <c r="AF31" s="14">
        <f>$AC$31</f>
        <v>4</v>
      </c>
      <c r="AG31" s="14">
        <f>$AC$31</f>
        <v>4</v>
      </c>
      <c r="AH31" s="14">
        <f>$AC$31</f>
        <v>4</v>
      </c>
      <c r="AI31" s="228"/>
    </row>
    <row r="32" spans="1:35" ht="18" customHeight="1" thickBot="1" x14ac:dyDescent="0.25">
      <c r="A32" s="226"/>
      <c r="J32" s="14">
        <f>$J$34</f>
        <v>3</v>
      </c>
      <c r="K32" s="714"/>
      <c r="L32" s="714"/>
      <c r="M32" s="714"/>
      <c r="N32" s="714"/>
      <c r="O32" s="714"/>
      <c r="P32" s="714"/>
      <c r="Q32" s="714"/>
      <c r="R32" s="714"/>
      <c r="S32" s="714"/>
      <c r="T32" s="721" t="s">
        <v>467</v>
      </c>
      <c r="U32" s="810" t="s">
        <v>45</v>
      </c>
      <c r="V32" s="717" t="s">
        <v>379</v>
      </c>
      <c r="W32" s="811">
        <v>3</v>
      </c>
      <c r="X32" s="717" t="s">
        <v>466</v>
      </c>
      <c r="Y32" s="812">
        <f>IF(R33&gt;0,MAX(J34,V34),(J34+V34))*3.6+1.2</f>
        <v>12</v>
      </c>
      <c r="Z32" s="14">
        <f t="shared" ref="Z32:Z39" si="11">$V$34</f>
        <v>2</v>
      </c>
      <c r="AC32" s="46" t="s">
        <v>462</v>
      </c>
      <c r="AD32" s="600" t="s">
        <v>464</v>
      </c>
      <c r="AI32" s="228"/>
    </row>
    <row r="33" spans="1:35" ht="18" customHeight="1" x14ac:dyDescent="0.2">
      <c r="A33" s="226"/>
      <c r="J33" s="14">
        <f>$J$34</f>
        <v>3</v>
      </c>
      <c r="K33" s="471"/>
      <c r="L33" s="471"/>
      <c r="M33" s="471">
        <v>1</v>
      </c>
      <c r="N33" s="471">
        <v>1</v>
      </c>
      <c r="O33" s="471"/>
      <c r="P33" s="471"/>
      <c r="Q33" s="471">
        <v>1</v>
      </c>
      <c r="R33" s="818">
        <v>1.5</v>
      </c>
      <c r="Z33" s="14">
        <f t="shared" si="11"/>
        <v>2</v>
      </c>
      <c r="AC33" s="46" t="s">
        <v>463</v>
      </c>
      <c r="AD33" s="600" t="s">
        <v>468</v>
      </c>
      <c r="AI33" s="228"/>
    </row>
    <row r="34" spans="1:35" ht="18" customHeight="1" x14ac:dyDescent="0.25">
      <c r="A34" s="226"/>
      <c r="J34" s="14">
        <f>SUM(L33:Q33)</f>
        <v>3</v>
      </c>
      <c r="K34" s="258"/>
      <c r="L34" s="257" t="str">
        <f>IF(AND(hr!F43&gt;0,(K33+L33+M33+O33)=0),hr!F43/500,"")</f>
        <v/>
      </c>
      <c r="M34" s="258"/>
      <c r="N34" s="257" t="str">
        <f>IF(AND(hr!G43&gt;0,(M33+N33+O33+P33)=0),hr!G43/550,"")</f>
        <v/>
      </c>
      <c r="O34" s="258"/>
      <c r="P34" s="258"/>
      <c r="Q34" s="257" t="str">
        <f>IF(AND(hr!H43&gt;0,(Q33+P33+O33)=0),hr!H43/300,"")</f>
        <v/>
      </c>
      <c r="R34" s="725" t="s">
        <v>469</v>
      </c>
      <c r="V34" s="353">
        <f>MAX((H22+H21+H20),(T13+IF(hr!D51&gt;0,U13,0)+V13+W13),(AB26+AB28+AB29+AB30))</f>
        <v>2</v>
      </c>
      <c r="Z34" s="14">
        <f t="shared" si="11"/>
        <v>2</v>
      </c>
      <c r="AC34" s="46" t="s">
        <v>67</v>
      </c>
      <c r="AD34" s="600" t="s">
        <v>475</v>
      </c>
      <c r="AI34" s="228"/>
    </row>
    <row r="35" spans="1:35" ht="13.5" customHeight="1" x14ac:dyDescent="0.2">
      <c r="A35" s="226"/>
      <c r="J35" s="14">
        <f>$J$34</f>
        <v>3</v>
      </c>
      <c r="K35" s="1263">
        <v>100</v>
      </c>
      <c r="L35" s="1260"/>
      <c r="M35" s="737" t="s">
        <v>497</v>
      </c>
      <c r="N35" s="737"/>
      <c r="O35" s="737"/>
      <c r="P35" s="743" t="s">
        <v>497</v>
      </c>
      <c r="Q35" s="809">
        <v>50</v>
      </c>
      <c r="R35" s="605"/>
      <c r="Z35" s="14">
        <f t="shared" si="11"/>
        <v>2</v>
      </c>
      <c r="AC35" s="46" t="s">
        <v>62</v>
      </c>
      <c r="AD35" s="600" t="s">
        <v>476</v>
      </c>
      <c r="AI35" s="228"/>
    </row>
    <row r="36" spans="1:35" ht="13.5" customHeight="1" x14ac:dyDescent="0.2">
      <c r="A36" s="226"/>
      <c r="J36" s="14">
        <f>$J$34</f>
        <v>3</v>
      </c>
      <c r="K36" s="1265">
        <f>IF(K33+L33&gt;0,MAX(hr!F40:F42)/MAX(1,K33,L33+M33+O33)*SET!$F$61*SET!$K$60,0)</f>
        <v>0</v>
      </c>
      <c r="L36" s="1265"/>
      <c r="Q36" s="256">
        <f>IF(Q33&gt;0,MAX(hr!H40:H42)/MAX(1,Q33+P33+O33)*SET!$F$61*SET!$K$60,0)</f>
        <v>61.529920722656243</v>
      </c>
      <c r="R36" s="605"/>
      <c r="Z36" s="14">
        <f t="shared" si="11"/>
        <v>2</v>
      </c>
      <c r="AC36" s="46" t="s">
        <v>497</v>
      </c>
      <c r="AD36" s="263" t="s">
        <v>498</v>
      </c>
      <c r="AI36" s="228"/>
    </row>
    <row r="37" spans="1:35" ht="13.5" customHeight="1" x14ac:dyDescent="0.2">
      <c r="A37" s="226"/>
      <c r="J37" s="14">
        <f>$J$34</f>
        <v>3</v>
      </c>
      <c r="M37" s="715" t="s">
        <v>462</v>
      </c>
      <c r="N37" s="806">
        <v>60</v>
      </c>
      <c r="R37" s="605"/>
      <c r="Z37" s="14">
        <f t="shared" si="11"/>
        <v>2</v>
      </c>
      <c r="AC37" s="46" t="s">
        <v>469</v>
      </c>
      <c r="AD37" s="263" t="s">
        <v>470</v>
      </c>
      <c r="AI37" s="228"/>
    </row>
    <row r="38" spans="1:35" ht="13.5" customHeight="1" x14ac:dyDescent="0.2">
      <c r="A38" s="226"/>
      <c r="J38" s="14">
        <f>$J$34</f>
        <v>3</v>
      </c>
      <c r="M38" s="715" t="s">
        <v>463</v>
      </c>
      <c r="N38" s="807">
        <v>0</v>
      </c>
      <c r="R38" s="605"/>
      <c r="Z38" s="14">
        <f t="shared" si="11"/>
        <v>2</v>
      </c>
      <c r="AC38" s="38" t="s">
        <v>466</v>
      </c>
      <c r="AD38" s="263" t="s">
        <v>465</v>
      </c>
      <c r="AI38" s="228"/>
    </row>
    <row r="39" spans="1:35" ht="13.5" customHeight="1" x14ac:dyDescent="0.2">
      <c r="A39" s="226"/>
      <c r="J39" s="14">
        <f>$J$34</f>
        <v>3</v>
      </c>
      <c r="M39" s="715" t="s">
        <v>67</v>
      </c>
      <c r="N39" s="808" t="s">
        <v>45</v>
      </c>
      <c r="R39" s="605"/>
      <c r="Z39" s="14">
        <f t="shared" si="11"/>
        <v>2</v>
      </c>
      <c r="AC39" s="38" t="s">
        <v>379</v>
      </c>
      <c r="AD39" s="263" t="s">
        <v>474</v>
      </c>
      <c r="AI39" s="228"/>
    </row>
    <row r="40" spans="1:35" ht="13.5" customHeight="1" x14ac:dyDescent="0.2">
      <c r="A40" s="226"/>
      <c r="K40" s="262"/>
      <c r="M40" s="715" t="s">
        <v>62</v>
      </c>
      <c r="N40" s="808" t="s">
        <v>45</v>
      </c>
      <c r="R40" s="253" t="str">
        <f>EX!B47</f>
        <v>Queen Street</v>
      </c>
      <c r="Y40" s="254"/>
      <c r="AC40" s="38" t="s">
        <v>467</v>
      </c>
      <c r="AD40" s="263" t="s">
        <v>515</v>
      </c>
      <c r="AI40" s="228"/>
    </row>
    <row r="41" spans="1:35" ht="13.5" customHeight="1" thickBot="1" x14ac:dyDescent="0.25">
      <c r="A41" s="238"/>
      <c r="B41" s="234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602" t="s">
        <v>471</v>
      </c>
      <c r="AD41" s="622" t="s">
        <v>472</v>
      </c>
      <c r="AE41" s="601"/>
      <c r="AF41" s="601"/>
      <c r="AG41" s="234"/>
      <c r="AH41" s="234"/>
      <c r="AI41" s="235"/>
    </row>
    <row r="42" spans="1:35" ht="13.5" customHeight="1" thickTop="1" x14ac:dyDescent="0.2"/>
    <row r="43" spans="1:35" ht="13.5" customHeight="1" x14ac:dyDescent="0.2"/>
    <row r="44" spans="1:35" ht="13.5" customHeight="1" x14ac:dyDescent="0.2"/>
  </sheetData>
  <mergeCells count="12">
    <mergeCell ref="AI19:AI26"/>
    <mergeCell ref="K35:L35"/>
    <mergeCell ref="B23:G23"/>
    <mergeCell ref="K36:L36"/>
    <mergeCell ref="A19:A26"/>
    <mergeCell ref="F16:F17"/>
    <mergeCell ref="X10:Y10"/>
    <mergeCell ref="E16:E17"/>
    <mergeCell ref="AC23:AH23"/>
    <mergeCell ref="AD29:AD30"/>
    <mergeCell ref="AE29:AE30"/>
    <mergeCell ref="X11:Y11"/>
  </mergeCells>
  <conditionalFormatting sqref="B15:I15">
    <cfRule type="cellIs" dxfId="95" priority="29" operator="greaterThan">
      <formula>0</formula>
    </cfRule>
  </conditionalFormatting>
  <conditionalFormatting sqref="B31:I31">
    <cfRule type="cellIs" dxfId="94" priority="28" operator="greaterThan">
      <formula>0</formula>
    </cfRule>
  </conditionalFormatting>
  <conditionalFormatting sqref="E16">
    <cfRule type="cellIs" dxfId="93" priority="9" operator="greaterThan">
      <formula>$F$16</formula>
    </cfRule>
  </conditionalFormatting>
  <conditionalFormatting sqref="E22">
    <cfRule type="cellIs" dxfId="92" priority="6" operator="greaterThan">
      <formula>$F$22</formula>
    </cfRule>
  </conditionalFormatting>
  <conditionalFormatting sqref="J7:J14">
    <cfRule type="cellIs" dxfId="91" priority="22" operator="greaterThan">
      <formula>0</formula>
    </cfRule>
  </conditionalFormatting>
  <conditionalFormatting sqref="J32:J39">
    <cfRule type="cellIs" dxfId="90" priority="27" operator="greaterThan">
      <formula>0</formula>
    </cfRule>
  </conditionalFormatting>
  <conditionalFormatting sqref="K36">
    <cfRule type="cellIs" dxfId="89" priority="8" operator="greaterThan">
      <formula>$K$35</formula>
    </cfRule>
  </conditionalFormatting>
  <conditionalFormatting sqref="K15:Y15 J16:J30 Z16:Z30 K31:Y31">
    <cfRule type="cellIs" dxfId="88" priority="31" operator="equal">
      <formula>0</formula>
    </cfRule>
  </conditionalFormatting>
  <conditionalFormatting sqref="P5">
    <cfRule type="cellIs" dxfId="87" priority="11" operator="notEqual">
      <formula>""</formula>
    </cfRule>
  </conditionalFormatting>
  <conditionalFormatting sqref="Q36">
    <cfRule type="cellIs" dxfId="86" priority="5" operator="greaterThan">
      <formula>$Q$35</formula>
    </cfRule>
  </conditionalFormatting>
  <conditionalFormatting sqref="R3">
    <cfRule type="cellIs" dxfId="85" priority="1" operator="notEqual">
      <formula>""</formula>
    </cfRule>
  </conditionalFormatting>
  <conditionalFormatting sqref="S10">
    <cfRule type="cellIs" dxfId="84" priority="10" operator="greaterThan">
      <formula>$S$11</formula>
    </cfRule>
  </conditionalFormatting>
  <conditionalFormatting sqref="X10">
    <cfRule type="cellIs" dxfId="83" priority="19" operator="greaterThan">
      <formula>$X$11</formula>
    </cfRule>
  </conditionalFormatting>
  <conditionalFormatting sqref="Z7:Z14">
    <cfRule type="cellIs" dxfId="82" priority="23" operator="greaterThan">
      <formula>0</formula>
    </cfRule>
  </conditionalFormatting>
  <conditionalFormatting sqref="Z32:Z39">
    <cfRule type="cellIs" dxfId="81" priority="26" operator="greaterThan">
      <formula>0</formula>
    </cfRule>
  </conditionalFormatting>
  <conditionalFormatting sqref="AA15:AH15">
    <cfRule type="cellIs" dxfId="80" priority="24" operator="greaterThan">
      <formula>0</formula>
    </cfRule>
  </conditionalFormatting>
  <conditionalFormatting sqref="AA31:AH31">
    <cfRule type="cellIs" dxfId="79" priority="25" operator="greaterThan">
      <formula>0</formula>
    </cfRule>
  </conditionalFormatting>
  <conditionalFormatting sqref="AE24">
    <cfRule type="cellIs" dxfId="78" priority="4" operator="greaterThan">
      <formula>$AD$24</formula>
    </cfRule>
  </conditionalFormatting>
  <conditionalFormatting sqref="AE29">
    <cfRule type="cellIs" dxfId="77" priority="7" operator="greaterThan">
      <formula>$AD$29</formula>
    </cfRule>
  </conditionalFormatting>
  <printOptions horizontalCentered="1" verticalCentered="1"/>
  <pageMargins left="0.43307086614173229" right="0.43307086614173229" top="0.74803149606299213" bottom="0.74803149606299213" header="0.31496062992125984" footer="0.31496062992125984"/>
  <pageSetup paperSize="9" scale="88" orientation="landscape" r:id="rId1"/>
  <headerFooter>
    <oddFooter>&amp;L&amp;8copyright:
Dr John Sampson&amp;C&amp;9&amp;F
&amp;A&amp;R&amp;9print:
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CVR</vt:lpstr>
      <vt:lpstr>eg</vt:lpstr>
      <vt:lpstr>EX</vt:lpstr>
      <vt:lpstr>NEW</vt:lpstr>
      <vt:lpstr>qtr</vt:lpstr>
      <vt:lpstr>hr</vt:lpstr>
      <vt:lpstr>ADT</vt:lpstr>
      <vt:lpstr>PK</vt:lpstr>
      <vt:lpstr>GEOM</vt:lpstr>
      <vt:lpstr>SET</vt:lpstr>
      <vt:lpstr>cap</vt:lpstr>
      <vt:lpstr>t</vt:lpstr>
      <vt:lpstr>SMY</vt:lpstr>
      <vt:lpstr>s4we</vt:lpstr>
      <vt:lpstr>+s4we</vt:lpstr>
      <vt:lpstr>GEOM!Print_Area</vt:lpstr>
      <vt:lpstr>qtr!Print_Area</vt:lpstr>
    </vt:vector>
  </TitlesOfParts>
  <Company>Jeffares &amp; Green (Pty)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Sampson</dc:creator>
  <cp:lastModifiedBy>John</cp:lastModifiedBy>
  <cp:lastPrinted>2024-08-04T14:22:59Z</cp:lastPrinted>
  <dcterms:created xsi:type="dcterms:W3CDTF">2013-10-16T06:04:09Z</dcterms:created>
  <dcterms:modified xsi:type="dcterms:W3CDTF">2025-06-10T09:56:45Z</dcterms:modified>
</cp:coreProperties>
</file>