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oma\OneDrive\Desktop\"/>
    </mc:Choice>
  </mc:AlternateContent>
  <xr:revisionPtr revIDLastSave="0" documentId="13_ncr:1_{A3155E74-5DE2-4010-A135-656FD0121FFA}" xr6:coauthVersionLast="47" xr6:coauthVersionMax="47" xr10:uidLastSave="{00000000-0000-0000-0000-000000000000}"/>
  <bookViews>
    <workbookView xWindow="-108" yWindow="-108" windowWidth="23256" windowHeight="12456" tabRatio="693" firstSheet="5" activeTab="5" xr2:uid="{00000000-000D-0000-FFFF-FFFF00000000}"/>
  </bookViews>
  <sheets>
    <sheet name="🎖️ Command Overview" sheetId="1" state="hidden" r:id="rId1"/>
    <sheet name="📋 LES Breakdown" sheetId="2" state="hidden" r:id="rId2"/>
    <sheet name="💸 FOB Expenses" sheetId="3" state="hidden" r:id="rId3"/>
    <sheet name="📊 Investment Ops" sheetId="4" state="hidden" r:id="rId4"/>
    <sheet name="🏛️RRSP &amp; Retirement" sheetId="5" state="hidden" r:id="rId5"/>
    <sheet name="💳 Debt Elimination" sheetId="6" r:id="rId6"/>
    <sheet name="🛡️ Benefits Intel" sheetId="7" state="hidden" r:id="rId7"/>
    <sheet name="✈️Relocation &amp; Deploy Planner" sheetId="8" state="hidden" r:id="rId8"/>
    <sheet name="🎯 Goals &amp; Milestones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4" l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37" i="4"/>
  <c r="E37" i="4"/>
  <c r="B37" i="4"/>
  <c r="C11" i="4"/>
  <c r="C20" i="2"/>
  <c r="C19" i="2"/>
  <c r="C18" i="2"/>
  <c r="F12" i="9"/>
  <c r="F13" i="9"/>
  <c r="D13" i="9"/>
  <c r="D12" i="9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F5" i="9" s="1"/>
  <c r="D4" i="9"/>
  <c r="F4" i="9" s="1"/>
  <c r="C26" i="8"/>
  <c r="C25" i="8"/>
  <c r="C24" i="8"/>
  <c r="C23" i="8"/>
  <c r="C22" i="8"/>
  <c r="C21" i="8"/>
  <c r="C20" i="8"/>
  <c r="C19" i="8"/>
  <c r="C18" i="8"/>
  <c r="C14" i="8"/>
  <c r="B14" i="8"/>
  <c r="E13" i="6"/>
  <c r="D13" i="6"/>
  <c r="B13" i="6"/>
  <c r="H12" i="6"/>
  <c r="G12" i="6"/>
  <c r="F12" i="6"/>
  <c r="H11" i="6"/>
  <c r="G11" i="6"/>
  <c r="F11" i="6"/>
  <c r="H9" i="6"/>
  <c r="G9" i="6"/>
  <c r="F9" i="6"/>
  <c r="H8" i="6"/>
  <c r="G8" i="6"/>
  <c r="F8" i="6"/>
  <c r="F7" i="6"/>
  <c r="F6" i="6"/>
  <c r="H5" i="6"/>
  <c r="G5" i="6"/>
  <c r="F5" i="6"/>
  <c r="H4" i="6"/>
  <c r="G4" i="6"/>
  <c r="F4" i="6"/>
  <c r="D25" i="5"/>
  <c r="C25" i="5"/>
  <c r="E16" i="5" s="1"/>
  <c r="B7" i="5"/>
  <c r="B8" i="5" s="1"/>
  <c r="C38" i="4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B38" i="4"/>
  <c r="B39" i="4" s="1"/>
  <c r="E38" i="4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D37" i="4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C37" i="4"/>
  <c r="G36" i="4"/>
  <c r="J36" i="4" s="1"/>
  <c r="B29" i="4"/>
  <c r="C27" i="4" s="1"/>
  <c r="E27" i="4" s="1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C21" i="4"/>
  <c r="E21" i="4" s="1"/>
  <c r="J20" i="4"/>
  <c r="I20" i="4"/>
  <c r="H20" i="4"/>
  <c r="G20" i="4"/>
  <c r="F20" i="4"/>
  <c r="J19" i="4"/>
  <c r="I19" i="4"/>
  <c r="H19" i="4"/>
  <c r="G19" i="4"/>
  <c r="F19" i="4"/>
  <c r="B15" i="4"/>
  <c r="D14" i="4"/>
  <c r="C14" i="4"/>
  <c r="D12" i="4"/>
  <c r="C12" i="4"/>
  <c r="D11" i="4"/>
  <c r="D10" i="4"/>
  <c r="D9" i="4"/>
  <c r="C9" i="4"/>
  <c r="D8" i="4"/>
  <c r="C8" i="4"/>
  <c r="D7" i="4"/>
  <c r="C7" i="4"/>
  <c r="D6" i="4"/>
  <c r="C6" i="4"/>
  <c r="D5" i="4"/>
  <c r="D4" i="4"/>
  <c r="C4" i="4"/>
  <c r="C88" i="3"/>
  <c r="B88" i="3"/>
  <c r="D87" i="3"/>
  <c r="D86" i="3"/>
  <c r="D85" i="3"/>
  <c r="C82" i="3"/>
  <c r="B82" i="3"/>
  <c r="D81" i="3"/>
  <c r="D80" i="3"/>
  <c r="D79" i="3"/>
  <c r="D82" i="3" s="1"/>
  <c r="D78" i="3"/>
  <c r="C75" i="3"/>
  <c r="B75" i="3"/>
  <c r="D74" i="3"/>
  <c r="D73" i="3"/>
  <c r="D72" i="3"/>
  <c r="D71" i="3"/>
  <c r="C68" i="3"/>
  <c r="B68" i="3"/>
  <c r="D67" i="3"/>
  <c r="D66" i="3"/>
  <c r="D65" i="3"/>
  <c r="D61" i="3"/>
  <c r="D60" i="3"/>
  <c r="D59" i="3"/>
  <c r="C56" i="3"/>
  <c r="B56" i="3"/>
  <c r="D55" i="3"/>
  <c r="D54" i="3"/>
  <c r="D53" i="3"/>
  <c r="C50" i="3"/>
  <c r="B50" i="3"/>
  <c r="D49" i="3"/>
  <c r="D48" i="3"/>
  <c r="D47" i="3"/>
  <c r="D46" i="3"/>
  <c r="C43" i="3"/>
  <c r="B43" i="3"/>
  <c r="D42" i="3"/>
  <c r="D41" i="3"/>
  <c r="D40" i="3"/>
  <c r="C37" i="3"/>
  <c r="B37" i="3"/>
  <c r="D36" i="3"/>
  <c r="D35" i="3"/>
  <c r="D34" i="3"/>
  <c r="D33" i="3"/>
  <c r="C30" i="3"/>
  <c r="B30" i="3"/>
  <c r="D29" i="3"/>
  <c r="D28" i="3"/>
  <c r="D27" i="3"/>
  <c r="D26" i="3"/>
  <c r="C23" i="3"/>
  <c r="B23" i="3"/>
  <c r="D22" i="3"/>
  <c r="D21" i="3"/>
  <c r="D20" i="3"/>
  <c r="D19" i="3"/>
  <c r="D18" i="3"/>
  <c r="D17" i="3"/>
  <c r="D23" i="3" s="1"/>
  <c r="C14" i="3"/>
  <c r="B14" i="3"/>
  <c r="D13" i="3"/>
  <c r="D12" i="3"/>
  <c r="D11" i="3"/>
  <c r="D8" i="3"/>
  <c r="D7" i="3"/>
  <c r="D6" i="3"/>
  <c r="D4" i="3"/>
  <c r="D47" i="2"/>
  <c r="D46" i="2"/>
  <c r="D45" i="2"/>
  <c r="B40" i="2"/>
  <c r="C39" i="2"/>
  <c r="C36" i="2"/>
  <c r="C35" i="2"/>
  <c r="C27" i="2"/>
  <c r="C17" i="2"/>
  <c r="C16" i="2"/>
  <c r="C15" i="2"/>
  <c r="B14" i="2"/>
  <c r="C14" i="2" s="1"/>
  <c r="B13" i="2"/>
  <c r="C13" i="2" s="1"/>
  <c r="B12" i="2"/>
  <c r="B10" i="2"/>
  <c r="E45" i="2" s="1"/>
  <c r="C9" i="2"/>
  <c r="C7" i="2"/>
  <c r="C6" i="2"/>
  <c r="C4" i="2"/>
  <c r="F31" i="1"/>
  <c r="E31" i="1"/>
  <c r="F30" i="1"/>
  <c r="E30" i="1"/>
  <c r="D30" i="1"/>
  <c r="C29" i="1"/>
  <c r="F29" i="1" s="1"/>
  <c r="B29" i="1"/>
  <c r="E29" i="1" s="1"/>
  <c r="C28" i="1"/>
  <c r="B28" i="1"/>
  <c r="E28" i="1" s="1"/>
  <c r="F27" i="1"/>
  <c r="E23" i="1"/>
  <c r="F19" i="1"/>
  <c r="F18" i="1"/>
  <c r="E18" i="1"/>
  <c r="G37" i="4" l="1"/>
  <c r="J37" i="4" s="1"/>
  <c r="C15" i="4"/>
  <c r="D88" i="3"/>
  <c r="B24" i="2"/>
  <c r="B41" i="2" s="1"/>
  <c r="E46" i="2"/>
  <c r="C40" i="2"/>
  <c r="H29" i="4"/>
  <c r="C19" i="4"/>
  <c r="E19" i="4" s="1"/>
  <c r="C25" i="4"/>
  <c r="E25" i="4" s="1"/>
  <c r="C23" i="4"/>
  <c r="E23" i="4" s="1"/>
  <c r="I29" i="4"/>
  <c r="J29" i="4"/>
  <c r="F29" i="4"/>
  <c r="G29" i="4"/>
  <c r="B30" i="4"/>
  <c r="C20" i="4"/>
  <c r="C22" i="4"/>
  <c r="E22" i="4" s="1"/>
  <c r="C24" i="4"/>
  <c r="E24" i="4" s="1"/>
  <c r="C26" i="4"/>
  <c r="E26" i="4" s="1"/>
  <c r="C28" i="4"/>
  <c r="E28" i="4" s="1"/>
  <c r="E24" i="5"/>
  <c r="E23" i="5"/>
  <c r="E17" i="5"/>
  <c r="E21" i="5"/>
  <c r="E22" i="5"/>
  <c r="F13" i="6"/>
  <c r="C90" i="3"/>
  <c r="D62" i="3"/>
  <c r="D50" i="3"/>
  <c r="D37" i="3"/>
  <c r="D68" i="3"/>
  <c r="D75" i="3"/>
  <c r="D14" i="3"/>
  <c r="D56" i="3"/>
  <c r="D30" i="3"/>
  <c r="D43" i="3"/>
  <c r="E47" i="2"/>
  <c r="C10" i="2"/>
  <c r="F26" i="1"/>
  <c r="D23" i="1"/>
  <c r="F21" i="1"/>
  <c r="F28" i="1"/>
  <c r="F23" i="1"/>
  <c r="E26" i="1"/>
  <c r="D15" i="4"/>
  <c r="E32" i="1"/>
  <c r="F32" i="1"/>
  <c r="B40" i="4"/>
  <c r="G39" i="4"/>
  <c r="D32" i="1"/>
  <c r="D21" i="1"/>
  <c r="B33" i="1"/>
  <c r="C12" i="2"/>
  <c r="C24" i="2" s="1"/>
  <c r="E21" i="1"/>
  <c r="D28" i="1"/>
  <c r="D18" i="1"/>
  <c r="E22" i="1"/>
  <c r="D31" i="1"/>
  <c r="I36" i="4"/>
  <c r="G7" i="6"/>
  <c r="H7" i="6" s="1"/>
  <c r="D29" i="1"/>
  <c r="B90" i="3"/>
  <c r="G38" i="4"/>
  <c r="H6" i="6"/>
  <c r="D26" i="1"/>
  <c r="D19" i="1"/>
  <c r="E19" i="1"/>
  <c r="D27" i="1"/>
  <c r="E27" i="1"/>
  <c r="E15" i="5"/>
  <c r="I37" i="4" l="1"/>
  <c r="C29" i="4"/>
  <c r="E20" i="4"/>
  <c r="D90" i="3"/>
  <c r="C27" i="7"/>
  <c r="C41" i="2"/>
  <c r="E8" i="1" s="1"/>
  <c r="H13" i="6"/>
  <c r="F22" i="1"/>
  <c r="D22" i="1"/>
  <c r="C33" i="1"/>
  <c r="D33" i="1" s="1"/>
  <c r="J38" i="4"/>
  <c r="I38" i="4"/>
  <c r="B41" i="4"/>
  <c r="G40" i="4"/>
  <c r="J39" i="4"/>
  <c r="I39" i="4"/>
  <c r="E33" i="1" l="1"/>
  <c r="I40" i="4"/>
  <c r="J40" i="4"/>
  <c r="B42" i="4"/>
  <c r="G41" i="4"/>
  <c r="J41" i="4" l="1"/>
  <c r="I41" i="4"/>
  <c r="G42" i="4"/>
  <c r="B43" i="4"/>
  <c r="B44" i="4" l="1"/>
  <c r="G43" i="4"/>
  <c r="J42" i="4"/>
  <c r="I42" i="4"/>
  <c r="I43" i="4" l="1"/>
  <c r="J43" i="4"/>
  <c r="B45" i="4"/>
  <c r="G44" i="4"/>
  <c r="J44" i="4" l="1"/>
  <c r="I44" i="4"/>
  <c r="G45" i="4"/>
  <c r="B46" i="4"/>
  <c r="B47" i="4" l="1"/>
  <c r="G46" i="4"/>
  <c r="J45" i="4"/>
  <c r="I45" i="4"/>
  <c r="I46" i="4" l="1"/>
  <c r="J46" i="4"/>
  <c r="B48" i="4"/>
  <c r="G47" i="4"/>
  <c r="J47" i="4" l="1"/>
  <c r="I47" i="4"/>
  <c r="B49" i="4"/>
  <c r="G48" i="4"/>
  <c r="J48" i="4" l="1"/>
  <c r="I48" i="4"/>
  <c r="B50" i="4"/>
  <c r="G49" i="4"/>
  <c r="I49" i="4" l="1"/>
  <c r="J49" i="4"/>
  <c r="B51" i="4"/>
  <c r="G50" i="4"/>
  <c r="J50" i="4" l="1"/>
  <c r="I50" i="4"/>
  <c r="B52" i="4"/>
  <c r="G51" i="4"/>
  <c r="J51" i="4" l="1"/>
  <c r="I51" i="4"/>
  <c r="B53" i="4"/>
  <c r="G52" i="4"/>
  <c r="J52" i="4" l="1"/>
  <c r="I52" i="4"/>
  <c r="B54" i="4"/>
  <c r="G53" i="4"/>
  <c r="B55" i="4" l="1"/>
  <c r="G54" i="4"/>
  <c r="J53" i="4"/>
  <c r="I53" i="4"/>
  <c r="J54" i="4" l="1"/>
  <c r="I54" i="4"/>
  <c r="B56" i="4"/>
  <c r="G55" i="4"/>
  <c r="I55" i="4" l="1"/>
  <c r="J55" i="4"/>
  <c r="B57" i="4"/>
  <c r="G56" i="4"/>
  <c r="J56" i="4" l="1"/>
  <c r="I56" i="4"/>
  <c r="B58" i="4"/>
  <c r="G57" i="4"/>
  <c r="J57" i="4" l="1"/>
  <c r="I57" i="4"/>
  <c r="B59" i="4"/>
  <c r="G58" i="4"/>
  <c r="I58" i="4" l="1"/>
  <c r="J58" i="4"/>
  <c r="B60" i="4"/>
  <c r="G59" i="4"/>
  <c r="J59" i="4" l="1"/>
  <c r="I59" i="4"/>
  <c r="G60" i="4"/>
  <c r="B61" i="4"/>
  <c r="B62" i="4" l="1"/>
  <c r="G61" i="4"/>
  <c r="J60" i="4"/>
  <c r="I60" i="4"/>
  <c r="I61" i="4" l="1"/>
  <c r="J61" i="4"/>
  <c r="B63" i="4"/>
  <c r="G62" i="4"/>
  <c r="J62" i="4" l="1"/>
  <c r="I62" i="4"/>
  <c r="G63" i="4"/>
  <c r="B64" i="4"/>
  <c r="B65" i="4" l="1"/>
  <c r="G64" i="4"/>
  <c r="J63" i="4"/>
  <c r="I63" i="4"/>
  <c r="I64" i="4" l="1"/>
  <c r="J64" i="4"/>
  <c r="B66" i="4"/>
  <c r="G66" i="4" s="1"/>
  <c r="G65" i="4"/>
  <c r="J65" i="4" l="1"/>
  <c r="I65" i="4"/>
  <c r="J66" i="4"/>
  <c r="I66" i="4"/>
</calcChain>
</file>

<file path=xl/sharedStrings.xml><?xml version="1.0" encoding="utf-8"?>
<sst xmlns="http://schemas.openxmlformats.org/spreadsheetml/2006/main" count="587" uniqueCount="443">
  <si>
    <t>Blue = Input (your data)   |   Black = Calculated   |   Update inputs on each tab — this dashboard auto-updates</t>
  </si>
  <si>
    <t>SOLDIER PROFILE</t>
  </si>
  <si>
    <t>MONTHLY SITREP</t>
  </si>
  <si>
    <t>Rank / Grade</t>
  </si>
  <si>
    <t>💰 Monthly Gross Pay</t>
  </si>
  <si>
    <t>Name (Last, First)</t>
  </si>
  <si>
    <t>🏠 Total Allowances</t>
  </si>
  <si>
    <t>MOS / Rate</t>
  </si>
  <si>
    <t>✂️  Total Deductions</t>
  </si>
  <si>
    <t>Unit / Command</t>
  </si>
  <si>
    <t>🎯 Net Take-Home Pay</t>
  </si>
  <si>
    <t>Years of Service</t>
  </si>
  <si>
    <t>🛒 Monthly Expenses</t>
  </si>
  <si>
    <t>Deployment Status</t>
  </si>
  <si>
    <t>📈 Monthly Investments</t>
  </si>
  <si>
    <t>Dependents</t>
  </si>
  <si>
    <t>🏦 Emergency Fund</t>
  </si>
  <si>
    <t>💳 Total Debt</t>
  </si>
  <si>
    <t>📊 Net Worth</t>
  </si>
  <si>
    <t>🎖️ Savings Rate</t>
  </si>
  <si>
    <t>MISSION BUDGET GAUGE (Monthly)</t>
  </si>
  <si>
    <t>Category</t>
  </si>
  <si>
    <t>Budgeted ($)</t>
  </si>
  <si>
    <t>Actual ($)</t>
  </si>
  <si>
    <t>Variance ($)</t>
  </si>
  <si>
    <t>Variance %</t>
  </si>
  <si>
    <t>Status</t>
  </si>
  <si>
    <t>Housing (Rent/Mortgage)</t>
  </si>
  <si>
    <t>Utilities</t>
  </si>
  <si>
    <t>Child Care / Dependents</t>
  </si>
  <si>
    <t>Entertainment / PX</t>
  </si>
  <si>
    <t>Clothing / Gear</t>
  </si>
  <si>
    <t>Savings / Investing</t>
  </si>
  <si>
    <t>Debt Payments</t>
  </si>
  <si>
    <t>TOTAL</t>
  </si>
  <si>
    <t>📊 PORTFOLIO SNAPSHOT (see Investment Ops tab for full charts)</t>
  </si>
  <si>
    <t>📋  LES BREAKDOWN — Leave &amp; Earnings Statement</t>
  </si>
  <si>
    <t>Pay / Allowance Item</t>
  </si>
  <si>
    <t>Annual ($)</t>
  </si>
  <si>
    <t>Monthly ($)</t>
  </si>
  <si>
    <t>Notes</t>
  </si>
  <si>
    <t>⚡ BASE PAY (Entitlements)</t>
  </si>
  <si>
    <t>Source: 2025 Military Pay Chart</t>
  </si>
  <si>
    <t>If applicable</t>
  </si>
  <si>
    <t>Jump / Flight / Sub Pay</t>
  </si>
  <si>
    <t>TOTAL BASE PAY</t>
  </si>
  <si>
    <t>🏠 ALLOWANCES (Non-Taxable)</t>
  </si>
  <si>
    <t>COLA (Cost of Living Allowance)</t>
  </si>
  <si>
    <t>Clothing Allowance (annual)</t>
  </si>
  <si>
    <t>TOTAL ALLOWANCES</t>
  </si>
  <si>
    <t>✂️  DEDUCTIONS &amp; ALLOTMENTS</t>
  </si>
  <si>
    <t>Exempt for most military</t>
  </si>
  <si>
    <t>$400k coverage = $27/mo</t>
  </si>
  <si>
    <t>After-tax</t>
  </si>
  <si>
    <t>Court-ordered allotments</t>
  </si>
  <si>
    <t>TOTAL DEDUCTIONS</t>
  </si>
  <si>
    <t>NET TAKE-HOME PAY</t>
  </si>
  <si>
    <t>🏖️  LEAVE TRACKER</t>
  </si>
  <si>
    <t>Leave Type</t>
  </si>
  <si>
    <t>Days Accrued</t>
  </si>
  <si>
    <t>Days Used</t>
  </si>
  <si>
    <t>Days Remaining</t>
  </si>
  <si>
    <t>Value ($)</t>
  </si>
  <si>
    <t>Annual Leave</t>
  </si>
  <si>
    <t>Sold Leave (terminal)</t>
  </si>
  <si>
    <t>Combat Zone Leave Credit</t>
  </si>
  <si>
    <t>💸  FOB EXPENSES — Field Operating Budget</t>
  </si>
  <si>
    <t>Expense Category</t>
  </si>
  <si>
    <t>Budgeted ($/mo)</t>
  </si>
  <si>
    <t>Actual ($/mo)</t>
  </si>
  <si>
    <t>YTD Actual ($)</t>
  </si>
  <si>
    <t>🏠 HOUSING &amp; UTILITIES</t>
  </si>
  <si>
    <t>On-Post Housing (out-of-pocket)</t>
  </si>
  <si>
    <t>Electricity / Gas</t>
  </si>
  <si>
    <t>Water / Sewer</t>
  </si>
  <si>
    <t>Renters / Homeowner Insurance</t>
  </si>
  <si>
    <t>Storage Unit (during PCS/deployment)</t>
  </si>
  <si>
    <t xml:space="preserve">  Subtotal</t>
  </si>
  <si>
    <t>🚗 TRANSPORT (POV / MOTOR POOL)</t>
  </si>
  <si>
    <t>Car Payment</t>
  </si>
  <si>
    <t>Auto Insurance</t>
  </si>
  <si>
    <t>Fuel / Gas</t>
  </si>
  <si>
    <t>Maintenance / Repairs</t>
  </si>
  <si>
    <t>Registration / Tags</t>
  </si>
  <si>
    <t>Uber / Lyft / Rideshare</t>
  </si>
  <si>
    <t>Commissary / Groceries</t>
  </si>
  <si>
    <t>Dining Out / Restaurants</t>
  </si>
  <si>
    <t>🧒 FAMILY &amp; DEPENDENTS</t>
  </si>
  <si>
    <t>Child Care / CDC</t>
  </si>
  <si>
    <t>School Fees / Supplies</t>
  </si>
  <si>
    <t>Child Support / Alimony</t>
  </si>
  <si>
    <t>Pet Care</t>
  </si>
  <si>
    <t>👕 CLOTHING &amp; GEAR</t>
  </si>
  <si>
    <t>Uniform Items / Alterations</t>
  </si>
  <si>
    <t>Civilian Clothing</t>
  </si>
  <si>
    <t>PT / Outdoor Gear</t>
  </si>
  <si>
    <t>🏥 HEALTH &amp; WELLNESS</t>
  </si>
  <si>
    <t>Prescriptions / OTC Meds</t>
  </si>
  <si>
    <t>Gym Membership (off-post)</t>
  </si>
  <si>
    <t>Mental Health / Counseling</t>
  </si>
  <si>
    <t>📱 COMMUNICATIONS &amp; TECH</t>
  </si>
  <si>
    <t>Cell Phone Plan</t>
  </si>
  <si>
    <t>Subscriptions (apps/cloud)</t>
  </si>
  <si>
    <t>Tech / Equipment</t>
  </si>
  <si>
    <t>🎮 ENTERTAINMENT &amp; R&amp;R</t>
  </si>
  <si>
    <t>Recreation / Hobbies</t>
  </si>
  <si>
    <t>Travel / Leave Expenses</t>
  </si>
  <si>
    <t>📚 EDUCATION &amp; PROFESSIONAL</t>
  </si>
  <si>
    <t>Tuition / TA Out-of-Pocket</t>
  </si>
  <si>
    <t>Books / Courses / Certs</t>
  </si>
  <si>
    <t>Professional Dues (VFW/AFSA)</t>
  </si>
  <si>
    <t>💳 DEBT SERVICE</t>
  </si>
  <si>
    <t>Credit Card Minimum Payments</t>
  </si>
  <si>
    <t>Personal Loan Payment</t>
  </si>
  <si>
    <t>Student Loan Payment</t>
  </si>
  <si>
    <t>🎯 SAVINGS &amp; INVESTING (Tracked Here)</t>
  </si>
  <si>
    <t>Emergency Fund Contribution</t>
  </si>
  <si>
    <t>Brokerage / Investment</t>
  </si>
  <si>
    <t>Savings Account</t>
  </si>
  <si>
    <t>🛡️  MISCELLANEOUS / OPSEC</t>
  </si>
  <si>
    <t>Charitable / Giving</t>
  </si>
  <si>
    <t>Gifts / Occasions</t>
  </si>
  <si>
    <t>Miscellaneous / Buffer</t>
  </si>
  <si>
    <t>🏁 GRAND TOTAL MONTHLY EXPENSES</t>
  </si>
  <si>
    <t>Emergency Fund Balance</t>
  </si>
  <si>
    <t>Total Outstanding Debt</t>
  </si>
  <si>
    <t>📊  INVESTMENT OPS — Portfolio &amp; Retirement Command Center</t>
  </si>
  <si>
    <t>🎯 MONTHLY CONTRIBUTION COMMAND</t>
  </si>
  <si>
    <t>📐 RATE OF RETURN ASSUMPTIONS (Adjustable)</t>
  </si>
  <si>
    <t>Account / Mission</t>
  </si>
  <si>
    <t>YTD ($)</t>
  </si>
  <si>
    <t>Asset Class</t>
  </si>
  <si>
    <t>Expected RoR %</t>
  </si>
  <si>
    <t>Risk Level</t>
  </si>
  <si>
    <t>Benchmark</t>
  </si>
  <si>
    <t>Medium</t>
  </si>
  <si>
    <t>S&amp;P 500</t>
  </si>
  <si>
    <t>Tax-free in retirement</t>
  </si>
  <si>
    <t>Med-High</t>
  </si>
  <si>
    <t>DJ Total Market</t>
  </si>
  <si>
    <t>MSCI EAFE</t>
  </si>
  <si>
    <t>Low</t>
  </si>
  <si>
    <t>Bloomberg US Agg</t>
  </si>
  <si>
    <t>Max $7k/yr 2025</t>
  </si>
  <si>
    <t>Very Low</t>
  </si>
  <si>
    <t>Special Treasury</t>
  </si>
  <si>
    <t>VTI / VOO</t>
  </si>
  <si>
    <t>Emergency Fund (HYSA)</t>
  </si>
  <si>
    <t>Mixed</t>
  </si>
  <si>
    <t>None</t>
  </si>
  <si>
    <t>APY — varies</t>
  </si>
  <si>
    <t>Low-Med</t>
  </si>
  <si>
    <t>Target date</t>
  </si>
  <si>
    <t>Crypto / Alt Assets</t>
  </si>
  <si>
    <t>SDP</t>
  </si>
  <si>
    <t>Guaranteed 10%</t>
  </si>
  <si>
    <t>TOTAL MONTHLY INVESTING</t>
  </si>
  <si>
    <t>🏦 CURRENT PORTFOLIO BALANCES</t>
  </si>
  <si>
    <t>Account</t>
  </si>
  <si>
    <t>Balance ($)</t>
  </si>
  <si>
    <t>Allocation %</t>
  </si>
  <si>
    <t>Target %</t>
  </si>
  <si>
    <t>Δ vs Target</t>
  </si>
  <si>
    <t>Est. Annual Return ($)</t>
  </si>
  <si>
    <t>Est. 5-Yr Value ($)</t>
  </si>
  <si>
    <t>Est. 10-Yr Value ($)</t>
  </si>
  <si>
    <t>Est. 20-Yr Value ($)</t>
  </si>
  <si>
    <t>Est. 30-Yr Value ($)</t>
  </si>
  <si>
    <t>TOTAL PORTFOLIO</t>
  </si>
  <si>
    <t>NET WORTH (Portfolio + Cash)</t>
  </si>
  <si>
    <t>📈 PORTFOLIO GROWTH PROJECTION (Monthly Snapshots — Adjustable)</t>
  </si>
  <si>
    <t>Year</t>
  </si>
  <si>
    <t>Total Portfolio ($)</t>
  </si>
  <si>
    <t>Net Contributions ($)</t>
  </si>
  <si>
    <t>Investment Gains ($)</t>
  </si>
  <si>
    <t>Cumulative RoR %</t>
  </si>
  <si>
    <t>⚖️  RETIREMENT SYSTEM SELECTOR</t>
  </si>
  <si>
    <t>Retirement System</t>
  </si>
  <si>
    <t>Years to Retirement Eligibility</t>
  </si>
  <si>
    <t>Avg of 3 highest years</t>
  </si>
  <si>
    <t>Pension Multiplier % (legacy: 2.5%/yr)</t>
  </si>
  <si>
    <t>Est. Annual Pension ($)</t>
  </si>
  <si>
    <t>Monthly Pension ($)</t>
  </si>
  <si>
    <t>SBP (Survivor Benefit Plan)?</t>
  </si>
  <si>
    <t>YES</t>
  </si>
  <si>
    <t>Fund</t>
  </si>
  <si>
    <t>Description</t>
  </si>
  <si>
    <t>Current Balance ($)</t>
  </si>
  <si>
    <t>Monthly Contribution ($)</t>
  </si>
  <si>
    <t>Risk</t>
  </si>
  <si>
    <t>10-Yr Avg RoR</t>
  </si>
  <si>
    <t>Gov't Securities (safe)</t>
  </si>
  <si>
    <t>Fixed Income (bonds)</t>
  </si>
  <si>
    <t>International Stock</t>
  </si>
  <si>
    <t>Decreasing</t>
  </si>
  <si>
    <t>Near-Retirement</t>
  </si>
  <si>
    <t>💳  DEBT ELIMINATION — Operation Financial Freedom</t>
  </si>
  <si>
    <t>🎯 DEBT INVENTORY</t>
  </si>
  <si>
    <t>Debt Name</t>
  </si>
  <si>
    <t>Interest Rate %</t>
  </si>
  <si>
    <t>Min. Payment ($)</t>
  </si>
  <si>
    <t>Extra Payment ($)</t>
  </si>
  <si>
    <t>Total Payment ($)</t>
  </si>
  <si>
    <t>Months to Payoff</t>
  </si>
  <si>
    <t>Total Interest Paid ($)</t>
  </si>
  <si>
    <t>Auto Loan (POV)</t>
  </si>
  <si>
    <t>Student Loan</t>
  </si>
  <si>
    <t>Personal Loan</t>
  </si>
  <si>
    <t>Other</t>
  </si>
  <si>
    <t>TOTAL DEBT</t>
  </si>
  <si>
    <t>⚔️  PAYOFF STRATEGY COMPARISON</t>
  </si>
  <si>
    <t>Avalanche (Highest Rate First)</t>
  </si>
  <si>
    <t>Pay minimums on all; extra payment → highest APR first</t>
  </si>
  <si>
    <t>Saves most interest</t>
  </si>
  <si>
    <t>Snowball (Lowest Balance First)</t>
  </si>
  <si>
    <t>Pay minimums on all; extra payment → lowest balance first</t>
  </si>
  <si>
    <t>Best for motivation</t>
  </si>
  <si>
    <t>Hybrid (Snowflake)</t>
  </si>
  <si>
    <t>Avalanche with quick snowball wins for accounts ≤ $1k</t>
  </si>
  <si>
    <t>Recommended for military</t>
  </si>
  <si>
    <t>Debt Consolidation</t>
  </si>
  <si>
    <t>Reduces rate overhead</t>
  </si>
  <si>
    <t>🛡️  BENEFITS INTEL — Military Financial Advantages</t>
  </si>
  <si>
    <t>CATEGORY</t>
  </si>
  <si>
    <t>BENEFIT</t>
  </si>
  <si>
    <t>ANNUAL VALUE ($)</t>
  </si>
  <si>
    <t>STATUS / NOTES</t>
  </si>
  <si>
    <t>ACTION</t>
  </si>
  <si>
    <t>HOUSING</t>
  </si>
  <si>
    <t>Non-taxable</t>
  </si>
  <si>
    <t>Verify w/ finance</t>
  </si>
  <si>
    <t>FOOD</t>
  </si>
  <si>
    <t>HEALTHCARE</t>
  </si>
  <si>
    <t>Enroll at MTF</t>
  </si>
  <si>
    <t>EDUCATION</t>
  </si>
  <si>
    <t>RETIREMENT</t>
  </si>
  <si>
    <t>LIFE INS</t>
  </si>
  <si>
    <t>Convert within 240 days ETS</t>
  </si>
  <si>
    <t>TAX</t>
  </si>
  <si>
    <t>Combat Zone Tax Exclusion</t>
  </si>
  <si>
    <t>All pay excluded in CZ</t>
  </si>
  <si>
    <t>Partial — DPS calculator</t>
  </si>
  <si>
    <t>State Tax Exemptions</t>
  </si>
  <si>
    <t>Some states exempt mil pay</t>
  </si>
  <si>
    <t>LEGAL</t>
  </si>
  <si>
    <t>JAG Legal Services (free)</t>
  </si>
  <si>
    <t>Wills, POA, tax assist</t>
  </si>
  <si>
    <t>SHOPPING</t>
  </si>
  <si>
    <t>~30% savings vs retail</t>
  </si>
  <si>
    <t>No sales tax</t>
  </si>
  <si>
    <t>RECREATION</t>
  </si>
  <si>
    <t>MWR Discounts</t>
  </si>
  <si>
    <t>Travel, lodging, recreation</t>
  </si>
  <si>
    <t>Space-A Travel</t>
  </si>
  <si>
    <t>Free military flights</t>
  </si>
  <si>
    <t>HOMEBUYING</t>
  </si>
  <si>
    <t>ESTIMATED TOTAL ANNUAL BENEFITS VALUE</t>
  </si>
  <si>
    <t>Item</t>
  </si>
  <si>
    <t>Gov't Pays ($)</t>
  </si>
  <si>
    <t>Out-of-Pocket ($)</t>
  </si>
  <si>
    <t>Lodging En Route</t>
  </si>
  <si>
    <t>Receipt reimbursed</t>
  </si>
  <si>
    <t>Per Diem (meals)</t>
  </si>
  <si>
    <t>Partial reimb.</t>
  </si>
  <si>
    <t>Vehicle Transport</t>
  </si>
  <si>
    <t>Realtor Fees / Closing</t>
  </si>
  <si>
    <t>Lease Break Penalty</t>
  </si>
  <si>
    <t>Utility Hookups</t>
  </si>
  <si>
    <t>New duty station</t>
  </si>
  <si>
    <t>School enrollment fees</t>
  </si>
  <si>
    <t>Storage (if excess weight)</t>
  </si>
  <si>
    <t>Miscellaneous</t>
  </si>
  <si>
    <t>🎖️  DEPLOYMENT FINANCIAL PLAN</t>
  </si>
  <si>
    <t>Action Required</t>
  </si>
  <si>
    <t>Submit through finance</t>
  </si>
  <si>
    <t>Accelerate Debt Payoff</t>
  </si>
  <si>
    <t>Use extra cash — snowball</t>
  </si>
  <si>
    <t>Build Emergency Fund</t>
  </si>
  <si>
    <t>If not fully funded</t>
  </si>
  <si>
    <t>🎯  MISSION OBJECTIVES — Financial Goals &amp; Milestones</t>
  </si>
  <si>
    <t>FINANCIAL MILESTONES TRACKER</t>
  </si>
  <si>
    <t>Objective</t>
  </si>
  <si>
    <t>Target ($)</t>
  </si>
  <si>
    <t>Current ($)</t>
  </si>
  <si>
    <t>% Complete</t>
  </si>
  <si>
    <t>Target Date</t>
  </si>
  <si>
    <t>Priority</t>
  </si>
  <si>
    <t>Emergency Fund (3-6 months expenses)</t>
  </si>
  <si>
    <t>2026-06</t>
  </si>
  <si>
    <t>High</t>
  </si>
  <si>
    <t>Pay off Credit Cards (Zero)</t>
  </si>
  <si>
    <t>2025-12</t>
  </si>
  <si>
    <t>Pay off Auto Loan</t>
  </si>
  <si>
    <t>2027-06</t>
  </si>
  <si>
    <t>2028-01</t>
  </si>
  <si>
    <t>House Down Payment (VA = $0 down)</t>
  </si>
  <si>
    <t>2026-01</t>
  </si>
  <si>
    <t>College Fund: $25k per child</t>
  </si>
  <si>
    <t>2035-01</t>
  </si>
  <si>
    <t>Reach $100k Net Worth</t>
  </si>
  <si>
    <t>2029-01</t>
  </si>
  <si>
    <t>2028-06</t>
  </si>
  <si>
    <t>Retirement Portfolio $1M</t>
  </si>
  <si>
    <t>2055-01</t>
  </si>
  <si>
    <t>Long-term</t>
  </si>
  <si>
    <t>🍽️  RATION (FOOD &amp; GROCERIES)</t>
  </si>
  <si>
    <t>FSP ($/mo)</t>
  </si>
  <si>
    <t>Special Allocation ($/mo)</t>
  </si>
  <si>
    <t>Allocation Add-on ($/mo)</t>
  </si>
  <si>
    <t>Ration (Groceries/Food)</t>
  </si>
  <si>
    <t>Comm (Internet)</t>
  </si>
  <si>
    <t>Comm (Phone)</t>
  </si>
  <si>
    <t>Life Insurance</t>
  </si>
  <si>
    <t>Car Insurance</t>
  </si>
  <si>
    <t>POV / Car Payment</t>
  </si>
  <si>
    <t>POV / Transport Fuel</t>
  </si>
  <si>
    <t>RRSP Contribution</t>
  </si>
  <si>
    <t xml:space="preserve">TFSA Contribution </t>
  </si>
  <si>
    <t xml:space="preserve">Internet / Cable </t>
  </si>
  <si>
    <t>Streaming / Netflix / Prime</t>
  </si>
  <si>
    <t>Amazon Prime</t>
  </si>
  <si>
    <t>If Applicable</t>
  </si>
  <si>
    <t>CanadaLife / TRICARE Co-pay / Dental</t>
  </si>
  <si>
    <t>CANEX / PX / BX Spending</t>
  </si>
  <si>
    <t>Second mortgage</t>
  </si>
  <si>
    <t>RRSP / Retirement Contribution</t>
  </si>
  <si>
    <t>Credit Card 1 (VISA)</t>
  </si>
  <si>
    <t>Credit Card 2 (Master Card)</t>
  </si>
  <si>
    <t>Mortgage</t>
  </si>
  <si>
    <t>CANEX Loan</t>
  </si>
  <si>
    <t>✈️  RELOCATION &amp; DEPLOYMENT FINANCIAL PLANNER</t>
  </si>
  <si>
    <t>📦 Posting (Relocation / Posting Season) COST TRACKER</t>
  </si>
  <si>
    <t>RELOCATION TOTAL</t>
  </si>
  <si>
    <t>Increase Automatic Savings Contribution</t>
  </si>
  <si>
    <t>Expected Extra Pay</t>
  </si>
  <si>
    <t>Special Allowance (Special Allowance)</t>
  </si>
  <si>
    <t xml:space="preserve">Danger Pay / Hazard Pay </t>
  </si>
  <si>
    <t>Sea Pay</t>
  </si>
  <si>
    <t>Field Pay</t>
  </si>
  <si>
    <t>Move Allowance</t>
  </si>
  <si>
    <t>Based on X Moves</t>
  </si>
  <si>
    <t>RRSP Balance: $50k</t>
  </si>
  <si>
    <t>Max TFSA/CELI ($7,000/yr)</t>
  </si>
  <si>
    <t>CASH</t>
  </si>
  <si>
    <t>Rent Share (OUTCAN)</t>
  </si>
  <si>
    <t xml:space="preserve">Ration /Quarter </t>
  </si>
  <si>
    <t>TRICARE Dental (OUTCAN)</t>
  </si>
  <si>
    <t>TRICARE (OUTCAN)</t>
  </si>
  <si>
    <t>CAF Coverage / Out of pocket</t>
  </si>
  <si>
    <t>TRICARE Vision (OUTCAN)</t>
  </si>
  <si>
    <t>RRSP (Automatic Transfer)</t>
  </si>
  <si>
    <t>TFSA (Automatic Transfer)</t>
  </si>
  <si>
    <t>Tuition  + books</t>
  </si>
  <si>
    <t>DND Does not match</t>
  </si>
  <si>
    <t>Elect Auto Transfer</t>
  </si>
  <si>
    <t>Value ($400k)</t>
  </si>
  <si>
    <t>LIFE INS SPOUSE</t>
  </si>
  <si>
    <t>LIFE INS FAMILY</t>
  </si>
  <si>
    <t>$400k/$20 per mo</t>
  </si>
  <si>
    <t>Moving / Relocation</t>
  </si>
  <si>
    <t>CANEX Savings</t>
  </si>
  <si>
    <t xml:space="preserve">CAF Loan </t>
  </si>
  <si>
    <t>Miscelaneous</t>
  </si>
  <si>
    <t>Utility Share (OUTCAN)</t>
  </si>
  <si>
    <t>🏛️  RRSP &amp; RETIREMENT — Savings Plan Command</t>
  </si>
  <si>
    <t>📊 RRSP FUND ALLOCATION STRATEGY</t>
  </si>
  <si>
    <t>Employment Match (%)</t>
  </si>
  <si>
    <t>Employment Match Received (%)</t>
  </si>
  <si>
    <t>Covers spouse at X% of pension</t>
  </si>
  <si>
    <t>Est. High-5 Base Pay ($)</t>
  </si>
  <si>
    <t>Immediate Annuity</t>
  </si>
  <si>
    <t>Legacy = 25-yr pension only</t>
  </si>
  <si>
    <t>RETIREMENT ALLOCATION TOTAL</t>
  </si>
  <si>
    <t>Dividend Stocks</t>
  </si>
  <si>
    <t>Fixed Income (dividends)</t>
  </si>
  <si>
    <t>Stock</t>
  </si>
  <si>
    <t>S &amp; P 500</t>
  </si>
  <si>
    <t>FinTech</t>
  </si>
  <si>
    <t>TFSA CAD</t>
  </si>
  <si>
    <t>TFSA USD</t>
  </si>
  <si>
    <t>RRSP CAD</t>
  </si>
  <si>
    <t>RRSP USD</t>
  </si>
  <si>
    <t>FHSA</t>
  </si>
  <si>
    <t>EF (Emergency Fund)</t>
  </si>
  <si>
    <t>RESP Education Fund</t>
  </si>
  <si>
    <t>Others</t>
  </si>
  <si>
    <t>Brokerage (Taxable) CAD</t>
  </si>
  <si>
    <t>Brokerage (Taxable) USD</t>
  </si>
  <si>
    <t>Others TD</t>
  </si>
  <si>
    <t>Hazardous Duty Pay</t>
  </si>
  <si>
    <t>Instruction Pay</t>
  </si>
  <si>
    <t>Specialist Pay</t>
  </si>
  <si>
    <t>Allowance for Housing</t>
  </si>
  <si>
    <t>Allowance for Subsistence</t>
  </si>
  <si>
    <t>Foreign Service Premium Allow.</t>
  </si>
  <si>
    <t>Imp Restriction Allow.</t>
  </si>
  <si>
    <t>Post Living Allow. PLA</t>
  </si>
  <si>
    <t>Field Allowance</t>
  </si>
  <si>
    <t>Sea Allowance</t>
  </si>
  <si>
    <t>Operational Allow.</t>
  </si>
  <si>
    <t>Federal Income Tax (estimate.)</t>
  </si>
  <si>
    <t>Varies —  calc</t>
  </si>
  <si>
    <t>Post Specific Allow.</t>
  </si>
  <si>
    <t>Rent / Mortgage (OUTCAN)</t>
  </si>
  <si>
    <t>Utilities (OUTCAN)</t>
  </si>
  <si>
    <t xml:space="preserve">Coffee / Snacks </t>
  </si>
  <si>
    <t xml:space="preserve">Meal Card Offset </t>
  </si>
  <si>
    <t>Provincial Income Tax</t>
  </si>
  <si>
    <t>Exception of Quebec</t>
  </si>
  <si>
    <t>Super Annuation / Pension</t>
  </si>
  <si>
    <t>CPP</t>
  </si>
  <si>
    <t>CPP / RRQ</t>
  </si>
  <si>
    <t>Death Benefits / Prest Deces</t>
  </si>
  <si>
    <t>Prestation de deces</t>
  </si>
  <si>
    <t>Disability / Invalidite</t>
  </si>
  <si>
    <t xml:space="preserve">Medical Insurance </t>
  </si>
  <si>
    <t>Group Term Ins. Member</t>
  </si>
  <si>
    <t>Group Term Ins. Spouse</t>
  </si>
  <si>
    <t>Pre-Tax</t>
  </si>
  <si>
    <t xml:space="preserve">Others </t>
  </si>
  <si>
    <t>Regular Force Pay (per grade/YOS)</t>
  </si>
  <si>
    <t>Reserve Force Pay (per grade/YOS)</t>
  </si>
  <si>
    <t>Automatic Transfer</t>
  </si>
  <si>
    <t xml:space="preserve">If Enrolled </t>
  </si>
  <si>
    <t>RRSP / REER</t>
  </si>
  <si>
    <t>TFSA / CELI</t>
  </si>
  <si>
    <t>Employer Matching Contribution</t>
  </si>
  <si>
    <t>FHSA / CELIAPP</t>
  </si>
  <si>
    <t>RESP (dependents)</t>
  </si>
  <si>
    <t>Individual (Savings Dep. Program)</t>
  </si>
  <si>
    <t>Brokerage Account (taxable) USD</t>
  </si>
  <si>
    <t>Brokerage Account (taxable) CAD</t>
  </si>
  <si>
    <t>Tax-free Growth</t>
  </si>
  <si>
    <t>Max $8k/yr 2023-2027</t>
  </si>
  <si>
    <t>TFSA Balance (9%)</t>
  </si>
  <si>
    <t>RRSP (9%)</t>
  </si>
  <si>
    <t>Brokerage Account (9%)</t>
  </si>
  <si>
    <t>EF (4.5%)</t>
  </si>
  <si>
    <t>DIVIDEND Portfolio ($)</t>
  </si>
  <si>
    <t>SGT</t>
  </si>
  <si>
    <t xml:space="preserve"> MISSION FINANCES — PERSONAL FINANCIAL OPERATIONS CENTER</t>
  </si>
  <si>
    <t>Other Loan</t>
  </si>
  <si>
    <t>CAF Personal Loan to consolidate high-rate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</si>
</sst>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0.0%"/>
    <numFmt numFmtId="166" formatCode="0.0%;\(0.0%\);\-"/>
    <numFmt numFmtId="167" formatCode="0.00%;\(0.00%\);\-"/>
    <numFmt numFmtId="168" formatCode="0.0"/>
  </numFmts>
  <fonts count="20" x14ac:knownFonts="1">
    <font>
      <sz val="11"/>
      <color theme="1"/>
      <name val="Calibri"/>
      <family val="2"/>
      <charset val="1"/>
    </font>
    <font>
      <b/>
      <sz val="16"/>
      <color rgb="FFFFD700"/>
      <name val="Arial"/>
      <charset val="1"/>
    </font>
    <font>
      <i/>
      <sz val="9"/>
      <color rgb="FF666666"/>
      <name val="Arial"/>
      <charset val="1"/>
    </font>
    <font>
      <b/>
      <sz val="12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b/>
      <sz val="11"/>
      <color rgb="FF3B5323"/>
      <name val="Arial"/>
      <charset val="1"/>
    </font>
    <font>
      <b/>
      <sz val="11"/>
      <color rgb="FFC0392B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1"/>
      <color rgb="FF000000"/>
      <name val="Arial"/>
      <charset val="1"/>
    </font>
    <font>
      <b/>
      <sz val="14"/>
      <color rgb="FFFFFFFF"/>
      <name val="Arial"/>
      <charset val="1"/>
    </font>
    <font>
      <b/>
      <sz val="12"/>
      <color rgb="FFFFD700"/>
      <name val="Arial"/>
      <charset val="1"/>
    </font>
    <font>
      <b/>
      <sz val="11"/>
      <color rgb="FFFFD700"/>
      <name val="Arial"/>
      <charset val="1"/>
    </font>
    <font>
      <sz val="10"/>
      <color rgb="FFC0392B"/>
      <name val="Arial"/>
      <charset val="1"/>
    </font>
    <font>
      <b/>
      <sz val="11"/>
      <color rgb="FFFFFFFF"/>
      <name val="Arial"/>
      <charset val="1"/>
    </font>
    <font>
      <b/>
      <sz val="10"/>
      <color rgb="FF4A7C59"/>
      <name val="Arial"/>
      <charset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3A1A"/>
        <bgColor rgb="FF003300"/>
      </patternFill>
    </fill>
    <fill>
      <patternFill patternType="solid">
        <fgColor rgb="FF3B5323"/>
        <bgColor rgb="FF1A3A1A"/>
      </patternFill>
    </fill>
    <fill>
      <patternFill patternType="solid">
        <fgColor rgb="FF81613C"/>
        <bgColor rgb="FF666666"/>
      </patternFill>
    </fill>
    <fill>
      <patternFill patternType="solid">
        <fgColor rgb="FFEEF4FF"/>
        <bgColor rgb="FFF9F9F9"/>
      </patternFill>
    </fill>
    <fill>
      <patternFill patternType="solid">
        <fgColor rgb="FF4A7C59"/>
        <bgColor rgb="FF666666"/>
      </patternFill>
    </fill>
    <fill>
      <patternFill patternType="solid">
        <fgColor rgb="FFF5F0E8"/>
        <bgColor rgb="FFEEF4FF"/>
      </patternFill>
    </fill>
    <fill>
      <patternFill patternType="solid">
        <fgColor rgb="FFFFFFFF"/>
        <bgColor rgb="FFF9F9F9"/>
      </patternFill>
    </fill>
    <fill>
      <patternFill patternType="solid">
        <fgColor rgb="FFC2B280"/>
        <bgColor rgb="FFAAAAAA"/>
      </patternFill>
    </fill>
    <fill>
      <patternFill patternType="solid">
        <fgColor rgb="FF8B0000"/>
        <bgColor rgb="FF800000"/>
      </patternFill>
    </fill>
  </fills>
  <borders count="3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/>
    <xf numFmtId="164" fontId="5" fillId="5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/>
    </xf>
    <xf numFmtId="164" fontId="9" fillId="7" borderId="2" xfId="0" applyNumberFormat="1" applyFont="1" applyFill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0" fillId="7" borderId="2" xfId="0" applyFill="1" applyBorder="1" applyAlignment="1"/>
    <xf numFmtId="0" fontId="9" fillId="8" borderId="2" xfId="0" applyFont="1" applyFill="1" applyBorder="1" applyAlignment="1">
      <alignment horizontal="left" vertical="center"/>
    </xf>
    <xf numFmtId="164" fontId="9" fillId="8" borderId="2" xfId="0" applyNumberFormat="1" applyFont="1" applyFill="1" applyBorder="1" applyAlignment="1">
      <alignment horizontal="right" vertical="center"/>
    </xf>
    <xf numFmtId="0" fontId="10" fillId="8" borderId="2" xfId="0" applyFont="1" applyFill="1" applyBorder="1" applyAlignment="1">
      <alignment horizontal="center" vertical="center"/>
    </xf>
    <xf numFmtId="0" fontId="0" fillId="8" borderId="2" xfId="0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1" fontId="5" fillId="5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Border="1" applyAlignment="1">
      <alignment horizontal="right" vertical="center"/>
    </xf>
    <xf numFmtId="0" fontId="9" fillId="7" borderId="2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  <xf numFmtId="164" fontId="9" fillId="9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/>
    <xf numFmtId="0" fontId="8" fillId="4" borderId="2" xfId="0" applyFont="1" applyFill="1" applyBorder="1" applyAlignment="1">
      <alignment horizontal="center" vertical="center" wrapText="1"/>
    </xf>
    <xf numFmtId="0" fontId="0" fillId="9" borderId="0" xfId="0" applyFill="1" applyAlignment="1"/>
    <xf numFmtId="0" fontId="14" fillId="2" borderId="2" xfId="0" applyFont="1" applyFill="1" applyBorder="1" applyAlignment="1">
      <alignment horizontal="left" vertical="center"/>
    </xf>
    <xf numFmtId="166" fontId="14" fillId="2" borderId="0" xfId="0" applyNumberFormat="1" applyFont="1" applyFill="1" applyAlignment="1"/>
    <xf numFmtId="0" fontId="14" fillId="2" borderId="0" xfId="0" applyFont="1" applyFill="1" applyAlignment="1"/>
    <xf numFmtId="164" fontId="13" fillId="2" borderId="0" xfId="0" applyNumberFormat="1" applyFont="1" applyFill="1" applyAlignment="1"/>
    <xf numFmtId="0" fontId="9" fillId="7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vertical="center"/>
    </xf>
    <xf numFmtId="0" fontId="0" fillId="7" borderId="0" xfId="0" applyFill="1" applyAlignment="1"/>
    <xf numFmtId="0" fontId="4" fillId="8" borderId="2" xfId="0" applyFont="1" applyFill="1" applyBorder="1" applyAlignment="1">
      <alignment horizontal="left" vertical="center"/>
    </xf>
    <xf numFmtId="0" fontId="0" fillId="8" borderId="0" xfId="0" applyFill="1" applyAlignment="1"/>
    <xf numFmtId="0" fontId="8" fillId="10" borderId="2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indent="1"/>
    </xf>
    <xf numFmtId="0" fontId="19" fillId="8" borderId="2" xfId="0" applyFont="1" applyFill="1" applyBorder="1" applyAlignment="1">
      <alignment horizontal="left" vertical="center" indent="1"/>
    </xf>
    <xf numFmtId="164" fontId="5" fillId="5" borderId="2" xfId="0" applyNumberFormat="1" applyFont="1" applyFill="1" applyBorder="1" applyAlignment="1">
      <alignment horizontal="center" vertical="center"/>
    </xf>
    <xf numFmtId="166" fontId="9" fillId="7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7" fontId="5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/>
    </xf>
    <xf numFmtId="164" fontId="9" fillId="8" borderId="2" xfId="0" applyNumberFormat="1" applyFont="1" applyFill="1" applyBorder="1" applyAlignment="1">
      <alignment horizontal="center"/>
    </xf>
    <xf numFmtId="168" fontId="9" fillId="7" borderId="2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center"/>
    </xf>
    <xf numFmtId="168" fontId="9" fillId="8" borderId="2" xfId="0" applyNumberFormat="1" applyFont="1" applyFill="1" applyBorder="1" applyAlignment="1">
      <alignment horizontal="center"/>
    </xf>
    <xf numFmtId="164" fontId="15" fillId="8" borderId="2" xfId="0" applyNumberFormat="1" applyFont="1" applyFill="1" applyBorder="1" applyAlignment="1">
      <alignment horizontal="center"/>
    </xf>
    <xf numFmtId="164" fontId="16" fillId="10" borderId="2" xfId="0" applyNumberFormat="1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66" fontId="9" fillId="7" borderId="2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/>
    <xf numFmtId="0" fontId="17" fillId="7" borderId="1" xfId="0" applyFont="1" applyFill="1" applyBorder="1" applyAlignment="1"/>
    <xf numFmtId="0" fontId="10" fillId="8" borderId="1" xfId="0" applyFont="1" applyFill="1" applyBorder="1" applyAlignment="1"/>
    <xf numFmtId="0" fontId="17" fillId="8" borderId="1" xfId="0" applyFont="1" applyFill="1" applyBorder="1" applyAlignment="1"/>
    <xf numFmtId="0" fontId="12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1613C"/>
      <rgbColor rgb="FF8064A2"/>
      <rgbColor rgb="FF4A7C59"/>
      <rgbColor rgb="FFB8CD97"/>
      <rgbColor rgb="FF878787"/>
      <rgbColor rgb="FF93A9CE"/>
      <rgbColor rgb="FFAB4744"/>
      <rgbColor rgb="FFF5F0E8"/>
      <rgbColor rgb="FFEEF4FF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4F81BD"/>
      <rgbColor rgb="FF0000FF"/>
      <rgbColor rgb="FF00CCFF"/>
      <rgbColor rgb="FFF9F9F9"/>
      <rgbColor rgb="FFCCFFCC"/>
      <rgbColor rgb="FFFFFF99"/>
      <rgbColor rgb="FF9BBB59"/>
      <rgbColor rgb="FFD09493"/>
      <rgbColor rgb="FFAAAAAA"/>
      <rgbColor rgb="FFC2B280"/>
      <rgbColor rgb="FF4A7EBB"/>
      <rgbColor rgb="FF4BACC6"/>
      <rgbColor rgb="FF98B855"/>
      <rgbColor rgb="FFFFD700"/>
      <rgbColor rgb="FF8AA64F"/>
      <rgbColor rgb="FFC0504D"/>
      <rgbColor rgb="FF725990"/>
      <rgbColor rgb="FFA99BBD"/>
      <rgbColor rgb="FF003366"/>
      <rgbColor rgb="FF4299B0"/>
      <rgbColor rgb="FF003300"/>
      <rgbColor rgb="FF3B5323"/>
      <rgbColor rgb="FFC0392B"/>
      <rgbColor rgb="FFBE4B48"/>
      <rgbColor rgb="FF666666"/>
      <rgbColor rgb="FF1A3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Growth Over 30 Years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'📊 Investment Ops'!$G$35</c:f>
              <c:strCache>
                <c:ptCount val="1"/>
                <c:pt idx="0">
                  <c:v>Total Portfolio ($)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Ops'!$G$36:$G$66</c:f>
              <c:numCache>
                <c:formatCode>\$#,##0;"($"#,##0\);\-</c:formatCode>
                <c:ptCount val="31"/>
                <c:pt idx="0">
                  <c:v>303477.11</c:v>
                </c:pt>
                <c:pt idx="1">
                  <c:v>342384.821</c:v>
                </c:pt>
                <c:pt idx="2">
                  <c:v>384829.30310000008</c:v>
                </c:pt>
                <c:pt idx="3">
                  <c:v>431137.1254100001</c:v>
                </c:pt>
                <c:pt idx="4">
                  <c:v>481665.28807100013</c:v>
                </c:pt>
                <c:pt idx="5">
                  <c:v>536804.07465170021</c:v>
                </c:pt>
                <c:pt idx="6">
                  <c:v>596980.17305432027</c:v>
                </c:pt>
                <c:pt idx="7">
                  <c:v>662660.09029418905</c:v>
                </c:pt>
                <c:pt idx="8">
                  <c:v>734353.88892132789</c:v>
                </c:pt>
                <c:pt idx="9">
                  <c:v>812619.27548427251</c:v>
                </c:pt>
                <c:pt idx="10">
                  <c:v>898066.07431860035</c:v>
                </c:pt>
                <c:pt idx="11">
                  <c:v>991361.1230989194</c:v>
                </c:pt>
                <c:pt idx="12">
                  <c:v>1093233.6300495672</c:v>
                </c:pt>
                <c:pt idx="13">
                  <c:v>1204481.0364945745</c:v>
                </c:pt>
                <c:pt idx="14">
                  <c:v>1325975.4325729876</c:v>
                </c:pt>
                <c:pt idx="15">
                  <c:v>1458670.5784857166</c:v>
                </c:pt>
                <c:pt idx="16">
                  <c:v>1603609.5886124303</c:v>
                </c:pt>
                <c:pt idx="17">
                  <c:v>1761933.3412828387</c:v>
                </c:pt>
                <c:pt idx="18">
                  <c:v>1934889.6829512725</c:v>
                </c:pt>
                <c:pt idx="19">
                  <c:v>2123843.5020562904</c:v>
                </c:pt>
                <c:pt idx="20">
                  <c:v>2330287.7550024283</c:v>
                </c:pt>
                <c:pt idx="21">
                  <c:v>2555855.5345386514</c:v>
                </c:pt>
                <c:pt idx="22">
                  <c:v>2802333.2793927575</c:v>
                </c:pt>
                <c:pt idx="23">
                  <c:v>3071675.2334243655</c:v>
                </c:pt>
                <c:pt idx="24">
                  <c:v>3366019.2728594858</c:v>
                </c:pt>
                <c:pt idx="25">
                  <c:v>3687704.2314528436</c:v>
                </c:pt>
                <c:pt idx="26">
                  <c:v>4039288.8657840751</c:v>
                </c:pt>
                <c:pt idx="27">
                  <c:v>4423572.6164337751</c:v>
                </c:pt>
                <c:pt idx="28">
                  <c:v>4843618.3356180098</c:v>
                </c:pt>
                <c:pt idx="29">
                  <c:v>5302777.1681091338</c:v>
                </c:pt>
                <c:pt idx="30">
                  <c:v>5804715.7900722399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50-45E9-9313-3FFF0DDED991}"/>
            </c:ext>
          </c:extLst>
        </c:ser>
        <c:ser>
          <c:idx val="1"/>
          <c:order val="1"/>
          <c:tx>
            <c:strRef>
              <c:f>'📊 Investment Ops'!$H$35</c:f>
              <c:strCache>
                <c:ptCount val="1"/>
                <c:pt idx="0">
                  <c:v>Net Contributions ($)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Ops'!$H$36:$H$66</c:f>
              <c:numCache>
                <c:formatCode>\$#,##0;"($"#,##0\);\-</c:formatCode>
                <c:ptCount val="31"/>
                <c:pt idx="0">
                  <c:v>12300</c:v>
                </c:pt>
                <c:pt idx="1">
                  <c:v>24600</c:v>
                </c:pt>
                <c:pt idx="2">
                  <c:v>36900</c:v>
                </c:pt>
                <c:pt idx="3">
                  <c:v>49200</c:v>
                </c:pt>
                <c:pt idx="4">
                  <c:v>61500</c:v>
                </c:pt>
                <c:pt idx="5">
                  <c:v>73800</c:v>
                </c:pt>
                <c:pt idx="6">
                  <c:v>86100</c:v>
                </c:pt>
                <c:pt idx="7">
                  <c:v>98400</c:v>
                </c:pt>
                <c:pt idx="8">
                  <c:v>110700</c:v>
                </c:pt>
                <c:pt idx="9">
                  <c:v>123000</c:v>
                </c:pt>
                <c:pt idx="10">
                  <c:v>135300</c:v>
                </c:pt>
                <c:pt idx="11">
                  <c:v>147600</c:v>
                </c:pt>
                <c:pt idx="12">
                  <c:v>159900</c:v>
                </c:pt>
                <c:pt idx="13">
                  <c:v>172200</c:v>
                </c:pt>
                <c:pt idx="14">
                  <c:v>184500</c:v>
                </c:pt>
                <c:pt idx="15">
                  <c:v>196800</c:v>
                </c:pt>
                <c:pt idx="16">
                  <c:v>209100</c:v>
                </c:pt>
                <c:pt idx="17">
                  <c:v>221400</c:v>
                </c:pt>
                <c:pt idx="18">
                  <c:v>233700</c:v>
                </c:pt>
                <c:pt idx="19">
                  <c:v>246000</c:v>
                </c:pt>
                <c:pt idx="20">
                  <c:v>258300</c:v>
                </c:pt>
                <c:pt idx="21">
                  <c:v>270600</c:v>
                </c:pt>
                <c:pt idx="22">
                  <c:v>282900</c:v>
                </c:pt>
                <c:pt idx="23">
                  <c:v>295200</c:v>
                </c:pt>
                <c:pt idx="24">
                  <c:v>307500</c:v>
                </c:pt>
                <c:pt idx="25">
                  <c:v>319800</c:v>
                </c:pt>
                <c:pt idx="26">
                  <c:v>332100</c:v>
                </c:pt>
                <c:pt idx="27">
                  <c:v>344400</c:v>
                </c:pt>
                <c:pt idx="28">
                  <c:v>356700</c:v>
                </c:pt>
                <c:pt idx="29">
                  <c:v>369000</c:v>
                </c:pt>
                <c:pt idx="30">
                  <c:v>381300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50-45E9-9313-3FFF0DDED991}"/>
            </c:ext>
          </c:extLst>
        </c:ser>
        <c:ser>
          <c:idx val="2"/>
          <c:order val="2"/>
          <c:tx>
            <c:strRef>
              <c:f>'📊 Investment Ops'!$I$35</c:f>
              <c:strCache>
                <c:ptCount val="1"/>
                <c:pt idx="0">
                  <c:v>Investment Gains ($)</c:v>
                </c:pt>
              </c:strCache>
            </c:strRef>
          </c:tx>
          <c:spPr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Ops'!$A$36:$A$66</c:f>
              <c:numCache>
                <c:formatCode>General</c:formatCode>
                <c:ptCount val="3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</c:numCache>
            </c:numRef>
          </c:cat>
          <c:val>
            <c:numRef>
              <c:f>'📊 Investment Ops'!$I$36:$I$66</c:f>
              <c:numCache>
                <c:formatCode>\$#,##0;"($"#,##0\);\-</c:formatCode>
                <c:ptCount val="31"/>
                <c:pt idx="0">
                  <c:v>291177.11</c:v>
                </c:pt>
                <c:pt idx="1">
                  <c:v>317784.821</c:v>
                </c:pt>
                <c:pt idx="2">
                  <c:v>347929.30310000008</c:v>
                </c:pt>
                <c:pt idx="3">
                  <c:v>381937.1254100001</c:v>
                </c:pt>
                <c:pt idx="4">
                  <c:v>420165.28807100013</c:v>
                </c:pt>
                <c:pt idx="5">
                  <c:v>463004.07465170021</c:v>
                </c:pt>
                <c:pt idx="6">
                  <c:v>510880.17305432027</c:v>
                </c:pt>
                <c:pt idx="7">
                  <c:v>564260.09029418905</c:v>
                </c:pt>
                <c:pt idx="8">
                  <c:v>623653.88892132789</c:v>
                </c:pt>
                <c:pt idx="9">
                  <c:v>689619.27548427251</c:v>
                </c:pt>
                <c:pt idx="10">
                  <c:v>762766.07431860035</c:v>
                </c:pt>
                <c:pt idx="11">
                  <c:v>843761.1230989194</c:v>
                </c:pt>
                <c:pt idx="12">
                  <c:v>933333.6300495672</c:v>
                </c:pt>
                <c:pt idx="13">
                  <c:v>1032281.0364945745</c:v>
                </c:pt>
                <c:pt idx="14">
                  <c:v>1141475.4325729876</c:v>
                </c:pt>
                <c:pt idx="15">
                  <c:v>1261870.5784857166</c:v>
                </c:pt>
                <c:pt idx="16">
                  <c:v>1394509.5886124303</c:v>
                </c:pt>
                <c:pt idx="17">
                  <c:v>1540533.3412828387</c:v>
                </c:pt>
                <c:pt idx="18">
                  <c:v>1701189.6829512725</c:v>
                </c:pt>
                <c:pt idx="19">
                  <c:v>1877843.5020562904</c:v>
                </c:pt>
                <c:pt idx="20">
                  <c:v>2071987.7550024283</c:v>
                </c:pt>
                <c:pt idx="21">
                  <c:v>2285255.5345386514</c:v>
                </c:pt>
                <c:pt idx="22">
                  <c:v>2519433.2793927575</c:v>
                </c:pt>
                <c:pt idx="23">
                  <c:v>2776475.2334243655</c:v>
                </c:pt>
                <c:pt idx="24">
                  <c:v>3058519.2728594858</c:v>
                </c:pt>
                <c:pt idx="25">
                  <c:v>3367904.2314528436</c:v>
                </c:pt>
                <c:pt idx="26">
                  <c:v>3707188.8657840751</c:v>
                </c:pt>
                <c:pt idx="27">
                  <c:v>4079172.6164337751</c:v>
                </c:pt>
                <c:pt idx="28">
                  <c:v>4486918.3356180098</c:v>
                </c:pt>
                <c:pt idx="29">
                  <c:v>4933777.1681091338</c:v>
                </c:pt>
                <c:pt idx="30">
                  <c:v>5423415.7900722399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50-45E9-9313-3FFF0DDE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365178"/>
        <c:axId val="28991221"/>
      </c:lineChart>
      <c:catAx>
        <c:axId val="43651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991221"/>
        <c:crosses val="autoZero"/>
        <c:auto val="1"/>
        <c:lblAlgn val="ctr"/>
        <c:lblOffset val="100"/>
        <c:noMultiLvlLbl val="0"/>
      </c:catAx>
      <c:valAx>
        <c:axId val="289912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517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Portfolio Allocation by Account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'📊 Investment Ops'!$B$35</c:f>
              <c:strCache>
                <c:ptCount val="1"/>
                <c:pt idx="0">
                  <c:v>TFSA Balance (9%)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Ops'!$B$36:$B$45</c:f>
              <c:numCache>
                <c:formatCode>\$#,##0;"($"#,##0\);\-</c:formatCode>
                <c:ptCount val="10"/>
                <c:pt idx="0">
                  <c:v>24800</c:v>
                </c:pt>
                <c:pt idx="1">
                  <c:v>32132.000000000004</c:v>
                </c:pt>
                <c:pt idx="2">
                  <c:v>40123.880000000005</c:v>
                </c:pt>
                <c:pt idx="3">
                  <c:v>48835.029200000012</c:v>
                </c:pt>
                <c:pt idx="4">
                  <c:v>58330.181828000015</c:v>
                </c:pt>
                <c:pt idx="5">
                  <c:v>68679.898192520021</c:v>
                </c:pt>
                <c:pt idx="6">
                  <c:v>79961.089029846829</c:v>
                </c:pt>
                <c:pt idx="7">
                  <c:v>92257.58704253305</c:v>
                </c:pt>
                <c:pt idx="8">
                  <c:v>105660.76987636104</c:v>
                </c:pt>
                <c:pt idx="9">
                  <c:v>120270.23916523354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9-4DF2-BA64-137C1D667BA1}"/>
            </c:ext>
          </c:extLst>
        </c:ser>
        <c:ser>
          <c:idx val="1"/>
          <c:order val="1"/>
          <c:tx>
            <c:strRef>
              <c:f>'📊 Investment Ops'!$C$35</c:f>
              <c:strCache>
                <c:ptCount val="1"/>
                <c:pt idx="0">
                  <c:v>RRSP (9%)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Ops'!$C$36:$C$45</c:f>
              <c:numCache>
                <c:formatCode>\$#,##0;"($"#,##0\);\-</c:formatCode>
                <c:ptCount val="10"/>
                <c:pt idx="0">
                  <c:v>34800</c:v>
                </c:pt>
                <c:pt idx="1">
                  <c:v>40332</c:v>
                </c:pt>
                <c:pt idx="2">
                  <c:v>46361.880000000005</c:v>
                </c:pt>
                <c:pt idx="3">
                  <c:v>52934.44920000001</c:v>
                </c:pt>
                <c:pt idx="4">
                  <c:v>60098.549628000015</c:v>
                </c:pt>
                <c:pt idx="5">
                  <c:v>67907.419094520024</c:v>
                </c:pt>
                <c:pt idx="6">
                  <c:v>76419.086813026835</c:v>
                </c:pt>
                <c:pt idx="7">
                  <c:v>85696.804626199257</c:v>
                </c:pt>
                <c:pt idx="8">
                  <c:v>95809.5170425572</c:v>
                </c:pt>
                <c:pt idx="9">
                  <c:v>106832.37357638736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9-4DF2-BA64-137C1D667BA1}"/>
            </c:ext>
          </c:extLst>
        </c:ser>
        <c:ser>
          <c:idx val="2"/>
          <c:order val="2"/>
          <c:tx>
            <c:strRef>
              <c:f>'📊 Investment Ops'!$D$35</c:f>
              <c:strCache>
                <c:ptCount val="1"/>
                <c:pt idx="0">
                  <c:v>Brokerage Account (9%)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Ops'!$D$36:$D$45</c:f>
              <c:numCache>
                <c:formatCode>\$#,##0;"($"#,##0\);\-</c:formatCode>
                <c:ptCount val="10"/>
                <c:pt idx="0">
                  <c:v>106400</c:v>
                </c:pt>
                <c:pt idx="1">
                  <c:v>118376.00000000001</c:v>
                </c:pt>
                <c:pt idx="2">
                  <c:v>131429.84000000003</c:v>
                </c:pt>
                <c:pt idx="3">
                  <c:v>145658.52560000005</c:v>
                </c:pt>
                <c:pt idx="4">
                  <c:v>161167.79290400006</c:v>
                </c:pt>
                <c:pt idx="5">
                  <c:v>178072.89426536008</c:v>
                </c:pt>
                <c:pt idx="6">
                  <c:v>196499.45474924249</c:v>
                </c:pt>
                <c:pt idx="7">
                  <c:v>216584.40567667433</c:v>
                </c:pt>
                <c:pt idx="8">
                  <c:v>238477.00218757504</c:v>
                </c:pt>
                <c:pt idx="9">
                  <c:v>262339.9323844568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9-4DF2-BA64-137C1D667BA1}"/>
            </c:ext>
          </c:extLst>
        </c:ser>
        <c:ser>
          <c:idx val="3"/>
          <c:order val="3"/>
          <c:tx>
            <c:strRef>
              <c:f>'📊 Investment Ops'!$E$35</c:f>
              <c:strCache>
                <c:ptCount val="1"/>
                <c:pt idx="0">
                  <c:v>EF (4.5%)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Ops'!$E$36:$E$45</c:f>
              <c:numCache>
                <c:formatCode>\$#,##0;"($"#,##0\);\-</c:formatCode>
                <c:ptCount val="10"/>
                <c:pt idx="0">
                  <c:v>16000</c:v>
                </c:pt>
                <c:pt idx="1">
                  <c:v>17920</c:v>
                </c:pt>
                <c:pt idx="2">
                  <c:v>19926.399999999998</c:v>
                </c:pt>
                <c:pt idx="3">
                  <c:v>22023.087999999996</c:v>
                </c:pt>
                <c:pt idx="4">
                  <c:v>24214.126959999994</c:v>
                </c:pt>
                <c:pt idx="5">
                  <c:v>26503.762673199992</c:v>
                </c:pt>
                <c:pt idx="6">
                  <c:v>28896.431993493989</c:v>
                </c:pt>
                <c:pt idx="7">
                  <c:v>31396.771433201215</c:v>
                </c:pt>
                <c:pt idx="8">
                  <c:v>34009.626147695264</c:v>
                </c:pt>
                <c:pt idx="9">
                  <c:v>36740.05932434155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9-4DF2-BA64-137C1D667BA1}"/>
            </c:ext>
          </c:extLst>
        </c:ser>
        <c:ser>
          <c:idx val="4"/>
          <c:order val="4"/>
          <c:tx>
            <c:strRef>
              <c:f>'📊 Investment Ops'!$F$35</c:f>
              <c:strCache>
                <c:ptCount val="1"/>
                <c:pt idx="0">
                  <c:v>DIVIDEND Portfolio ($)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'📊 Investment Ops'!$A$36:$A$45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'📊 Investment Ops'!$F$36:$F$45</c:f>
              <c:numCache>
                <c:formatCode>\$#,##0;"($"#,##0\);\-</c:formatCode>
                <c:ptCount val="10"/>
                <c:pt idx="0">
                  <c:v>121477.11</c:v>
                </c:pt>
                <c:pt idx="1">
                  <c:v>133624.82100000003</c:v>
                </c:pt>
                <c:pt idx="2">
                  <c:v>146987.30310000005</c:v>
                </c:pt>
                <c:pt idx="3">
                  <c:v>161686.03341000006</c:v>
                </c:pt>
                <c:pt idx="4">
                  <c:v>177854.63675100007</c:v>
                </c:pt>
                <c:pt idx="5">
                  <c:v>195640.10042610011</c:v>
                </c:pt>
                <c:pt idx="6">
                  <c:v>215204.11046871013</c:v>
                </c:pt>
                <c:pt idx="7">
                  <c:v>236724.52151558117</c:v>
                </c:pt>
                <c:pt idx="8">
                  <c:v>260396.9736671393</c:v>
                </c:pt>
                <c:pt idx="9">
                  <c:v>286436.67103385326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9-4DF2-BA64-137C1D66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03258"/>
        <c:axId val="89719780"/>
      </c:barChart>
      <c:catAx>
        <c:axId val="3970325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719780"/>
        <c:crosses val="autoZero"/>
        <c:auto val="1"/>
        <c:lblAlgn val="ctr"/>
        <c:lblOffset val="100"/>
        <c:noMultiLvlLbl val="0"/>
      </c:catAx>
      <c:valAx>
        <c:axId val="897197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Balance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7032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Current Allocation %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'📊 Investment Ops'!$B$18</c:f>
              <c:strCache>
                <c:ptCount val="1"/>
                <c:pt idx="0">
                  <c:v>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DB8-4374-B146-A8F03627043B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DB8-4374-B146-A8F03627043B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BDB8-4374-B146-A8F03627043B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BDB8-4374-B146-A8F03627043B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BDB8-4374-B146-A8F03627043B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BDB8-4374-B146-A8F03627043B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BDB8-4374-B146-A8F03627043B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BDB8-4374-B146-A8F03627043B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BDB8-4374-B146-A8F03627043B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3-BDB8-4374-B146-A8F03627043B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B8-4374-B146-A8F03627043B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B8-4374-B146-A8F03627043B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8-4374-B146-A8F03627043B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8-4374-B146-A8F03627043B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8-4374-B146-A8F03627043B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B8-4374-B146-A8F03627043B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B8-4374-B146-A8F03627043B}"/>
                </c:ext>
              </c:extLst>
            </c:dLbl>
            <c:dLbl>
              <c:idx val="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B8-4374-B146-A8F03627043B}"/>
                </c:ext>
              </c:extLst>
            </c:dLbl>
            <c:dLbl>
              <c:idx val="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B8-4374-B146-A8F03627043B}"/>
                </c:ext>
              </c:extLst>
            </c:dLbl>
            <c:dLbl>
              <c:idx val="9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B8-4374-B146-A8F0362704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'📊 Investment Ops'!$A$19:$A$28</c:f>
              <c:strCache>
                <c:ptCount val="10"/>
                <c:pt idx="0">
                  <c:v>TFSA CAD</c:v>
                </c:pt>
                <c:pt idx="1">
                  <c:v>TFSA USD</c:v>
                </c:pt>
                <c:pt idx="2">
                  <c:v>RRSP CAD</c:v>
                </c:pt>
                <c:pt idx="3">
                  <c:v>RRSP USD</c:v>
                </c:pt>
                <c:pt idx="4">
                  <c:v>Brokerage (Taxable) CAD</c:v>
                </c:pt>
                <c:pt idx="5">
                  <c:v>Brokerage (Taxable) USD</c:v>
                </c:pt>
                <c:pt idx="6">
                  <c:v>FHSA</c:v>
                </c:pt>
                <c:pt idx="7">
                  <c:v>EF (Emergency Fund)</c:v>
                </c:pt>
                <c:pt idx="8">
                  <c:v>RESP Education Fund</c:v>
                </c:pt>
                <c:pt idx="9">
                  <c:v>Others TD</c:v>
                </c:pt>
              </c:strCache>
            </c:strRef>
          </c:cat>
          <c:val>
            <c:numRef>
              <c:f>'📊 Investment Ops'!$B$19:$B$28</c:f>
              <c:numCache>
                <c:formatCode>\$#,##0;"($"#,##0\);\-</c:formatCode>
                <c:ptCount val="10"/>
                <c:pt idx="0">
                  <c:v>90000</c:v>
                </c:pt>
                <c:pt idx="1">
                  <c:v>7000</c:v>
                </c:pt>
                <c:pt idx="2">
                  <c:v>20000</c:v>
                </c:pt>
                <c:pt idx="3">
                  <c:v>15000</c:v>
                </c:pt>
                <c:pt idx="4">
                  <c:v>35000</c:v>
                </c:pt>
                <c:pt idx="5">
                  <c:v>72000</c:v>
                </c:pt>
                <c:pt idx="6">
                  <c:v>7000</c:v>
                </c:pt>
                <c:pt idx="7">
                  <c:v>16000</c:v>
                </c:pt>
                <c:pt idx="8">
                  <c:v>1000</c:v>
                </c:pt>
                <c:pt idx="9">
                  <c:v>121500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DB8-4374-B146-A8F03627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CA" sz="1800" b="1" strike="noStrike" spc="-1">
                <a:solidFill>
                  <a:srgbClr val="000000"/>
                </a:solidFill>
                <a:latin typeface="Calibri"/>
              </a:rPr>
              <a:t>RRSP Fund Balances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'🏛️RRSP &amp; Retirement'!$C$14</c:f>
              <c:strCache>
                <c:ptCount val="1"/>
                <c:pt idx="0">
                  <c:v>Current Balance ($)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'🏛️RRSP &amp; Retirement'!$A$15:$A$24</c:f>
              <c:strCache>
                <c:ptCount val="10"/>
                <c:pt idx="0">
                  <c:v>Gov't Securities (safe)</c:v>
                </c:pt>
                <c:pt idx="1">
                  <c:v>Fixed Income (bonds)</c:v>
                </c:pt>
                <c:pt idx="2">
                  <c:v>Fixed Income (dividends)</c:v>
                </c:pt>
                <c:pt idx="3">
                  <c:v>Fixed Income (dividends)</c:v>
                </c:pt>
                <c:pt idx="4">
                  <c:v>Fixed Income (dividends)</c:v>
                </c:pt>
                <c:pt idx="5">
                  <c:v>Fixed Income (dividends)</c:v>
                </c:pt>
                <c:pt idx="6">
                  <c:v>Stock</c:v>
                </c:pt>
                <c:pt idx="7">
                  <c:v>Stock</c:v>
                </c:pt>
                <c:pt idx="8">
                  <c:v>International Stock</c:v>
                </c:pt>
                <c:pt idx="9">
                  <c:v>Near-Retirement</c:v>
                </c:pt>
              </c:strCache>
            </c:strRef>
          </c:cat>
          <c:val>
            <c:numRef>
              <c:f>'🏛️RRSP &amp; Retirement'!$C$15:$C$24</c:f>
              <c:numCache>
                <c:formatCode>\$#,##0;"($"#,##0\);\-</c:formatCode>
                <c:ptCount val="10"/>
                <c:pt idx="0">
                  <c:v>0</c:v>
                </c:pt>
                <c:pt idx="1">
                  <c:v>10000</c:v>
                </c:pt>
                <c:pt idx="2">
                  <c:v>300000</c:v>
                </c:pt>
                <c:pt idx="3">
                  <c:v>39000</c:v>
                </c:pt>
                <c:pt idx="4">
                  <c:v>7000</c:v>
                </c:pt>
                <c:pt idx="5">
                  <c:v>15000</c:v>
                </c:pt>
                <c:pt idx="6">
                  <c:v>15000</c:v>
                </c:pt>
                <c:pt idx="7">
                  <c:v>5000</c:v>
                </c:pt>
                <c:pt idx="8">
                  <c:v>60000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1-4F21-A9D3-BF46F025A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80860"/>
        <c:axId val="43611180"/>
      </c:barChart>
      <c:catAx>
        <c:axId val="542808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11180"/>
        <c:crosses val="autoZero"/>
        <c:auto val="1"/>
        <c:lblAlgn val="ctr"/>
        <c:lblOffset val="100"/>
        <c:noMultiLvlLbl val="0"/>
      </c:catAx>
      <c:valAx>
        <c:axId val="4361118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2808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14040</xdr:rowOff>
    </xdr:from>
    <xdr:to>
      <xdr:col>4</xdr:col>
      <xdr:colOff>603900</xdr:colOff>
      <xdr:row>119</xdr:row>
      <xdr:rowOff>100080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93</xdr:row>
      <xdr:rowOff>14040</xdr:rowOff>
    </xdr:from>
    <xdr:to>
      <xdr:col>21</xdr:col>
      <xdr:colOff>472320</xdr:colOff>
      <xdr:row>115</xdr:row>
      <xdr:rowOff>141840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113</xdr:row>
      <xdr:rowOff>14040</xdr:rowOff>
    </xdr:from>
    <xdr:to>
      <xdr:col>2</xdr:col>
      <xdr:colOff>1266840</xdr:colOff>
      <xdr:row>135</xdr:row>
      <xdr:rowOff>141840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77760</xdr:rowOff>
    </xdr:from>
    <xdr:to>
      <xdr:col>6</xdr:col>
      <xdr:colOff>1051560</xdr:colOff>
      <xdr:row>49</xdr:row>
      <xdr:rowOff>15480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zoomScaleNormal="100" workbookViewId="0">
      <selection activeCell="I9" sqref="I9"/>
    </sheetView>
  </sheetViews>
  <sheetFormatPr defaultColWidth="8.6640625" defaultRowHeight="14.4" x14ac:dyDescent="0.3"/>
  <cols>
    <col min="1" max="1" width="28" style="1" customWidth="1"/>
    <col min="2" max="2" width="12" style="1" customWidth="1"/>
    <col min="3" max="3" width="16" style="1" customWidth="1"/>
    <col min="4" max="4" width="32.21875" style="1" customWidth="1"/>
    <col min="5" max="7" width="16" style="1" customWidth="1"/>
    <col min="8" max="8" width="8.6640625" customWidth="1"/>
  </cols>
  <sheetData>
    <row r="1" spans="1:7" ht="49.5" customHeight="1" x14ac:dyDescent="0.3">
      <c r="A1" s="75" t="s">
        <v>440</v>
      </c>
      <c r="B1" s="75"/>
      <c r="C1" s="75"/>
      <c r="D1" s="75"/>
      <c r="E1" s="75"/>
      <c r="F1" s="75"/>
      <c r="G1" s="75"/>
    </row>
    <row r="2" spans="1:7" ht="21.75" customHeight="1" x14ac:dyDescent="0.3">
      <c r="A2" s="76" t="s">
        <v>0</v>
      </c>
      <c r="B2" s="76"/>
      <c r="C2" s="76"/>
      <c r="D2" s="76"/>
      <c r="E2" s="76"/>
      <c r="F2" s="76"/>
      <c r="G2" s="76"/>
    </row>
    <row r="4" spans="1:7" ht="15" customHeight="1" x14ac:dyDescent="0.3">
      <c r="A4" s="77" t="s">
        <v>1</v>
      </c>
      <c r="B4" s="77"/>
      <c r="C4" s="77"/>
      <c r="D4" s="78" t="s">
        <v>2</v>
      </c>
      <c r="E4" s="78"/>
      <c r="F4" s="78"/>
      <c r="G4" s="78"/>
    </row>
    <row r="5" spans="1:7" ht="18" customHeight="1" x14ac:dyDescent="0.3">
      <c r="A5" s="2" t="s">
        <v>3</v>
      </c>
      <c r="B5" s="3" t="s">
        <v>439</v>
      </c>
      <c r="C5" s="3"/>
      <c r="D5" s="2" t="s">
        <v>4</v>
      </c>
      <c r="E5" s="79">
        <v>8340</v>
      </c>
      <c r="F5" s="79"/>
      <c r="G5" s="79"/>
    </row>
    <row r="6" spans="1:7" ht="18" customHeight="1" x14ac:dyDescent="0.3">
      <c r="A6" s="2" t="s">
        <v>5</v>
      </c>
      <c r="B6" s="3"/>
      <c r="C6" s="3"/>
      <c r="D6" s="2" t="s">
        <v>6</v>
      </c>
      <c r="E6" s="79">
        <v>3310</v>
      </c>
      <c r="F6" s="79"/>
      <c r="G6" s="79"/>
    </row>
    <row r="7" spans="1:7" ht="18" customHeight="1" x14ac:dyDescent="0.3">
      <c r="A7" s="2" t="s">
        <v>7</v>
      </c>
      <c r="B7" s="3"/>
      <c r="C7" s="3"/>
      <c r="D7" s="2" t="s">
        <v>8</v>
      </c>
      <c r="E7" s="79">
        <v>3265</v>
      </c>
      <c r="F7" s="79"/>
      <c r="G7" s="79"/>
    </row>
    <row r="8" spans="1:7" ht="18" customHeight="1" x14ac:dyDescent="0.3">
      <c r="A8" s="2" t="s">
        <v>9</v>
      </c>
      <c r="B8" s="3"/>
      <c r="C8" s="3"/>
      <c r="D8" s="2" t="s">
        <v>10</v>
      </c>
      <c r="E8" s="79">
        <f>'📋 LES Breakdown'!C41</f>
        <v>8863.92</v>
      </c>
      <c r="F8" s="79"/>
      <c r="G8" s="79"/>
    </row>
    <row r="9" spans="1:7" ht="18" customHeight="1" x14ac:dyDescent="0.3">
      <c r="A9" s="2" t="s">
        <v>11</v>
      </c>
      <c r="B9" s="3"/>
      <c r="C9" s="3"/>
      <c r="D9" s="2" t="s">
        <v>12</v>
      </c>
      <c r="E9" s="79">
        <v>2000</v>
      </c>
      <c r="F9" s="79"/>
      <c r="G9" s="79"/>
    </row>
    <row r="10" spans="1:7" ht="18" customHeight="1" x14ac:dyDescent="0.3">
      <c r="A10" s="2" t="s">
        <v>13</v>
      </c>
      <c r="B10" s="3"/>
      <c r="C10" s="3"/>
      <c r="D10" s="2" t="s">
        <v>14</v>
      </c>
      <c r="E10" s="79">
        <v>3000</v>
      </c>
      <c r="F10" s="79"/>
      <c r="G10" s="79"/>
    </row>
    <row r="11" spans="1:7" ht="18" customHeight="1" x14ac:dyDescent="0.3">
      <c r="A11" s="2" t="s">
        <v>15</v>
      </c>
      <c r="B11" s="3"/>
      <c r="C11" s="3"/>
      <c r="D11" s="2" t="s">
        <v>16</v>
      </c>
      <c r="E11" s="79">
        <v>16000</v>
      </c>
      <c r="F11" s="79"/>
      <c r="G11" s="79"/>
    </row>
    <row r="12" spans="1:7" ht="18" customHeight="1" x14ac:dyDescent="0.3">
      <c r="A12" s="44" t="s">
        <v>307</v>
      </c>
      <c r="B12" s="4">
        <v>0</v>
      </c>
      <c r="C12" s="3"/>
      <c r="D12" s="2" t="s">
        <v>17</v>
      </c>
      <c r="E12" s="80">
        <v>500</v>
      </c>
      <c r="F12" s="80"/>
      <c r="G12" s="80"/>
    </row>
    <row r="13" spans="1:7" ht="18" customHeight="1" x14ac:dyDescent="0.3">
      <c r="A13" s="44" t="s">
        <v>306</v>
      </c>
      <c r="B13" s="4">
        <v>0</v>
      </c>
      <c r="C13" s="3"/>
      <c r="D13" s="2" t="s">
        <v>18</v>
      </c>
      <c r="E13" s="79">
        <v>500000</v>
      </c>
      <c r="F13" s="79"/>
      <c r="G13" s="79"/>
    </row>
    <row r="14" spans="1:7" ht="18" customHeight="1" x14ac:dyDescent="0.3">
      <c r="A14" s="44" t="s">
        <v>308</v>
      </c>
      <c r="B14" s="4">
        <v>0</v>
      </c>
      <c r="C14" s="3"/>
      <c r="D14" s="2" t="s">
        <v>19</v>
      </c>
      <c r="E14" s="81">
        <v>0.3</v>
      </c>
      <c r="F14" s="81"/>
      <c r="G14" s="81"/>
    </row>
    <row r="16" spans="1:7" ht="15" customHeight="1" x14ac:dyDescent="0.3">
      <c r="A16" s="82" t="s">
        <v>20</v>
      </c>
      <c r="B16" s="82"/>
      <c r="C16" s="82"/>
      <c r="D16" s="82"/>
      <c r="E16" s="82"/>
      <c r="F16" s="82"/>
      <c r="G16" s="82"/>
    </row>
    <row r="17" spans="1:7" ht="24.6" customHeight="1" x14ac:dyDescent="0.3">
      <c r="A17" s="5" t="s">
        <v>21</v>
      </c>
      <c r="B17" s="5" t="s">
        <v>22</v>
      </c>
      <c r="C17" s="5" t="s">
        <v>23</v>
      </c>
      <c r="D17" s="5" t="s">
        <v>24</v>
      </c>
      <c r="E17" s="5" t="s">
        <v>25</v>
      </c>
      <c r="F17" s="5" t="s">
        <v>26</v>
      </c>
      <c r="G17" s="5"/>
    </row>
    <row r="18" spans="1:7" ht="18" customHeight="1" x14ac:dyDescent="0.3">
      <c r="A18" s="6" t="s">
        <v>27</v>
      </c>
      <c r="B18" s="56">
        <v>1450</v>
      </c>
      <c r="C18" s="56">
        <v>1450</v>
      </c>
      <c r="D18" s="56">
        <f t="shared" ref="D18:D33" si="0">C18-B18</f>
        <v>0</v>
      </c>
      <c r="E18" s="70">
        <f t="shared" ref="E18:E33" si="1">IF(B18=0,0,(C18-B18)/B18)</f>
        <v>0</v>
      </c>
      <c r="F18" s="8" t="str">
        <f t="shared" ref="F18:F32" si="2">IF(C18=0,"—",IF(C18&lt;=B18,"✅ GO","❌ NO-GO"))</f>
        <v>✅ GO</v>
      </c>
      <c r="G18" s="68"/>
    </row>
    <row r="19" spans="1:7" ht="18" customHeight="1" x14ac:dyDescent="0.3">
      <c r="A19" s="45" t="s">
        <v>309</v>
      </c>
      <c r="B19" s="54">
        <v>400</v>
      </c>
      <c r="C19" s="54">
        <v>400</v>
      </c>
      <c r="D19" s="54">
        <f t="shared" si="0"/>
        <v>0</v>
      </c>
      <c r="E19" s="71">
        <f t="shared" si="1"/>
        <v>0</v>
      </c>
      <c r="F19" s="12" t="str">
        <f t="shared" si="2"/>
        <v>✅ GO</v>
      </c>
      <c r="G19" s="69"/>
    </row>
    <row r="20" spans="1:7" ht="18" customHeight="1" x14ac:dyDescent="0.3">
      <c r="A20" s="45" t="s">
        <v>314</v>
      </c>
      <c r="B20" s="54">
        <v>296</v>
      </c>
      <c r="C20" s="54">
        <v>293</v>
      </c>
      <c r="D20" s="54"/>
      <c r="E20" s="71"/>
      <c r="F20" s="12"/>
      <c r="G20" s="69"/>
    </row>
    <row r="21" spans="1:7" ht="18" customHeight="1" x14ac:dyDescent="0.3">
      <c r="A21" s="46" t="s">
        <v>315</v>
      </c>
      <c r="B21" s="56">
        <v>200</v>
      </c>
      <c r="C21" s="56">
        <v>200</v>
      </c>
      <c r="D21" s="56">
        <f t="shared" si="0"/>
        <v>0</v>
      </c>
      <c r="E21" s="70">
        <f t="shared" si="1"/>
        <v>0</v>
      </c>
      <c r="F21" s="8" t="str">
        <f t="shared" si="2"/>
        <v>✅ GO</v>
      </c>
      <c r="G21" s="68"/>
    </row>
    <row r="22" spans="1:7" ht="18" customHeight="1" x14ac:dyDescent="0.3">
      <c r="A22" s="10" t="s">
        <v>28</v>
      </c>
      <c r="B22" s="54">
        <v>150</v>
      </c>
      <c r="C22" s="54">
        <v>230</v>
      </c>
      <c r="D22" s="54">
        <f t="shared" si="0"/>
        <v>80</v>
      </c>
      <c r="E22" s="71">
        <f t="shared" si="1"/>
        <v>0.53333333333333333</v>
      </c>
      <c r="F22" s="12" t="str">
        <f t="shared" si="2"/>
        <v>❌ NO-GO</v>
      </c>
      <c r="G22" s="69"/>
    </row>
    <row r="23" spans="1:7" ht="18" customHeight="1" x14ac:dyDescent="0.3">
      <c r="A23" s="46" t="s">
        <v>310</v>
      </c>
      <c r="B23" s="56">
        <v>55</v>
      </c>
      <c r="C23" s="56">
        <v>55</v>
      </c>
      <c r="D23" s="56">
        <f t="shared" si="0"/>
        <v>0</v>
      </c>
      <c r="E23" s="70">
        <f t="shared" si="1"/>
        <v>0</v>
      </c>
      <c r="F23" s="8" t="str">
        <f t="shared" si="2"/>
        <v>✅ GO</v>
      </c>
      <c r="G23" s="68"/>
    </row>
    <row r="24" spans="1:7" ht="18" customHeight="1" x14ac:dyDescent="0.3">
      <c r="A24" s="45" t="s">
        <v>311</v>
      </c>
      <c r="B24" s="56">
        <v>67</v>
      </c>
      <c r="C24" s="56">
        <v>67</v>
      </c>
      <c r="D24" s="56"/>
      <c r="E24" s="70"/>
      <c r="F24" s="8"/>
      <c r="G24" s="68"/>
    </row>
    <row r="25" spans="1:7" ht="18" customHeight="1" x14ac:dyDescent="0.3">
      <c r="A25" s="45" t="s">
        <v>313</v>
      </c>
      <c r="B25" s="56">
        <v>134</v>
      </c>
      <c r="C25" s="56">
        <v>134</v>
      </c>
      <c r="D25" s="56"/>
      <c r="E25" s="70"/>
      <c r="F25" s="8"/>
      <c r="G25" s="68"/>
    </row>
    <row r="26" spans="1:7" ht="18" customHeight="1" x14ac:dyDescent="0.3">
      <c r="A26" s="45" t="s">
        <v>312</v>
      </c>
      <c r="B26" s="54">
        <v>40</v>
      </c>
      <c r="C26" s="54">
        <v>40</v>
      </c>
      <c r="D26" s="54">
        <f t="shared" si="0"/>
        <v>0</v>
      </c>
      <c r="E26" s="71">
        <f t="shared" si="1"/>
        <v>0</v>
      </c>
      <c r="F26" s="12" t="str">
        <f t="shared" si="2"/>
        <v>✅ GO</v>
      </c>
      <c r="G26" s="69"/>
    </row>
    <row r="27" spans="1:7" ht="18" customHeight="1" x14ac:dyDescent="0.3">
      <c r="A27" s="6" t="s">
        <v>29</v>
      </c>
      <c r="B27" s="56">
        <v>0</v>
      </c>
      <c r="C27" s="56">
        <v>0</v>
      </c>
      <c r="D27" s="56">
        <f t="shared" si="0"/>
        <v>0</v>
      </c>
      <c r="E27" s="70">
        <f t="shared" si="1"/>
        <v>0</v>
      </c>
      <c r="F27" s="8" t="str">
        <f t="shared" si="2"/>
        <v>—</v>
      </c>
      <c r="G27" s="68"/>
    </row>
    <row r="28" spans="1:7" ht="18" customHeight="1" x14ac:dyDescent="0.3">
      <c r="A28" s="45" t="s">
        <v>30</v>
      </c>
      <c r="B28" s="54">
        <f>'💸 FOB Expenses'!B22</f>
        <v>0</v>
      </c>
      <c r="C28" s="54">
        <f>'💸 FOB Expenses'!C22</f>
        <v>25</v>
      </c>
      <c r="D28" s="54">
        <f t="shared" si="0"/>
        <v>25</v>
      </c>
      <c r="E28" s="71">
        <f t="shared" si="1"/>
        <v>0</v>
      </c>
      <c r="F28" s="12" t="str">
        <f t="shared" si="2"/>
        <v>❌ NO-GO</v>
      </c>
      <c r="G28" s="69"/>
    </row>
    <row r="29" spans="1:7" ht="18" customHeight="1" x14ac:dyDescent="0.3">
      <c r="A29" s="6" t="s">
        <v>31</v>
      </c>
      <c r="B29" s="56">
        <f>'💸 FOB Expenses'!B24</f>
        <v>0</v>
      </c>
      <c r="C29" s="56">
        <f>'💸 FOB Expenses'!C24</f>
        <v>0</v>
      </c>
      <c r="D29" s="56">
        <f t="shared" si="0"/>
        <v>0</v>
      </c>
      <c r="E29" s="70">
        <f t="shared" si="1"/>
        <v>0</v>
      </c>
      <c r="F29" s="8" t="str">
        <f t="shared" si="2"/>
        <v>—</v>
      </c>
      <c r="G29" s="68"/>
    </row>
    <row r="30" spans="1:7" ht="18" customHeight="1" x14ac:dyDescent="0.3">
      <c r="A30" s="10" t="s">
        <v>32</v>
      </c>
      <c r="B30" s="54">
        <v>400</v>
      </c>
      <c r="C30" s="54">
        <v>400</v>
      </c>
      <c r="D30" s="54">
        <f t="shared" si="0"/>
        <v>0</v>
      </c>
      <c r="E30" s="71">
        <f t="shared" si="1"/>
        <v>0</v>
      </c>
      <c r="F30" s="12" t="str">
        <f t="shared" si="2"/>
        <v>✅ GO</v>
      </c>
      <c r="G30" s="69"/>
    </row>
    <row r="31" spans="1:7" ht="18" customHeight="1" x14ac:dyDescent="0.3">
      <c r="A31" s="6" t="s">
        <v>33</v>
      </c>
      <c r="B31" s="56">
        <v>0</v>
      </c>
      <c r="C31" s="56">
        <v>0</v>
      </c>
      <c r="D31" s="56">
        <f t="shared" si="0"/>
        <v>0</v>
      </c>
      <c r="E31" s="70">
        <f t="shared" si="1"/>
        <v>0</v>
      </c>
      <c r="F31" s="8" t="str">
        <f t="shared" si="2"/>
        <v>—</v>
      </c>
      <c r="G31" s="68"/>
    </row>
    <row r="32" spans="1:7" ht="18" customHeight="1" x14ac:dyDescent="0.3">
      <c r="A32" s="45" t="s">
        <v>271</v>
      </c>
      <c r="B32" s="54">
        <v>67</v>
      </c>
      <c r="C32" s="54">
        <v>70</v>
      </c>
      <c r="D32" s="54">
        <f t="shared" si="0"/>
        <v>3</v>
      </c>
      <c r="E32" s="71">
        <f t="shared" si="1"/>
        <v>4.4776119402985072E-2</v>
      </c>
      <c r="F32" s="12" t="str">
        <f t="shared" si="2"/>
        <v>❌ NO-GO</v>
      </c>
      <c r="G32" s="69"/>
    </row>
    <row r="33" spans="1:7" ht="19.5" customHeight="1" x14ac:dyDescent="0.3">
      <c r="A33" s="14" t="s">
        <v>34</v>
      </c>
      <c r="B33" s="72">
        <f>SUM(B18:B32)</f>
        <v>3259</v>
      </c>
      <c r="C33" s="72">
        <f>SUM(C18:C32)</f>
        <v>3364</v>
      </c>
      <c r="D33" s="72">
        <f t="shared" si="0"/>
        <v>105</v>
      </c>
      <c r="E33" s="73">
        <f t="shared" si="1"/>
        <v>3.2218471923903036E-2</v>
      </c>
      <c r="F33" s="74"/>
      <c r="G33" s="74"/>
    </row>
    <row r="35" spans="1:7" ht="15" customHeight="1" x14ac:dyDescent="0.3">
      <c r="A35" s="78" t="s">
        <v>35</v>
      </c>
      <c r="B35" s="78"/>
      <c r="C35" s="78"/>
      <c r="D35" s="78"/>
      <c r="E35" s="78"/>
      <c r="F35" s="78"/>
      <c r="G35" s="78"/>
    </row>
  </sheetData>
  <mergeCells count="16">
    <mergeCell ref="A35:G35"/>
    <mergeCell ref="E11:G11"/>
    <mergeCell ref="E12:G12"/>
    <mergeCell ref="E13:G13"/>
    <mergeCell ref="E14:G14"/>
    <mergeCell ref="A16:G16"/>
    <mergeCell ref="E6:G6"/>
    <mergeCell ref="E7:G7"/>
    <mergeCell ref="E8:G8"/>
    <mergeCell ref="E9:G9"/>
    <mergeCell ref="E10:G10"/>
    <mergeCell ref="A1:G1"/>
    <mergeCell ref="A2:G2"/>
    <mergeCell ref="A4:C4"/>
    <mergeCell ref="D4:G4"/>
    <mergeCell ref="E5:G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showGridLines="0" zoomScaleNormal="100" workbookViewId="0">
      <selection sqref="A1:E1"/>
    </sheetView>
  </sheetViews>
  <sheetFormatPr defaultColWidth="8.6640625" defaultRowHeight="14.4" x14ac:dyDescent="0.3"/>
  <cols>
    <col min="1" max="1" width="32" style="1" customWidth="1"/>
    <col min="2" max="3" width="18" style="1" customWidth="1"/>
    <col min="4" max="4" width="30.6640625" style="1" customWidth="1"/>
    <col min="5" max="5" width="24.6640625" style="1" customWidth="1"/>
  </cols>
  <sheetData>
    <row r="1" spans="1:5" ht="39.75" customHeight="1" x14ac:dyDescent="0.3">
      <c r="A1" s="83" t="s">
        <v>36</v>
      </c>
      <c r="B1" s="83"/>
      <c r="C1" s="83"/>
      <c r="D1" s="83"/>
      <c r="E1" s="83"/>
    </row>
    <row r="2" spans="1:5" ht="15" customHeight="1" x14ac:dyDescent="0.3">
      <c r="A2" s="5" t="s">
        <v>37</v>
      </c>
      <c r="B2" s="5" t="s">
        <v>38</v>
      </c>
      <c r="C2" s="5" t="s">
        <v>39</v>
      </c>
      <c r="D2" s="5" t="s">
        <v>40</v>
      </c>
      <c r="E2" s="5"/>
    </row>
    <row r="3" spans="1:5" ht="15" customHeight="1" x14ac:dyDescent="0.3">
      <c r="A3" s="77" t="s">
        <v>41</v>
      </c>
      <c r="B3" s="77"/>
      <c r="C3" s="77"/>
      <c r="D3" s="77"/>
      <c r="E3" s="77"/>
    </row>
    <row r="4" spans="1:5" ht="18" customHeight="1" x14ac:dyDescent="0.3">
      <c r="A4" s="6" t="s">
        <v>420</v>
      </c>
      <c r="B4" s="4">
        <v>100080</v>
      </c>
      <c r="C4" s="7">
        <f>B4/12</f>
        <v>8340</v>
      </c>
      <c r="D4" s="46" t="s">
        <v>42</v>
      </c>
      <c r="E4" s="13"/>
    </row>
    <row r="5" spans="1:5" ht="18" customHeight="1" x14ac:dyDescent="0.3">
      <c r="A5" s="6" t="s">
        <v>421</v>
      </c>
      <c r="B5" s="4"/>
      <c r="C5" s="7"/>
      <c r="D5" s="6" t="s">
        <v>43</v>
      </c>
      <c r="E5" s="13"/>
    </row>
    <row r="6" spans="1:5" ht="18" customHeight="1" x14ac:dyDescent="0.3">
      <c r="A6" s="6" t="s">
        <v>390</v>
      </c>
      <c r="B6" s="4">
        <v>0</v>
      </c>
      <c r="C6" s="11">
        <f>B6/12</f>
        <v>0</v>
      </c>
      <c r="D6" s="6" t="s">
        <v>43</v>
      </c>
      <c r="E6" s="13"/>
    </row>
    <row r="7" spans="1:5" ht="18" customHeight="1" x14ac:dyDescent="0.3">
      <c r="A7" s="46" t="s">
        <v>389</v>
      </c>
      <c r="B7" s="4">
        <v>0</v>
      </c>
      <c r="C7" s="7">
        <f>B7/12</f>
        <v>0</v>
      </c>
      <c r="D7" s="6" t="s">
        <v>43</v>
      </c>
      <c r="E7" s="13"/>
    </row>
    <row r="8" spans="1:5" ht="18" customHeight="1" x14ac:dyDescent="0.3">
      <c r="A8" s="10" t="s">
        <v>44</v>
      </c>
      <c r="B8" s="4">
        <v>0</v>
      </c>
      <c r="C8" s="11">
        <v>0</v>
      </c>
      <c r="D8" s="6" t="s">
        <v>43</v>
      </c>
      <c r="E8" s="13"/>
    </row>
    <row r="9" spans="1:5" ht="18" customHeight="1" x14ac:dyDescent="0.3">
      <c r="A9" s="6" t="s">
        <v>391</v>
      </c>
      <c r="B9" s="4">
        <v>0</v>
      </c>
      <c r="C9" s="7">
        <f>B9/12</f>
        <v>0</v>
      </c>
      <c r="D9" s="6" t="s">
        <v>43</v>
      </c>
      <c r="E9" s="13"/>
    </row>
    <row r="10" spans="1:5" ht="15" customHeight="1" x14ac:dyDescent="0.3">
      <c r="A10" s="15" t="s">
        <v>45</v>
      </c>
      <c r="B10" s="16">
        <f>SUM(B4:B9)</f>
        <v>100080</v>
      </c>
      <c r="C10" s="16">
        <f>SUM(C4:C9)</f>
        <v>8340</v>
      </c>
    </row>
    <row r="11" spans="1:5" ht="15" customHeight="1" x14ac:dyDescent="0.3">
      <c r="A11" s="78" t="s">
        <v>46</v>
      </c>
      <c r="B11" s="78"/>
      <c r="C11" s="78"/>
      <c r="D11" s="78"/>
      <c r="E11" s="78"/>
    </row>
    <row r="12" spans="1:5" ht="18" customHeight="1" x14ac:dyDescent="0.3">
      <c r="A12" s="6" t="s">
        <v>392</v>
      </c>
      <c r="B12" s="7">
        <f>'🎖️ Command Overview'!B12*12</f>
        <v>0</v>
      </c>
      <c r="C12" s="7">
        <f t="shared" ref="C12:C20" si="0">B12/12</f>
        <v>0</v>
      </c>
      <c r="D12" s="6" t="s">
        <v>43</v>
      </c>
      <c r="E12" s="13"/>
    </row>
    <row r="13" spans="1:5" ht="18" customHeight="1" x14ac:dyDescent="0.3">
      <c r="A13" s="10" t="s">
        <v>393</v>
      </c>
      <c r="B13" s="11">
        <f>'🎖️ Command Overview'!B13*12</f>
        <v>0</v>
      </c>
      <c r="C13" s="11">
        <f t="shared" si="0"/>
        <v>0</v>
      </c>
      <c r="D13" s="6" t="s">
        <v>43</v>
      </c>
      <c r="E13" s="13"/>
    </row>
    <row r="14" spans="1:5" ht="18" customHeight="1" x14ac:dyDescent="0.3">
      <c r="A14" s="6" t="s">
        <v>397</v>
      </c>
      <c r="B14" s="7">
        <f>'🎖️ Command Overview'!B14*12</f>
        <v>0</v>
      </c>
      <c r="C14" s="7">
        <f t="shared" si="0"/>
        <v>0</v>
      </c>
      <c r="D14" s="6" t="s">
        <v>43</v>
      </c>
      <c r="E14" s="13"/>
    </row>
    <row r="15" spans="1:5" ht="18" customHeight="1" x14ac:dyDescent="0.3">
      <c r="A15" s="10" t="s">
        <v>398</v>
      </c>
      <c r="B15" s="4">
        <v>0</v>
      </c>
      <c r="C15" s="11">
        <f t="shared" si="0"/>
        <v>0</v>
      </c>
      <c r="D15" s="6" t="s">
        <v>43</v>
      </c>
      <c r="E15" s="13"/>
    </row>
    <row r="16" spans="1:5" ht="18" customHeight="1" x14ac:dyDescent="0.3">
      <c r="A16" s="6" t="s">
        <v>399</v>
      </c>
      <c r="B16" s="4">
        <v>0</v>
      </c>
      <c r="C16" s="7">
        <f t="shared" si="0"/>
        <v>0</v>
      </c>
      <c r="D16" s="6" t="s">
        <v>43</v>
      </c>
      <c r="E16" s="13"/>
    </row>
    <row r="17" spans="1:5" ht="18" customHeight="1" x14ac:dyDescent="0.3">
      <c r="A17" s="10" t="s">
        <v>395</v>
      </c>
      <c r="B17" s="4">
        <v>0</v>
      </c>
      <c r="C17" s="11">
        <f t="shared" si="0"/>
        <v>0</v>
      </c>
      <c r="D17" s="6" t="s">
        <v>43</v>
      </c>
      <c r="E17" s="13"/>
    </row>
    <row r="18" spans="1:5" ht="18" customHeight="1" x14ac:dyDescent="0.3">
      <c r="A18" s="6" t="s">
        <v>396</v>
      </c>
      <c r="B18" s="4">
        <v>23628</v>
      </c>
      <c r="C18" s="11">
        <f t="shared" si="0"/>
        <v>1969</v>
      </c>
      <c r="D18" s="6" t="s">
        <v>43</v>
      </c>
      <c r="E18" s="13"/>
    </row>
    <row r="19" spans="1:5" ht="18" customHeight="1" x14ac:dyDescent="0.3">
      <c r="A19" s="6" t="s">
        <v>394</v>
      </c>
      <c r="B19" s="4">
        <v>12612</v>
      </c>
      <c r="C19" s="11">
        <f t="shared" si="0"/>
        <v>1051</v>
      </c>
      <c r="D19" s="6" t="s">
        <v>43</v>
      </c>
      <c r="E19" s="13"/>
    </row>
    <row r="20" spans="1:5" ht="18" customHeight="1" x14ac:dyDescent="0.3">
      <c r="A20" s="6" t="s">
        <v>402</v>
      </c>
      <c r="B20" s="4">
        <v>3480</v>
      </c>
      <c r="C20" s="11">
        <f t="shared" si="0"/>
        <v>290</v>
      </c>
      <c r="D20" s="6" t="s">
        <v>43</v>
      </c>
      <c r="E20" s="13"/>
    </row>
    <row r="21" spans="1:5" ht="18" customHeight="1" x14ac:dyDescent="0.3">
      <c r="A21" s="6" t="s">
        <v>47</v>
      </c>
      <c r="B21" s="4"/>
      <c r="C21" s="11"/>
      <c r="D21" s="6" t="s">
        <v>43</v>
      </c>
      <c r="E21" s="13"/>
    </row>
    <row r="22" spans="1:5" ht="18" customHeight="1" x14ac:dyDescent="0.3">
      <c r="A22" s="6" t="s">
        <v>48</v>
      </c>
      <c r="B22" s="4"/>
      <c r="C22" s="11"/>
      <c r="D22" s="6" t="s">
        <v>43</v>
      </c>
      <c r="E22" s="13"/>
    </row>
    <row r="23" spans="1:5" ht="18" customHeight="1" x14ac:dyDescent="0.3">
      <c r="A23" s="6" t="s">
        <v>208</v>
      </c>
      <c r="B23" s="4">
        <v>0</v>
      </c>
      <c r="C23" s="7">
        <v>0</v>
      </c>
      <c r="D23" s="6" t="s">
        <v>43</v>
      </c>
      <c r="E23" s="13"/>
    </row>
    <row r="24" spans="1:5" ht="15" customHeight="1" x14ac:dyDescent="0.3">
      <c r="A24" s="15" t="s">
        <v>49</v>
      </c>
      <c r="B24" s="16">
        <f>SUM(B12:B23)</f>
        <v>39720</v>
      </c>
      <c r="C24" s="16">
        <f>SUM(C12:C23)</f>
        <v>3310</v>
      </c>
    </row>
    <row r="25" spans="1:5" ht="15" customHeight="1" x14ac:dyDescent="0.3">
      <c r="A25" s="84" t="s">
        <v>50</v>
      </c>
      <c r="B25" s="84"/>
      <c r="C25" s="84"/>
      <c r="D25" s="84"/>
      <c r="E25" s="84"/>
    </row>
    <row r="26" spans="1:5" ht="18" customHeight="1" x14ac:dyDescent="0.3">
      <c r="A26" s="6" t="s">
        <v>400</v>
      </c>
      <c r="B26" s="4">
        <v>17436.48</v>
      </c>
      <c r="C26" s="7">
        <v>1453.04</v>
      </c>
      <c r="D26" s="6" t="s">
        <v>401</v>
      </c>
      <c r="E26" s="6"/>
    </row>
    <row r="27" spans="1:5" ht="18" customHeight="1" x14ac:dyDescent="0.3">
      <c r="A27" s="10" t="s">
        <v>407</v>
      </c>
      <c r="B27" s="4">
        <v>0</v>
      </c>
      <c r="C27" s="11">
        <f t="shared" ref="C27:C39" si="1">B27/12</f>
        <v>0</v>
      </c>
      <c r="D27" s="10" t="s">
        <v>408</v>
      </c>
      <c r="E27" s="6"/>
    </row>
    <row r="28" spans="1:5" ht="18" customHeight="1" x14ac:dyDescent="0.3">
      <c r="A28" s="6" t="s">
        <v>409</v>
      </c>
      <c r="B28" s="4">
        <v>9133</v>
      </c>
      <c r="C28" s="7">
        <v>761.67</v>
      </c>
      <c r="D28" s="6" t="s">
        <v>51</v>
      </c>
      <c r="E28" s="6"/>
    </row>
    <row r="29" spans="1:5" ht="18" customHeight="1" x14ac:dyDescent="0.3">
      <c r="A29" s="6" t="s">
        <v>410</v>
      </c>
      <c r="B29" s="4">
        <v>5746.8</v>
      </c>
      <c r="C29" s="7">
        <v>478.9</v>
      </c>
      <c r="D29" s="6" t="s">
        <v>411</v>
      </c>
      <c r="E29" s="6"/>
    </row>
    <row r="30" spans="1:5" ht="18" customHeight="1" x14ac:dyDescent="0.3">
      <c r="A30" s="6" t="s">
        <v>412</v>
      </c>
      <c r="B30" s="4">
        <v>140</v>
      </c>
      <c r="C30" s="7">
        <v>20.05</v>
      </c>
      <c r="D30" s="6" t="s">
        <v>413</v>
      </c>
      <c r="E30" s="6"/>
    </row>
    <row r="31" spans="1:5" ht="18" customHeight="1" x14ac:dyDescent="0.3">
      <c r="A31" s="6" t="s">
        <v>414</v>
      </c>
      <c r="B31" s="4">
        <v>357</v>
      </c>
      <c r="C31" s="7">
        <v>29.67</v>
      </c>
      <c r="D31" s="6" t="s">
        <v>414</v>
      </c>
      <c r="E31" s="6"/>
    </row>
    <row r="32" spans="1:5" ht="18" customHeight="1" x14ac:dyDescent="0.3">
      <c r="A32" s="6" t="s">
        <v>415</v>
      </c>
      <c r="B32" s="4">
        <v>48</v>
      </c>
      <c r="C32" s="7">
        <v>4</v>
      </c>
      <c r="D32" s="6"/>
      <c r="E32" s="6"/>
    </row>
    <row r="33" spans="1:5" ht="18" customHeight="1" x14ac:dyDescent="0.3">
      <c r="A33" s="10" t="s">
        <v>416</v>
      </c>
      <c r="B33" s="4">
        <v>255</v>
      </c>
      <c r="C33" s="11">
        <v>21.25</v>
      </c>
      <c r="D33" s="10" t="s">
        <v>52</v>
      </c>
      <c r="E33" s="6" t="s">
        <v>423</v>
      </c>
    </row>
    <row r="34" spans="1:5" ht="18" customHeight="1" x14ac:dyDescent="0.3">
      <c r="A34" s="10" t="s">
        <v>417</v>
      </c>
      <c r="B34" s="4">
        <v>210</v>
      </c>
      <c r="C34" s="7">
        <v>17.5</v>
      </c>
      <c r="D34" s="10" t="s">
        <v>52</v>
      </c>
      <c r="E34" s="6" t="s">
        <v>423</v>
      </c>
    </row>
    <row r="35" spans="1:5" ht="18" customHeight="1" x14ac:dyDescent="0.3">
      <c r="A35" s="46" t="s">
        <v>317</v>
      </c>
      <c r="B35" s="4">
        <v>0</v>
      </c>
      <c r="C35" s="11">
        <f t="shared" si="1"/>
        <v>0</v>
      </c>
      <c r="D35" s="10" t="s">
        <v>53</v>
      </c>
      <c r="E35" s="6" t="s">
        <v>422</v>
      </c>
    </row>
    <row r="36" spans="1:5" ht="18" customHeight="1" x14ac:dyDescent="0.3">
      <c r="A36" s="45" t="s">
        <v>316</v>
      </c>
      <c r="B36" s="4">
        <v>0</v>
      </c>
      <c r="C36" s="7">
        <f t="shared" si="1"/>
        <v>0</v>
      </c>
      <c r="D36" s="6" t="s">
        <v>418</v>
      </c>
      <c r="E36" s="6" t="s">
        <v>422</v>
      </c>
    </row>
    <row r="37" spans="1:5" ht="18" customHeight="1" x14ac:dyDescent="0.3">
      <c r="A37" s="45" t="s">
        <v>271</v>
      </c>
      <c r="B37" s="4">
        <v>0</v>
      </c>
      <c r="C37" s="11">
        <v>0</v>
      </c>
      <c r="D37" s="10"/>
      <c r="E37" s="6"/>
    </row>
    <row r="38" spans="1:5" ht="18" customHeight="1" x14ac:dyDescent="0.3">
      <c r="A38" s="45" t="s">
        <v>271</v>
      </c>
      <c r="B38" s="4"/>
      <c r="C38" s="11"/>
      <c r="D38" s="10"/>
      <c r="E38" s="6"/>
    </row>
    <row r="39" spans="1:5" ht="18" customHeight="1" x14ac:dyDescent="0.3">
      <c r="A39" s="45" t="s">
        <v>419</v>
      </c>
      <c r="B39" s="4">
        <v>0</v>
      </c>
      <c r="C39" s="7">
        <f t="shared" si="1"/>
        <v>0</v>
      </c>
      <c r="D39" s="6" t="s">
        <v>54</v>
      </c>
      <c r="E39" s="6"/>
    </row>
    <row r="40" spans="1:5" ht="15" customHeight="1" x14ac:dyDescent="0.3">
      <c r="A40" s="15" t="s">
        <v>55</v>
      </c>
      <c r="B40" s="16">
        <f>SUM(B26:B39)</f>
        <v>33326.28</v>
      </c>
      <c r="C40" s="16">
        <f>SUM(C26:C39)</f>
        <v>2786.0800000000004</v>
      </c>
    </row>
    <row r="41" spans="1:5" ht="24" customHeight="1" x14ac:dyDescent="0.3">
      <c r="A41" s="17" t="s">
        <v>56</v>
      </c>
      <c r="B41" s="18">
        <f>B10+B24-B40</f>
        <v>106473.72</v>
      </c>
      <c r="C41" s="18">
        <f>C10+C24-C40</f>
        <v>8863.92</v>
      </c>
    </row>
    <row r="43" spans="1:5" ht="15" customHeight="1" x14ac:dyDescent="0.3">
      <c r="A43" s="82" t="s">
        <v>57</v>
      </c>
      <c r="B43" s="82"/>
      <c r="C43" s="82"/>
      <c r="D43" s="82"/>
      <c r="E43" s="82"/>
    </row>
    <row r="44" spans="1:5" ht="15" customHeight="1" x14ac:dyDescent="0.3">
      <c r="A44" s="5" t="s">
        <v>58</v>
      </c>
      <c r="B44" s="5" t="s">
        <v>59</v>
      </c>
      <c r="C44" s="5" t="s">
        <v>60</v>
      </c>
      <c r="D44" s="5" t="s">
        <v>61</v>
      </c>
      <c r="E44" s="5" t="s">
        <v>62</v>
      </c>
    </row>
    <row r="45" spans="1:5" ht="15" customHeight="1" x14ac:dyDescent="0.3">
      <c r="A45" s="19" t="s">
        <v>63</v>
      </c>
      <c r="B45" s="20">
        <v>25</v>
      </c>
      <c r="C45" s="20">
        <v>0</v>
      </c>
      <c r="D45" s="21">
        <f>B45-C45</f>
        <v>25</v>
      </c>
      <c r="E45" s="16">
        <f>(B45/365)*('📋 LES Breakdown'!B10)</f>
        <v>6854.7945205479446</v>
      </c>
    </row>
    <row r="46" spans="1:5" ht="15" customHeight="1" x14ac:dyDescent="0.3">
      <c r="A46" s="19" t="s">
        <v>64</v>
      </c>
      <c r="B46" s="20">
        <v>0</v>
      </c>
      <c r="C46" s="20">
        <v>0</v>
      </c>
      <c r="D46" s="21">
        <f>B46-C46</f>
        <v>0</v>
      </c>
      <c r="E46" s="16">
        <f>(B46/365)*('📋 LES Breakdown'!B10)</f>
        <v>0</v>
      </c>
    </row>
    <row r="47" spans="1:5" ht="15" customHeight="1" x14ac:dyDescent="0.3">
      <c r="A47" s="19" t="s">
        <v>65</v>
      </c>
      <c r="B47" s="20">
        <v>0</v>
      </c>
      <c r="C47" s="20">
        <v>0</v>
      </c>
      <c r="D47" s="21">
        <f>B47-C47</f>
        <v>0</v>
      </c>
      <c r="E47" s="16">
        <f>(B47/365)*('📋 LES Breakdown'!B10)</f>
        <v>0</v>
      </c>
    </row>
  </sheetData>
  <mergeCells count="5">
    <mergeCell ref="A1:E1"/>
    <mergeCell ref="A3:E3"/>
    <mergeCell ref="A11:E11"/>
    <mergeCell ref="A25:E25"/>
    <mergeCell ref="A43:E43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showGridLines="0" zoomScaleNormal="100" workbookViewId="0">
      <selection activeCell="E99" sqref="E99"/>
    </sheetView>
  </sheetViews>
  <sheetFormatPr defaultColWidth="8.6640625" defaultRowHeight="14.4" x14ac:dyDescent="0.3"/>
  <cols>
    <col min="1" max="1" width="37.88671875" style="1" customWidth="1"/>
    <col min="2" max="5" width="18" style="1" customWidth="1"/>
  </cols>
  <sheetData>
    <row r="1" spans="1:5" ht="39.75" customHeight="1" x14ac:dyDescent="0.3">
      <c r="A1" s="83" t="s">
        <v>66</v>
      </c>
      <c r="B1" s="83"/>
      <c r="C1" s="83"/>
      <c r="D1" s="83"/>
      <c r="E1" s="83"/>
    </row>
    <row r="2" spans="1:5" ht="15" customHeight="1" x14ac:dyDescent="0.3">
      <c r="A2" s="5" t="s">
        <v>67</v>
      </c>
      <c r="B2" s="5" t="s">
        <v>68</v>
      </c>
      <c r="C2" s="5" t="s">
        <v>69</v>
      </c>
      <c r="D2" s="5" t="s">
        <v>70</v>
      </c>
      <c r="E2" s="5" t="s">
        <v>40</v>
      </c>
    </row>
    <row r="3" spans="1:5" ht="18" customHeight="1" x14ac:dyDescent="0.3">
      <c r="A3" s="78" t="s">
        <v>71</v>
      </c>
      <c r="B3" s="78"/>
      <c r="C3" s="78"/>
      <c r="D3" s="78"/>
      <c r="E3" s="78"/>
    </row>
    <row r="4" spans="1:5" ht="18" customHeight="1" x14ac:dyDescent="0.3">
      <c r="A4" s="22" t="s">
        <v>403</v>
      </c>
      <c r="B4" s="4">
        <v>982</v>
      </c>
      <c r="C4" s="4">
        <v>982</v>
      </c>
      <c r="D4" s="7">
        <f t="shared" ref="D4:D13" si="0">C4*12</f>
        <v>11784</v>
      </c>
      <c r="E4" s="9" t="s">
        <v>321</v>
      </c>
    </row>
    <row r="5" spans="1:5" ht="18" customHeight="1" x14ac:dyDescent="0.3">
      <c r="A5" s="22" t="s">
        <v>404</v>
      </c>
      <c r="B5" s="4">
        <v>433</v>
      </c>
      <c r="C5" s="4">
        <v>433</v>
      </c>
      <c r="D5" s="7"/>
      <c r="E5" s="9"/>
    </row>
    <row r="6" spans="1:5" ht="18" customHeight="1" x14ac:dyDescent="0.3">
      <c r="A6" s="23" t="s">
        <v>72</v>
      </c>
      <c r="B6" s="4">
        <v>0</v>
      </c>
      <c r="C6" s="4">
        <v>0</v>
      </c>
      <c r="D6" s="11">
        <f t="shared" si="0"/>
        <v>0</v>
      </c>
      <c r="E6" s="9" t="s">
        <v>321</v>
      </c>
    </row>
    <row r="7" spans="1:5" ht="18" customHeight="1" x14ac:dyDescent="0.3">
      <c r="A7" s="22" t="s">
        <v>73</v>
      </c>
      <c r="B7" s="4">
        <v>120</v>
      </c>
      <c r="C7" s="4">
        <v>135</v>
      </c>
      <c r="D7" s="7">
        <f t="shared" si="0"/>
        <v>1620</v>
      </c>
      <c r="E7" s="9" t="s">
        <v>321</v>
      </c>
    </row>
    <row r="8" spans="1:5" ht="18" customHeight="1" x14ac:dyDescent="0.3">
      <c r="A8" s="23" t="s">
        <v>74</v>
      </c>
      <c r="B8" s="4">
        <v>20</v>
      </c>
      <c r="C8" s="4">
        <v>20</v>
      </c>
      <c r="D8" s="11">
        <f t="shared" si="0"/>
        <v>240</v>
      </c>
      <c r="E8" s="9" t="s">
        <v>321</v>
      </c>
    </row>
    <row r="9" spans="1:5" ht="18" customHeight="1" x14ac:dyDescent="0.3">
      <c r="A9" s="47" t="s">
        <v>318</v>
      </c>
      <c r="B9" s="4">
        <v>55</v>
      </c>
      <c r="C9" s="4">
        <v>55</v>
      </c>
      <c r="D9" s="11"/>
      <c r="E9" s="9" t="s">
        <v>321</v>
      </c>
    </row>
    <row r="10" spans="1:5" ht="18" customHeight="1" x14ac:dyDescent="0.3">
      <c r="A10" s="47" t="s">
        <v>319</v>
      </c>
      <c r="B10" s="4">
        <v>17</v>
      </c>
      <c r="C10" s="4">
        <v>17</v>
      </c>
      <c r="D10" s="11"/>
      <c r="E10" s="9" t="s">
        <v>321</v>
      </c>
    </row>
    <row r="11" spans="1:5" ht="18" customHeight="1" x14ac:dyDescent="0.3">
      <c r="A11" s="47" t="s">
        <v>320</v>
      </c>
      <c r="B11" s="4">
        <v>27</v>
      </c>
      <c r="C11" s="4">
        <v>27</v>
      </c>
      <c r="D11" s="7">
        <f t="shared" si="0"/>
        <v>324</v>
      </c>
      <c r="E11" s="9" t="s">
        <v>321</v>
      </c>
    </row>
    <row r="12" spans="1:5" ht="18" customHeight="1" x14ac:dyDescent="0.3">
      <c r="A12" s="23" t="s">
        <v>75</v>
      </c>
      <c r="B12" s="4">
        <v>100</v>
      </c>
      <c r="C12" s="4">
        <v>100</v>
      </c>
      <c r="D12" s="11">
        <f t="shared" si="0"/>
        <v>1200</v>
      </c>
      <c r="E12" s="9" t="s">
        <v>321</v>
      </c>
    </row>
    <row r="13" spans="1:5" ht="18" customHeight="1" x14ac:dyDescent="0.3">
      <c r="A13" s="22" t="s">
        <v>76</v>
      </c>
      <c r="B13" s="4">
        <v>0</v>
      </c>
      <c r="C13" s="4">
        <v>0</v>
      </c>
      <c r="D13" s="7">
        <f t="shared" si="0"/>
        <v>0</v>
      </c>
      <c r="E13" s="9" t="s">
        <v>321</v>
      </c>
    </row>
    <row r="14" spans="1:5" ht="15" customHeight="1" x14ac:dyDescent="0.3">
      <c r="A14" s="15" t="s">
        <v>77</v>
      </c>
      <c r="B14" s="24">
        <f>SUM(B4:B13)</f>
        <v>1754</v>
      </c>
      <c r="C14" s="24">
        <f>SUM(C4:C13)</f>
        <v>1769</v>
      </c>
      <c r="D14" s="24">
        <f>SUM(D4:D13)</f>
        <v>15168</v>
      </c>
      <c r="E14" s="3"/>
    </row>
    <row r="16" spans="1:5" ht="18" customHeight="1" x14ac:dyDescent="0.3">
      <c r="A16" s="78" t="s">
        <v>78</v>
      </c>
      <c r="B16" s="78"/>
      <c r="C16" s="78"/>
      <c r="D16" s="78"/>
      <c r="E16" s="78"/>
    </row>
    <row r="17" spans="1:5" ht="18" customHeight="1" x14ac:dyDescent="0.3">
      <c r="A17" s="22" t="s">
        <v>79</v>
      </c>
      <c r="B17" s="4">
        <v>296</v>
      </c>
      <c r="C17" s="4">
        <v>296</v>
      </c>
      <c r="D17" s="7">
        <f t="shared" ref="D17:D22" si="1">C17*12</f>
        <v>3552</v>
      </c>
      <c r="E17" s="9"/>
    </row>
    <row r="18" spans="1:5" ht="18" customHeight="1" x14ac:dyDescent="0.3">
      <c r="A18" s="23" t="s">
        <v>80</v>
      </c>
      <c r="B18" s="4">
        <v>134</v>
      </c>
      <c r="C18" s="4">
        <v>134</v>
      </c>
      <c r="D18" s="11">
        <f t="shared" si="1"/>
        <v>1608</v>
      </c>
      <c r="E18" s="13"/>
    </row>
    <row r="19" spans="1:5" ht="18" customHeight="1" x14ac:dyDescent="0.3">
      <c r="A19" s="22" t="s">
        <v>81</v>
      </c>
      <c r="B19" s="4">
        <v>200</v>
      </c>
      <c r="C19" s="4">
        <v>200</v>
      </c>
      <c r="D19" s="7">
        <f t="shared" si="1"/>
        <v>2400</v>
      </c>
      <c r="E19" s="9"/>
    </row>
    <row r="20" spans="1:5" ht="18" customHeight="1" x14ac:dyDescent="0.3">
      <c r="A20" s="23" t="s">
        <v>82</v>
      </c>
      <c r="B20" s="4">
        <v>50</v>
      </c>
      <c r="C20" s="4">
        <v>200</v>
      </c>
      <c r="D20" s="11">
        <f t="shared" si="1"/>
        <v>2400</v>
      </c>
      <c r="E20" s="13"/>
    </row>
    <row r="21" spans="1:5" ht="18" customHeight="1" x14ac:dyDescent="0.3">
      <c r="A21" s="22" t="s">
        <v>83</v>
      </c>
      <c r="B21" s="4">
        <v>0</v>
      </c>
      <c r="C21" s="4">
        <v>0</v>
      </c>
      <c r="D21" s="7">
        <f t="shared" si="1"/>
        <v>0</v>
      </c>
      <c r="E21" s="9"/>
    </row>
    <row r="22" spans="1:5" ht="18" customHeight="1" x14ac:dyDescent="0.3">
      <c r="A22" s="23" t="s">
        <v>84</v>
      </c>
      <c r="B22" s="4">
        <v>0</v>
      </c>
      <c r="C22" s="4">
        <v>25</v>
      </c>
      <c r="D22" s="11">
        <f t="shared" si="1"/>
        <v>300</v>
      </c>
      <c r="E22" s="13"/>
    </row>
    <row r="23" spans="1:5" ht="15" customHeight="1" x14ac:dyDescent="0.3">
      <c r="A23" s="15" t="s">
        <v>77</v>
      </c>
      <c r="B23" s="24">
        <f>SUM(B17:B22)</f>
        <v>680</v>
      </c>
      <c r="C23" s="24">
        <f>SUM(C17:C22)</f>
        <v>855</v>
      </c>
      <c r="D23" s="24">
        <f>SUM(D17:D22)</f>
        <v>10260</v>
      </c>
      <c r="E23" s="3"/>
    </row>
    <row r="25" spans="1:5" ht="18" customHeight="1" x14ac:dyDescent="0.3">
      <c r="A25" s="78" t="s">
        <v>305</v>
      </c>
      <c r="B25" s="78"/>
      <c r="C25" s="78"/>
      <c r="D25" s="78"/>
      <c r="E25" s="78"/>
    </row>
    <row r="26" spans="1:5" ht="18" customHeight="1" x14ac:dyDescent="0.3">
      <c r="A26" s="22" t="s">
        <v>85</v>
      </c>
      <c r="B26" s="4">
        <v>400</v>
      </c>
      <c r="C26" s="4">
        <v>400</v>
      </c>
      <c r="D26" s="7">
        <f>C26*12</f>
        <v>4800</v>
      </c>
      <c r="E26" s="9"/>
    </row>
    <row r="27" spans="1:5" ht="18" customHeight="1" x14ac:dyDescent="0.3">
      <c r="A27" s="23" t="s">
        <v>406</v>
      </c>
      <c r="B27" s="4">
        <v>0</v>
      </c>
      <c r="C27" s="4">
        <v>0</v>
      </c>
      <c r="D27" s="11">
        <f>C27*12</f>
        <v>0</v>
      </c>
      <c r="E27" s="13"/>
    </row>
    <row r="28" spans="1:5" ht="18" customHeight="1" x14ac:dyDescent="0.3">
      <c r="A28" s="22" t="s">
        <v>86</v>
      </c>
      <c r="B28" s="4">
        <v>100</v>
      </c>
      <c r="C28" s="4">
        <v>200</v>
      </c>
      <c r="D28" s="7">
        <f>C28*12</f>
        <v>2400</v>
      </c>
      <c r="E28" s="9"/>
    </row>
    <row r="29" spans="1:5" ht="18" customHeight="1" x14ac:dyDescent="0.3">
      <c r="A29" s="23" t="s">
        <v>405</v>
      </c>
      <c r="B29" s="4">
        <v>40</v>
      </c>
      <c r="C29" s="4">
        <v>40</v>
      </c>
      <c r="D29" s="11">
        <f>C29*12</f>
        <v>480</v>
      </c>
      <c r="E29" s="13"/>
    </row>
    <row r="30" spans="1:5" ht="15" customHeight="1" x14ac:dyDescent="0.3">
      <c r="A30" s="15" t="s">
        <v>77</v>
      </c>
      <c r="B30" s="24">
        <f>SUM(B26:B29)</f>
        <v>540</v>
      </c>
      <c r="C30" s="24">
        <f>SUM(C26:C29)</f>
        <v>640</v>
      </c>
      <c r="D30" s="24">
        <f>SUM(D26:D29)</f>
        <v>7680</v>
      </c>
      <c r="E30" s="3"/>
    </row>
    <row r="32" spans="1:5" ht="18" customHeight="1" x14ac:dyDescent="0.3">
      <c r="A32" s="78" t="s">
        <v>87</v>
      </c>
      <c r="B32" s="78"/>
      <c r="C32" s="78"/>
      <c r="D32" s="78"/>
      <c r="E32" s="78"/>
    </row>
    <row r="33" spans="1:5" ht="18" customHeight="1" x14ac:dyDescent="0.3">
      <c r="A33" s="22" t="s">
        <v>88</v>
      </c>
      <c r="B33" s="4">
        <v>0</v>
      </c>
      <c r="C33" s="4">
        <v>0</v>
      </c>
      <c r="D33" s="7">
        <f>C33*12</f>
        <v>0</v>
      </c>
      <c r="E33" s="9"/>
    </row>
    <row r="34" spans="1:5" ht="18" customHeight="1" x14ac:dyDescent="0.3">
      <c r="A34" s="23" t="s">
        <v>89</v>
      </c>
      <c r="B34" s="4">
        <v>0</v>
      </c>
      <c r="C34" s="4">
        <v>0</v>
      </c>
      <c r="D34" s="11">
        <f>C34*12</f>
        <v>0</v>
      </c>
      <c r="E34" s="13"/>
    </row>
    <row r="35" spans="1:5" ht="18" customHeight="1" x14ac:dyDescent="0.3">
      <c r="A35" s="22" t="s">
        <v>90</v>
      </c>
      <c r="B35" s="4">
        <v>0</v>
      </c>
      <c r="C35" s="4">
        <v>0</v>
      </c>
      <c r="D35" s="7">
        <f>C35*12</f>
        <v>0</v>
      </c>
      <c r="E35" s="9"/>
    </row>
    <row r="36" spans="1:5" ht="18" customHeight="1" x14ac:dyDescent="0.3">
      <c r="A36" s="23" t="s">
        <v>91</v>
      </c>
      <c r="B36" s="4">
        <v>0</v>
      </c>
      <c r="C36" s="4">
        <v>0</v>
      </c>
      <c r="D36" s="11">
        <f>C36*12</f>
        <v>0</v>
      </c>
      <c r="E36" s="13"/>
    </row>
    <row r="37" spans="1:5" ht="15" customHeight="1" x14ac:dyDescent="0.3">
      <c r="A37" s="15" t="s">
        <v>77</v>
      </c>
      <c r="B37" s="24">
        <f>SUM(B33:B36)</f>
        <v>0</v>
      </c>
      <c r="C37" s="24">
        <f>SUM(C33:C36)</f>
        <v>0</v>
      </c>
      <c r="D37" s="24">
        <f>SUM(D33:D36)</f>
        <v>0</v>
      </c>
      <c r="E37" s="3"/>
    </row>
    <row r="39" spans="1:5" ht="18" customHeight="1" x14ac:dyDescent="0.3">
      <c r="A39" s="78" t="s">
        <v>92</v>
      </c>
      <c r="B39" s="78"/>
      <c r="C39" s="78"/>
      <c r="D39" s="78"/>
      <c r="E39" s="78"/>
    </row>
    <row r="40" spans="1:5" ht="18" customHeight="1" x14ac:dyDescent="0.3">
      <c r="A40" s="22" t="s">
        <v>93</v>
      </c>
      <c r="B40" s="4">
        <v>0</v>
      </c>
      <c r="C40" s="4">
        <v>0</v>
      </c>
      <c r="D40" s="7">
        <f>C40*12</f>
        <v>0</v>
      </c>
      <c r="E40" s="9"/>
    </row>
    <row r="41" spans="1:5" ht="18" customHeight="1" x14ac:dyDescent="0.3">
      <c r="A41" s="23" t="s">
        <v>94</v>
      </c>
      <c r="B41" s="4">
        <v>50</v>
      </c>
      <c r="C41" s="4">
        <v>50</v>
      </c>
      <c r="D41" s="11">
        <f>C41*12</f>
        <v>600</v>
      </c>
      <c r="E41" s="13"/>
    </row>
    <row r="42" spans="1:5" ht="18" customHeight="1" x14ac:dyDescent="0.3">
      <c r="A42" s="22" t="s">
        <v>95</v>
      </c>
      <c r="B42" s="4">
        <v>0</v>
      </c>
      <c r="C42" s="4">
        <v>0</v>
      </c>
      <c r="D42" s="7">
        <f>C42*12</f>
        <v>0</v>
      </c>
      <c r="E42" s="9"/>
    </row>
    <row r="43" spans="1:5" ht="15" customHeight="1" x14ac:dyDescent="0.3">
      <c r="A43" s="15" t="s">
        <v>77</v>
      </c>
      <c r="B43" s="24">
        <f>SUM(B40:B42)</f>
        <v>50</v>
      </c>
      <c r="C43" s="24">
        <f>SUM(C40:C42)</f>
        <v>50</v>
      </c>
      <c r="D43" s="24">
        <f>SUM(D40:D42)</f>
        <v>600</v>
      </c>
      <c r="E43" s="3"/>
    </row>
    <row r="45" spans="1:5" ht="18" customHeight="1" x14ac:dyDescent="0.3">
      <c r="A45" s="78" t="s">
        <v>96</v>
      </c>
      <c r="B45" s="78"/>
      <c r="C45" s="78"/>
      <c r="D45" s="78"/>
      <c r="E45" s="78"/>
    </row>
    <row r="46" spans="1:5" ht="18" customHeight="1" x14ac:dyDescent="0.3">
      <c r="A46" s="47" t="s">
        <v>322</v>
      </c>
      <c r="B46" s="4">
        <v>0</v>
      </c>
      <c r="C46" s="4">
        <v>0</v>
      </c>
      <c r="D46" s="7">
        <f>C46*12</f>
        <v>0</v>
      </c>
      <c r="E46" s="9"/>
    </row>
    <row r="47" spans="1:5" ht="18" customHeight="1" x14ac:dyDescent="0.3">
      <c r="A47" s="23" t="s">
        <v>97</v>
      </c>
      <c r="B47" s="4">
        <v>0</v>
      </c>
      <c r="C47" s="4">
        <v>0</v>
      </c>
      <c r="D47" s="11">
        <f>C47*12</f>
        <v>0</v>
      </c>
      <c r="E47" s="13"/>
    </row>
    <row r="48" spans="1:5" ht="18" customHeight="1" x14ac:dyDescent="0.3">
      <c r="A48" s="22" t="s">
        <v>98</v>
      </c>
      <c r="B48" s="4">
        <v>0</v>
      </c>
      <c r="C48" s="4">
        <v>0</v>
      </c>
      <c r="D48" s="7">
        <f>C48*12</f>
        <v>0</v>
      </c>
      <c r="E48" s="9"/>
    </row>
    <row r="49" spans="1:5" ht="18" customHeight="1" x14ac:dyDescent="0.3">
      <c r="A49" s="23" t="s">
        <v>99</v>
      </c>
      <c r="B49" s="4">
        <v>0</v>
      </c>
      <c r="C49" s="4">
        <v>0</v>
      </c>
      <c r="D49" s="11">
        <f>C49*12</f>
        <v>0</v>
      </c>
      <c r="E49" s="13"/>
    </row>
    <row r="50" spans="1:5" ht="15" customHeight="1" x14ac:dyDescent="0.3">
      <c r="A50" s="15" t="s">
        <v>77</v>
      </c>
      <c r="B50" s="24">
        <f>SUM(B46:B49)</f>
        <v>0</v>
      </c>
      <c r="C50" s="24">
        <f>SUM(C46:C49)</f>
        <v>0</v>
      </c>
      <c r="D50" s="24">
        <f>SUM(D46:D49)</f>
        <v>0</v>
      </c>
      <c r="E50" s="3"/>
    </row>
    <row r="52" spans="1:5" ht="18" customHeight="1" x14ac:dyDescent="0.3">
      <c r="A52" s="78" t="s">
        <v>100</v>
      </c>
      <c r="B52" s="78"/>
      <c r="C52" s="78"/>
      <c r="D52" s="78"/>
      <c r="E52" s="78"/>
    </row>
    <row r="53" spans="1:5" ht="18" customHeight="1" x14ac:dyDescent="0.3">
      <c r="A53" s="22" t="s">
        <v>101</v>
      </c>
      <c r="B53" s="4">
        <v>67</v>
      </c>
      <c r="C53" s="4">
        <v>67</v>
      </c>
      <c r="D53" s="7">
        <f>C53*12</f>
        <v>804</v>
      </c>
      <c r="E53" s="9"/>
    </row>
    <row r="54" spans="1:5" ht="18" customHeight="1" x14ac:dyDescent="0.3">
      <c r="A54" s="23" t="s">
        <v>102</v>
      </c>
      <c r="B54" s="4">
        <v>0</v>
      </c>
      <c r="C54" s="4">
        <v>0</v>
      </c>
      <c r="D54" s="11">
        <f>C54*12</f>
        <v>0</v>
      </c>
      <c r="E54" s="13"/>
    </row>
    <row r="55" spans="1:5" ht="18" customHeight="1" x14ac:dyDescent="0.3">
      <c r="A55" s="22" t="s">
        <v>103</v>
      </c>
      <c r="B55" s="4">
        <v>0</v>
      </c>
      <c r="C55" s="4">
        <v>0</v>
      </c>
      <c r="D55" s="7">
        <f>C55*12</f>
        <v>0</v>
      </c>
      <c r="E55" s="9"/>
    </row>
    <row r="56" spans="1:5" ht="15" customHeight="1" x14ac:dyDescent="0.3">
      <c r="A56" s="15" t="s">
        <v>77</v>
      </c>
      <c r="B56" s="24">
        <f>SUM(B53:B55)</f>
        <v>67</v>
      </c>
      <c r="C56" s="24">
        <f>SUM(C53:C55)</f>
        <v>67</v>
      </c>
      <c r="D56" s="24">
        <f>SUM(D53:D55)</f>
        <v>804</v>
      </c>
      <c r="E56" s="3"/>
    </row>
    <row r="58" spans="1:5" ht="18" customHeight="1" x14ac:dyDescent="0.3">
      <c r="A58" s="78" t="s">
        <v>104</v>
      </c>
      <c r="B58" s="78"/>
      <c r="C58" s="78"/>
      <c r="D58" s="78"/>
      <c r="E58" s="78"/>
    </row>
    <row r="59" spans="1:5" ht="18" customHeight="1" x14ac:dyDescent="0.3">
      <c r="A59" s="22" t="s">
        <v>105</v>
      </c>
      <c r="B59" s="4">
        <v>75</v>
      </c>
      <c r="C59" s="4">
        <v>90</v>
      </c>
      <c r="D59" s="7">
        <f>C59*12</f>
        <v>1080</v>
      </c>
      <c r="E59" s="9"/>
    </row>
    <row r="60" spans="1:5" ht="18" customHeight="1" x14ac:dyDescent="0.3">
      <c r="A60" s="23" t="s">
        <v>106</v>
      </c>
      <c r="B60" s="4">
        <v>50</v>
      </c>
      <c r="C60" s="4">
        <v>75</v>
      </c>
      <c r="D60" s="11">
        <f>C60*12</f>
        <v>900</v>
      </c>
      <c r="E60" s="13"/>
    </row>
    <row r="61" spans="1:5" ht="18" customHeight="1" x14ac:dyDescent="0.3">
      <c r="A61" s="47" t="s">
        <v>323</v>
      </c>
      <c r="B61" s="4">
        <v>0</v>
      </c>
      <c r="C61" s="4">
        <v>0</v>
      </c>
      <c r="D61" s="7">
        <f>C61*12</f>
        <v>0</v>
      </c>
      <c r="E61" s="9"/>
    </row>
    <row r="62" spans="1:5" ht="15" customHeight="1" x14ac:dyDescent="0.3">
      <c r="A62" s="15" t="s">
        <v>77</v>
      </c>
      <c r="B62" s="24">
        <v>0</v>
      </c>
      <c r="C62" s="24">
        <v>0</v>
      </c>
      <c r="D62" s="24">
        <f>SUM(D59:D61)</f>
        <v>1980</v>
      </c>
      <c r="E62" s="3"/>
    </row>
    <row r="64" spans="1:5" ht="18" customHeight="1" x14ac:dyDescent="0.3">
      <c r="A64" s="78" t="s">
        <v>107</v>
      </c>
      <c r="B64" s="78"/>
      <c r="C64" s="78"/>
      <c r="D64" s="78"/>
      <c r="E64" s="78"/>
    </row>
    <row r="65" spans="1:5" ht="18" customHeight="1" x14ac:dyDescent="0.3">
      <c r="A65" s="22" t="s">
        <v>108</v>
      </c>
      <c r="B65" s="4">
        <v>0</v>
      </c>
      <c r="C65" s="4">
        <v>0</v>
      </c>
      <c r="D65" s="7">
        <f>C65*12</f>
        <v>0</v>
      </c>
      <c r="E65" s="9"/>
    </row>
    <row r="66" spans="1:5" ht="18" customHeight="1" x14ac:dyDescent="0.3">
      <c r="A66" s="23" t="s">
        <v>109</v>
      </c>
      <c r="B66" s="4">
        <v>25</v>
      </c>
      <c r="C66" s="4">
        <v>25</v>
      </c>
      <c r="D66" s="11">
        <f>C66*12</f>
        <v>300</v>
      </c>
      <c r="E66" s="13"/>
    </row>
    <row r="67" spans="1:5" ht="18" customHeight="1" x14ac:dyDescent="0.3">
      <c r="A67" s="47" t="s">
        <v>110</v>
      </c>
      <c r="B67" s="4">
        <v>10</v>
      </c>
      <c r="C67" s="4">
        <v>10</v>
      </c>
      <c r="D67" s="7">
        <f>C67*12</f>
        <v>120</v>
      </c>
      <c r="E67" s="9"/>
    </row>
    <row r="68" spans="1:5" ht="15" customHeight="1" x14ac:dyDescent="0.3">
      <c r="A68" s="15" t="s">
        <v>77</v>
      </c>
      <c r="B68" s="24">
        <f>SUM(B65:B67)</f>
        <v>35</v>
      </c>
      <c r="C68" s="24">
        <f>SUM(C65:C67)</f>
        <v>35</v>
      </c>
      <c r="D68" s="24">
        <f>SUM(D65:D67)</f>
        <v>420</v>
      </c>
      <c r="E68" s="3"/>
    </row>
    <row r="70" spans="1:5" ht="18" customHeight="1" x14ac:dyDescent="0.3">
      <c r="A70" s="78" t="s">
        <v>111</v>
      </c>
      <c r="B70" s="78"/>
      <c r="C70" s="78"/>
      <c r="D70" s="78"/>
      <c r="E70" s="78"/>
    </row>
    <row r="71" spans="1:5" ht="18" customHeight="1" x14ac:dyDescent="0.3">
      <c r="A71" s="22" t="s">
        <v>112</v>
      </c>
      <c r="B71" s="4">
        <v>0</v>
      </c>
      <c r="C71" s="4">
        <v>0</v>
      </c>
      <c r="D71" s="7">
        <f>C71*12</f>
        <v>0</v>
      </c>
      <c r="E71" s="9"/>
    </row>
    <row r="72" spans="1:5" ht="18" customHeight="1" x14ac:dyDescent="0.3">
      <c r="A72" s="23" t="s">
        <v>113</v>
      </c>
      <c r="B72" s="4">
        <v>0</v>
      </c>
      <c r="C72" s="4">
        <v>0</v>
      </c>
      <c r="D72" s="11">
        <f>C72*12</f>
        <v>0</v>
      </c>
      <c r="E72" s="13"/>
    </row>
    <row r="73" spans="1:5" ht="18" customHeight="1" x14ac:dyDescent="0.3">
      <c r="A73" s="22" t="s">
        <v>114</v>
      </c>
      <c r="B73" s="4">
        <v>0</v>
      </c>
      <c r="C73" s="4">
        <v>0</v>
      </c>
      <c r="D73" s="7">
        <f>C73*12</f>
        <v>0</v>
      </c>
      <c r="E73" s="9"/>
    </row>
    <row r="74" spans="1:5" ht="18" customHeight="1" x14ac:dyDescent="0.3">
      <c r="A74" s="48" t="s">
        <v>324</v>
      </c>
      <c r="B74" s="4">
        <v>0</v>
      </c>
      <c r="C74" s="4">
        <v>0</v>
      </c>
      <c r="D74" s="11">
        <f>C74*12</f>
        <v>0</v>
      </c>
      <c r="E74" s="13"/>
    </row>
    <row r="75" spans="1:5" ht="15" customHeight="1" x14ac:dyDescent="0.3">
      <c r="A75" s="15" t="s">
        <v>77</v>
      </c>
      <c r="B75" s="24">
        <f>SUM(B71:B74)</f>
        <v>0</v>
      </c>
      <c r="C75" s="24">
        <f>SUM(C71:C74)</f>
        <v>0</v>
      </c>
      <c r="D75" s="24">
        <f>SUM(D71:D74)</f>
        <v>0</v>
      </c>
      <c r="E75" s="3"/>
    </row>
    <row r="77" spans="1:5" ht="18" customHeight="1" x14ac:dyDescent="0.3">
      <c r="A77" s="78" t="s">
        <v>115</v>
      </c>
      <c r="B77" s="78"/>
      <c r="C77" s="78"/>
      <c r="D77" s="78"/>
      <c r="E77" s="78"/>
    </row>
    <row r="78" spans="1:5" ht="18" customHeight="1" x14ac:dyDescent="0.3">
      <c r="A78" s="22" t="s">
        <v>116</v>
      </c>
      <c r="B78" s="4">
        <v>200</v>
      </c>
      <c r="C78" s="4">
        <v>200</v>
      </c>
      <c r="D78" s="7">
        <f>C78*12</f>
        <v>2400</v>
      </c>
      <c r="E78" s="9"/>
    </row>
    <row r="79" spans="1:5" ht="18" customHeight="1" x14ac:dyDescent="0.3">
      <c r="A79" s="48" t="s">
        <v>325</v>
      </c>
      <c r="B79" s="4">
        <v>500</v>
      </c>
      <c r="C79" s="4">
        <v>500</v>
      </c>
      <c r="D79" s="11">
        <f>C79*12</f>
        <v>6000</v>
      </c>
      <c r="E79" s="13"/>
    </row>
    <row r="80" spans="1:5" ht="18" customHeight="1" x14ac:dyDescent="0.3">
      <c r="A80" s="22" t="s">
        <v>117</v>
      </c>
      <c r="B80" s="4">
        <v>150</v>
      </c>
      <c r="C80" s="4">
        <v>150</v>
      </c>
      <c r="D80" s="7">
        <f>C80*12</f>
        <v>1800</v>
      </c>
      <c r="E80" s="9"/>
    </row>
    <row r="81" spans="1:5" ht="18" customHeight="1" x14ac:dyDescent="0.3">
      <c r="A81" s="23" t="s">
        <v>118</v>
      </c>
      <c r="B81" s="4">
        <v>100</v>
      </c>
      <c r="C81" s="4">
        <v>100</v>
      </c>
      <c r="D81" s="11">
        <f>C81*12</f>
        <v>1200</v>
      </c>
      <c r="E81" s="13"/>
    </row>
    <row r="82" spans="1:5" ht="15" customHeight="1" x14ac:dyDescent="0.3">
      <c r="A82" s="15" t="s">
        <v>77</v>
      </c>
      <c r="B82" s="24">
        <f>SUM(B78:B81)</f>
        <v>950</v>
      </c>
      <c r="C82" s="24">
        <f>SUM(C78:C81)</f>
        <v>950</v>
      </c>
      <c r="D82" s="24">
        <f>SUM(D78:D81)</f>
        <v>11400</v>
      </c>
      <c r="E82" s="3"/>
    </row>
    <row r="84" spans="1:5" ht="18" customHeight="1" x14ac:dyDescent="0.3">
      <c r="A84" s="78" t="s">
        <v>119</v>
      </c>
      <c r="B84" s="78"/>
      <c r="C84" s="78"/>
      <c r="D84" s="78"/>
      <c r="E84" s="78"/>
    </row>
    <row r="85" spans="1:5" ht="18" customHeight="1" x14ac:dyDescent="0.3">
      <c r="A85" s="22" t="s">
        <v>120</v>
      </c>
      <c r="B85" s="4">
        <v>50</v>
      </c>
      <c r="C85" s="4">
        <v>50</v>
      </c>
      <c r="D85" s="7">
        <f>C85*12</f>
        <v>600</v>
      </c>
      <c r="E85" s="9"/>
    </row>
    <row r="86" spans="1:5" ht="18" customHeight="1" x14ac:dyDescent="0.3">
      <c r="A86" s="23" t="s">
        <v>121</v>
      </c>
      <c r="B86" s="4">
        <v>30</v>
      </c>
      <c r="C86" s="4">
        <v>60</v>
      </c>
      <c r="D86" s="11">
        <f>C86*12</f>
        <v>720</v>
      </c>
      <c r="E86" s="13"/>
    </row>
    <row r="87" spans="1:5" ht="18" customHeight="1" x14ac:dyDescent="0.3">
      <c r="A87" s="22" t="s">
        <v>122</v>
      </c>
      <c r="B87" s="4">
        <v>50</v>
      </c>
      <c r="C87" s="4">
        <v>80</v>
      </c>
      <c r="D87" s="7">
        <f>C87*12</f>
        <v>960</v>
      </c>
      <c r="E87" s="9"/>
    </row>
    <row r="88" spans="1:5" ht="15" customHeight="1" x14ac:dyDescent="0.3">
      <c r="A88" s="15" t="s">
        <v>77</v>
      </c>
      <c r="B88" s="24">
        <f>SUM(B85:B87)</f>
        <v>130</v>
      </c>
      <c r="C88" s="24">
        <f>SUM(C85:C87)</f>
        <v>190</v>
      </c>
      <c r="D88" s="24">
        <f>SUM(D85:D87)</f>
        <v>2280</v>
      </c>
      <c r="E88" s="3"/>
    </row>
    <row r="90" spans="1:5" ht="26.25" customHeight="1" x14ac:dyDescent="0.3">
      <c r="A90" s="25" t="s">
        <v>123</v>
      </c>
      <c r="B90" s="26">
        <f>B14+B23+B30+B37+B43+B50+B56+B62+B68+B75+B82+B88</f>
        <v>4206</v>
      </c>
      <c r="C90" s="26">
        <f>C14+C23+C30+C37+C43+C50+C56+C62+C68+C75+C82+C88</f>
        <v>4556</v>
      </c>
      <c r="D90" s="26">
        <f>D14+D23+D30+D37+D43+D50+D56+D62+D68+D75+D82+D88</f>
        <v>50592</v>
      </c>
      <c r="E90" s="27"/>
    </row>
    <row r="91" spans="1:5" x14ac:dyDescent="0.3">
      <c r="B91" s="5" t="s">
        <v>68</v>
      </c>
      <c r="C91" s="5" t="s">
        <v>69</v>
      </c>
      <c r="D91" s="5" t="s">
        <v>70</v>
      </c>
      <c r="E91" s="5" t="s">
        <v>40</v>
      </c>
    </row>
    <row r="95" spans="1:5" ht="15" customHeight="1" x14ac:dyDescent="0.3">
      <c r="A95" s="1" t="s">
        <v>124</v>
      </c>
      <c r="C95" s="4">
        <v>16000</v>
      </c>
    </row>
    <row r="100" spans="1:3" ht="15" customHeight="1" x14ac:dyDescent="0.3">
      <c r="A100" s="1" t="s">
        <v>125</v>
      </c>
      <c r="C100" s="16">
        <v>250</v>
      </c>
    </row>
  </sheetData>
  <mergeCells count="13">
    <mergeCell ref="A70:E70"/>
    <mergeCell ref="A77:E77"/>
    <mergeCell ref="A84:E84"/>
    <mergeCell ref="A39:E39"/>
    <mergeCell ref="A45:E45"/>
    <mergeCell ref="A52:E52"/>
    <mergeCell ref="A58:E58"/>
    <mergeCell ref="A64:E64"/>
    <mergeCell ref="A1:E1"/>
    <mergeCell ref="A3:E3"/>
    <mergeCell ref="A16:E16"/>
    <mergeCell ref="A25:E25"/>
    <mergeCell ref="A32:E3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zoomScale="90" zoomScaleNormal="90" workbookViewId="0">
      <selection activeCell="B28" sqref="B28"/>
    </sheetView>
  </sheetViews>
  <sheetFormatPr defaultColWidth="8.6640625" defaultRowHeight="14.4" x14ac:dyDescent="0.3"/>
  <cols>
    <col min="1" max="1" width="34.44140625" style="1" customWidth="1"/>
    <col min="2" max="3" width="18.88671875" style="1" customWidth="1"/>
    <col min="4" max="4" width="21.44140625" style="1" customWidth="1"/>
    <col min="5" max="5" width="25.6640625" style="1" customWidth="1"/>
    <col min="6" max="6" width="28" style="1" customWidth="1"/>
    <col min="7" max="8" width="15" style="1" customWidth="1"/>
    <col min="9" max="9" width="20.5546875" style="1" customWidth="1"/>
    <col min="10" max="10" width="15" style="1" customWidth="1"/>
  </cols>
  <sheetData>
    <row r="1" spans="1:10" ht="39.75" customHeight="1" x14ac:dyDescent="0.3">
      <c r="A1" s="85" t="s">
        <v>126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customHeight="1" x14ac:dyDescent="0.3">
      <c r="A2" s="77" t="s">
        <v>127</v>
      </c>
      <c r="B2" s="77"/>
      <c r="C2" s="77"/>
      <c r="D2" s="77"/>
      <c r="E2" s="77"/>
      <c r="F2" s="78" t="s">
        <v>128</v>
      </c>
      <c r="G2" s="78"/>
      <c r="H2" s="78"/>
      <c r="I2" s="78"/>
      <c r="J2" s="78"/>
    </row>
    <row r="3" spans="1:10" ht="28.8" customHeight="1" x14ac:dyDescent="0.3">
      <c r="A3" s="5" t="s">
        <v>129</v>
      </c>
      <c r="B3" s="5" t="s">
        <v>39</v>
      </c>
      <c r="C3" s="5" t="s">
        <v>38</v>
      </c>
      <c r="D3" s="5" t="s">
        <v>130</v>
      </c>
      <c r="E3" s="5" t="s">
        <v>40</v>
      </c>
      <c r="F3" s="28" t="s">
        <v>131</v>
      </c>
      <c r="G3" s="28" t="s">
        <v>132</v>
      </c>
      <c r="H3" s="28" t="s">
        <v>133</v>
      </c>
      <c r="I3" s="28" t="s">
        <v>134</v>
      </c>
      <c r="J3" s="28"/>
    </row>
    <row r="4" spans="1:10" ht="18" customHeight="1" x14ac:dyDescent="0.3">
      <c r="A4" s="6" t="s">
        <v>424</v>
      </c>
      <c r="B4" s="49">
        <v>1000</v>
      </c>
      <c r="C4" s="56">
        <f>B4*12</f>
        <v>12000</v>
      </c>
      <c r="D4" s="56">
        <f t="shared" ref="D4:D14" ca="1" si="0">B4*MONTH(TODAY())</f>
        <v>4000</v>
      </c>
      <c r="E4" s="53" t="s">
        <v>432</v>
      </c>
      <c r="F4" s="6" t="s">
        <v>424</v>
      </c>
      <c r="G4" s="57">
        <v>0.1</v>
      </c>
      <c r="H4" s="55" t="s">
        <v>135</v>
      </c>
      <c r="I4" s="55" t="s">
        <v>136</v>
      </c>
      <c r="J4" s="68"/>
    </row>
    <row r="5" spans="1:10" ht="18" customHeight="1" x14ac:dyDescent="0.3">
      <c r="A5" s="10" t="s">
        <v>425</v>
      </c>
      <c r="B5" s="49">
        <v>500</v>
      </c>
      <c r="C5" s="54">
        <v>7000</v>
      </c>
      <c r="D5" s="54">
        <f t="shared" ca="1" si="0"/>
        <v>2000</v>
      </c>
      <c r="E5" s="53" t="s">
        <v>137</v>
      </c>
      <c r="F5" s="10" t="s">
        <v>425</v>
      </c>
      <c r="G5" s="57">
        <v>0.11</v>
      </c>
      <c r="H5" s="53" t="s">
        <v>138</v>
      </c>
      <c r="I5" s="53" t="s">
        <v>139</v>
      </c>
      <c r="J5" s="69"/>
    </row>
    <row r="6" spans="1:10" ht="18" customHeight="1" x14ac:dyDescent="0.3">
      <c r="A6" s="6" t="s">
        <v>426</v>
      </c>
      <c r="B6" s="49">
        <v>0</v>
      </c>
      <c r="C6" s="56">
        <f t="shared" ref="C6:C14" si="1">B6*12</f>
        <v>0</v>
      </c>
      <c r="D6" s="56">
        <f t="shared" ca="1" si="0"/>
        <v>0</v>
      </c>
      <c r="E6" s="55"/>
      <c r="F6" s="6" t="s">
        <v>426</v>
      </c>
      <c r="G6" s="57">
        <v>0.08</v>
      </c>
      <c r="H6" s="55" t="s">
        <v>138</v>
      </c>
      <c r="I6" s="55" t="s">
        <v>140</v>
      </c>
      <c r="J6" s="68"/>
    </row>
    <row r="7" spans="1:10" ht="18" customHeight="1" x14ac:dyDescent="0.3">
      <c r="A7" s="10" t="s">
        <v>431</v>
      </c>
      <c r="B7" s="49">
        <v>500</v>
      </c>
      <c r="C7" s="54">
        <f t="shared" si="1"/>
        <v>6000</v>
      </c>
      <c r="D7" s="54">
        <f t="shared" ca="1" si="0"/>
        <v>2000</v>
      </c>
      <c r="E7" s="53"/>
      <c r="F7" s="10" t="s">
        <v>431</v>
      </c>
      <c r="G7" s="57">
        <v>4.4999999999999998E-2</v>
      </c>
      <c r="H7" s="53" t="s">
        <v>141</v>
      </c>
      <c r="I7" s="53" t="s">
        <v>142</v>
      </c>
      <c r="J7" s="69"/>
    </row>
    <row r="8" spans="1:10" ht="18" customHeight="1" x14ac:dyDescent="0.3">
      <c r="A8" s="6" t="s">
        <v>430</v>
      </c>
      <c r="B8" s="49">
        <v>600</v>
      </c>
      <c r="C8" s="56">
        <f t="shared" si="1"/>
        <v>7200</v>
      </c>
      <c r="D8" s="56">
        <f t="shared" ca="1" si="0"/>
        <v>2400</v>
      </c>
      <c r="E8" s="55" t="s">
        <v>143</v>
      </c>
      <c r="F8" s="6" t="s">
        <v>430</v>
      </c>
      <c r="G8" s="57">
        <v>0.04</v>
      </c>
      <c r="H8" s="55" t="s">
        <v>144</v>
      </c>
      <c r="I8" s="55" t="s">
        <v>145</v>
      </c>
      <c r="J8" s="68"/>
    </row>
    <row r="9" spans="1:10" ht="18" customHeight="1" x14ac:dyDescent="0.3">
      <c r="A9" s="10" t="s">
        <v>428</v>
      </c>
      <c r="B9" s="49">
        <v>0</v>
      </c>
      <c r="C9" s="54">
        <f t="shared" si="1"/>
        <v>0</v>
      </c>
      <c r="D9" s="54">
        <f t="shared" ca="1" si="0"/>
        <v>0</v>
      </c>
      <c r="E9" s="53"/>
      <c r="F9" s="10" t="s">
        <v>428</v>
      </c>
      <c r="G9" s="57">
        <v>0.09</v>
      </c>
      <c r="H9" s="53" t="s">
        <v>135</v>
      </c>
      <c r="I9" s="53" t="s">
        <v>146</v>
      </c>
      <c r="J9" s="69"/>
    </row>
    <row r="10" spans="1:10" ht="18" customHeight="1" x14ac:dyDescent="0.3">
      <c r="A10" s="6" t="s">
        <v>427</v>
      </c>
      <c r="B10" s="49">
        <v>666</v>
      </c>
      <c r="C10" s="56">
        <v>8000</v>
      </c>
      <c r="D10" s="56">
        <f t="shared" ca="1" si="0"/>
        <v>2664</v>
      </c>
      <c r="E10" s="55" t="s">
        <v>433</v>
      </c>
      <c r="F10" s="6" t="s">
        <v>427</v>
      </c>
      <c r="G10" s="57">
        <v>0.09</v>
      </c>
      <c r="H10" s="55" t="s">
        <v>135</v>
      </c>
      <c r="I10" s="55" t="s">
        <v>148</v>
      </c>
      <c r="J10" s="68"/>
    </row>
    <row r="11" spans="1:10" ht="18" customHeight="1" x14ac:dyDescent="0.3">
      <c r="A11" s="10" t="s">
        <v>429</v>
      </c>
      <c r="B11" s="49">
        <v>500</v>
      </c>
      <c r="C11" s="54">
        <f t="shared" si="1"/>
        <v>6000</v>
      </c>
      <c r="D11" s="54">
        <f t="shared" ca="1" si="0"/>
        <v>2000</v>
      </c>
      <c r="E11" s="53"/>
      <c r="F11" s="10" t="s">
        <v>429</v>
      </c>
      <c r="G11" s="57">
        <v>4.4999999999999998E-2</v>
      </c>
      <c r="H11" s="53" t="s">
        <v>149</v>
      </c>
      <c r="I11" s="53" t="s">
        <v>150</v>
      </c>
      <c r="J11" s="69"/>
    </row>
    <row r="12" spans="1:10" ht="18" customHeight="1" x14ac:dyDescent="0.3">
      <c r="A12" s="6" t="s">
        <v>147</v>
      </c>
      <c r="B12" s="49">
        <v>200</v>
      </c>
      <c r="C12" s="56">
        <f t="shared" si="1"/>
        <v>2400</v>
      </c>
      <c r="D12" s="56">
        <f t="shared" ca="1" si="0"/>
        <v>800</v>
      </c>
      <c r="E12" s="55"/>
      <c r="F12" s="6" t="s">
        <v>147</v>
      </c>
      <c r="G12" s="57">
        <v>7.0000000000000007E-2</v>
      </c>
      <c r="H12" s="55" t="s">
        <v>151</v>
      </c>
      <c r="I12" s="55" t="s">
        <v>152</v>
      </c>
      <c r="J12" s="68"/>
    </row>
    <row r="13" spans="1:10" ht="18" customHeight="1" x14ac:dyDescent="0.3">
      <c r="A13" s="10" t="s">
        <v>153</v>
      </c>
      <c r="B13" s="49"/>
      <c r="C13" s="56"/>
      <c r="D13" s="56"/>
      <c r="E13" s="55"/>
      <c r="F13" s="10" t="s">
        <v>153</v>
      </c>
      <c r="G13" s="57">
        <v>0.05</v>
      </c>
      <c r="H13" s="55" t="s">
        <v>149</v>
      </c>
      <c r="I13" s="55"/>
      <c r="J13" s="68"/>
    </row>
    <row r="14" spans="1:10" ht="18" customHeight="1" x14ac:dyDescent="0.3">
      <c r="A14" s="6" t="s">
        <v>385</v>
      </c>
      <c r="B14" s="49">
        <v>0</v>
      </c>
      <c r="C14" s="54">
        <f t="shared" si="1"/>
        <v>0</v>
      </c>
      <c r="D14" s="54">
        <f t="shared" ca="1" si="0"/>
        <v>0</v>
      </c>
      <c r="E14" s="53"/>
      <c r="F14" s="53" t="s">
        <v>154</v>
      </c>
      <c r="G14" s="57">
        <v>0.1</v>
      </c>
      <c r="H14" s="53" t="s">
        <v>149</v>
      </c>
      <c r="I14" s="53" t="s">
        <v>155</v>
      </c>
      <c r="J14" s="69"/>
    </row>
    <row r="15" spans="1:10" ht="15" customHeight="1" x14ac:dyDescent="0.3">
      <c r="A15" s="15" t="s">
        <v>156</v>
      </c>
      <c r="B15" s="24">
        <f>SUM(B4:B14)</f>
        <v>3966</v>
      </c>
      <c r="C15" s="24">
        <f>SUM(C4:C14)</f>
        <v>48600</v>
      </c>
      <c r="D15" s="24">
        <f ca="1">SUM(D4:D14)</f>
        <v>15864</v>
      </c>
      <c r="E15" s="29"/>
    </row>
    <row r="17" spans="1:10" ht="15" customHeight="1" x14ac:dyDescent="0.3">
      <c r="A17" s="77" t="s">
        <v>157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ht="23.25" customHeight="1" x14ac:dyDescent="0.3">
      <c r="A18" s="5" t="s">
        <v>158</v>
      </c>
      <c r="B18" s="5" t="s">
        <v>159</v>
      </c>
      <c r="C18" s="5" t="s">
        <v>160</v>
      </c>
      <c r="D18" s="5" t="s">
        <v>161</v>
      </c>
      <c r="E18" s="5" t="s">
        <v>162</v>
      </c>
      <c r="F18" s="5" t="s">
        <v>163</v>
      </c>
      <c r="G18" s="5" t="s">
        <v>164</v>
      </c>
      <c r="H18" s="5" t="s">
        <v>165</v>
      </c>
      <c r="I18" s="5" t="s">
        <v>166</v>
      </c>
      <c r="J18" s="5" t="s">
        <v>167</v>
      </c>
    </row>
    <row r="19" spans="1:10" ht="18" customHeight="1" x14ac:dyDescent="0.3">
      <c r="A19" s="6" t="s">
        <v>378</v>
      </c>
      <c r="B19" s="49">
        <v>90000</v>
      </c>
      <c r="C19" s="50">
        <f>IF(B29=0,0,B19/B29)</f>
        <v>0.23407022106631989</v>
      </c>
      <c r="D19" s="59">
        <v>0.4</v>
      </c>
      <c r="E19" s="50">
        <f t="shared" ref="E19:E28" si="2">C19-D19</f>
        <v>-0.16592977893368013</v>
      </c>
      <c r="F19" s="60">
        <f t="shared" ref="F19:F27" si="3">B19*G4</f>
        <v>9000</v>
      </c>
      <c r="G19" s="60">
        <f t="shared" ref="G19:G27" si="4">B19*(1+G4)^5+B4*12*((1+G4)^5-1)/G4</f>
        <v>218207.10000000009</v>
      </c>
      <c r="H19" s="60">
        <f t="shared" ref="H19:H27" si="5">B19*(1+G4)^10+B4*12*((1+G4)^10-1)/G4</f>
        <v>424685.91662100039</v>
      </c>
      <c r="I19" s="60">
        <f t="shared" ref="I19:I27" si="6">B19*(1+G4)^20+B4*12*((1+G4)^20-1)/G4</f>
        <v>1292774.9893583781</v>
      </c>
      <c r="J19" s="60">
        <f t="shared" ref="J19:J27" si="7">B19*(1+G4)^30+B4*12*((1+G4)^30-1)/G4</f>
        <v>3544374.4764661533</v>
      </c>
    </row>
    <row r="20" spans="1:10" ht="18" customHeight="1" x14ac:dyDescent="0.3">
      <c r="A20" s="10" t="s">
        <v>379</v>
      </c>
      <c r="B20" s="49">
        <v>7000</v>
      </c>
      <c r="C20" s="52">
        <f>IF(B29=0,0,B20/B29)</f>
        <v>1.8205461638491547E-2</v>
      </c>
      <c r="D20" s="59">
        <v>0.1</v>
      </c>
      <c r="E20" s="52">
        <f t="shared" si="2"/>
        <v>-8.1794538361508462E-2</v>
      </c>
      <c r="F20" s="61">
        <f t="shared" si="3"/>
        <v>770</v>
      </c>
      <c r="G20" s="61">
        <f t="shared" si="4"/>
        <v>49162.215545700041</v>
      </c>
      <c r="H20" s="61">
        <f t="shared" si="5"/>
        <v>120208.00068806592</v>
      </c>
      <c r="I20" s="61">
        <f t="shared" si="6"/>
        <v>441653.17363267601</v>
      </c>
      <c r="J20" s="61">
        <f t="shared" si="7"/>
        <v>1354371.3435621867</v>
      </c>
    </row>
    <row r="21" spans="1:10" ht="18" customHeight="1" x14ac:dyDescent="0.3">
      <c r="A21" s="6" t="s">
        <v>380</v>
      </c>
      <c r="B21" s="49">
        <v>20000</v>
      </c>
      <c r="C21" s="50">
        <f>IF(B29=0,0,B21/B29)</f>
        <v>5.2015604681404419E-2</v>
      </c>
      <c r="D21" s="59">
        <v>0.1</v>
      </c>
      <c r="E21" s="50">
        <f t="shared" si="2"/>
        <v>-4.7984395318595587E-2</v>
      </c>
      <c r="F21" s="60">
        <f t="shared" si="3"/>
        <v>1600</v>
      </c>
      <c r="G21" s="60">
        <f t="shared" si="4"/>
        <v>29386.561536000008</v>
      </c>
      <c r="H21" s="60">
        <f t="shared" si="5"/>
        <v>43178.499945455755</v>
      </c>
      <c r="I21" s="60">
        <f t="shared" si="6"/>
        <v>93219.142876986123</v>
      </c>
      <c r="J21" s="60">
        <f t="shared" si="7"/>
        <v>201253.13778146889</v>
      </c>
    </row>
    <row r="22" spans="1:10" ht="18" customHeight="1" x14ac:dyDescent="0.3">
      <c r="A22" s="10" t="s">
        <v>381</v>
      </c>
      <c r="B22" s="49">
        <v>15000</v>
      </c>
      <c r="C22" s="52">
        <f>IF(B29=0,0,B22/B29)</f>
        <v>3.9011703511053319E-2</v>
      </c>
      <c r="D22" s="59">
        <v>0.05</v>
      </c>
      <c r="E22" s="52">
        <f t="shared" si="2"/>
        <v>-1.0988296488946683E-2</v>
      </c>
      <c r="F22" s="61">
        <f t="shared" si="3"/>
        <v>675</v>
      </c>
      <c r="G22" s="61">
        <f t="shared" si="4"/>
        <v>51516.987418546792</v>
      </c>
      <c r="H22" s="61">
        <f t="shared" si="5"/>
        <v>97023.797557046142</v>
      </c>
      <c r="I22" s="61">
        <f t="shared" si="6"/>
        <v>224404.24701754813</v>
      </c>
      <c r="J22" s="61">
        <f t="shared" si="7"/>
        <v>422222.18995630025</v>
      </c>
    </row>
    <row r="23" spans="1:10" ht="18" customHeight="1" x14ac:dyDescent="0.3">
      <c r="A23" s="10" t="s">
        <v>386</v>
      </c>
      <c r="B23" s="49">
        <v>35000</v>
      </c>
      <c r="C23" s="50">
        <f>IF(B29=0,0,B23/B29)</f>
        <v>9.1027308192457732E-2</v>
      </c>
      <c r="D23" s="59">
        <v>0.05</v>
      </c>
      <c r="E23" s="50">
        <f t="shared" si="2"/>
        <v>4.1027308192457729E-2</v>
      </c>
      <c r="F23" s="60">
        <f t="shared" si="3"/>
        <v>1400</v>
      </c>
      <c r="G23" s="60">
        <f t="shared" si="4"/>
        <v>81580.374016000074</v>
      </c>
      <c r="H23" s="60">
        <f t="shared" si="5"/>
        <v>138252.52125744411</v>
      </c>
      <c r="I23" s="60">
        <f t="shared" si="6"/>
        <v>291091.47575218556</v>
      </c>
      <c r="J23" s="60">
        <f t="shared" si="7"/>
        <v>517330.46465592162</v>
      </c>
    </row>
    <row r="24" spans="1:10" ht="18" customHeight="1" x14ac:dyDescent="0.3">
      <c r="A24" s="10" t="s">
        <v>387</v>
      </c>
      <c r="B24" s="49">
        <v>72000</v>
      </c>
      <c r="C24" s="52">
        <f>IF(B29=0,0,B24/B29)</f>
        <v>0.18725617685305593</v>
      </c>
      <c r="D24" s="59">
        <v>0.15</v>
      </c>
      <c r="E24" s="52">
        <f t="shared" si="2"/>
        <v>3.7256176853055933E-2</v>
      </c>
      <c r="F24" s="61">
        <f t="shared" si="3"/>
        <v>6480</v>
      </c>
      <c r="G24" s="61">
        <f t="shared" si="4"/>
        <v>110780.92475280004</v>
      </c>
      <c r="H24" s="61">
        <f t="shared" si="5"/>
        <v>170450.18457063255</v>
      </c>
      <c r="I24" s="61">
        <f t="shared" si="6"/>
        <v>403517.57528003742</v>
      </c>
      <c r="J24" s="61">
        <f t="shared" si="7"/>
        <v>955272.84977745137</v>
      </c>
    </row>
    <row r="25" spans="1:10" ht="18" customHeight="1" x14ac:dyDescent="0.3">
      <c r="A25" s="6" t="s">
        <v>382</v>
      </c>
      <c r="B25" s="49">
        <v>7000</v>
      </c>
      <c r="C25" s="50">
        <f>IF(B29=0,0,B25/B29)</f>
        <v>1.8205461638491547E-2</v>
      </c>
      <c r="D25" s="59">
        <v>0.1</v>
      </c>
      <c r="E25" s="50">
        <f t="shared" si="2"/>
        <v>-8.1794538361508462E-2</v>
      </c>
      <c r="F25" s="60">
        <f t="shared" si="3"/>
        <v>630</v>
      </c>
      <c r="G25" s="60">
        <f t="shared" si="4"/>
        <v>58600.174879420054</v>
      </c>
      <c r="H25" s="60">
        <f t="shared" si="5"/>
        <v>137993.440025925</v>
      </c>
      <c r="I25" s="60">
        <f t="shared" si="6"/>
        <v>448102.55155316094</v>
      </c>
      <c r="J25" s="60">
        <f t="shared" si="7"/>
        <v>1182243.5973427757</v>
      </c>
    </row>
    <row r="26" spans="1:10" ht="18" customHeight="1" x14ac:dyDescent="0.3">
      <c r="A26" s="10" t="s">
        <v>383</v>
      </c>
      <c r="B26" s="49">
        <v>16000</v>
      </c>
      <c r="C26" s="52">
        <f>IF(B29=0,0,B26/B29)</f>
        <v>4.1612483745123538E-2</v>
      </c>
      <c r="D26" s="59">
        <v>0.05</v>
      </c>
      <c r="E26" s="52">
        <f t="shared" si="2"/>
        <v>-8.3875162548764648E-3</v>
      </c>
      <c r="F26" s="61">
        <f t="shared" si="3"/>
        <v>720</v>
      </c>
      <c r="G26" s="61">
        <f t="shared" si="4"/>
        <v>52763.16935619992</v>
      </c>
      <c r="H26" s="61">
        <f t="shared" si="5"/>
        <v>98576.766978779036</v>
      </c>
      <c r="I26" s="61">
        <f t="shared" si="6"/>
        <v>226815.96104238555</v>
      </c>
      <c r="J26" s="61">
        <f t="shared" si="7"/>
        <v>425967.50809083716</v>
      </c>
    </row>
    <row r="27" spans="1:10" ht="18" customHeight="1" x14ac:dyDescent="0.3">
      <c r="A27" s="6" t="s">
        <v>384</v>
      </c>
      <c r="B27" s="49">
        <v>1000</v>
      </c>
      <c r="C27" s="50">
        <f>IF(B29=0,0,B27/B29)</f>
        <v>2.6007802340702211E-3</v>
      </c>
      <c r="D27" s="59">
        <v>0</v>
      </c>
      <c r="E27" s="50">
        <f t="shared" si="2"/>
        <v>2.6007802340702211E-3</v>
      </c>
      <c r="F27" s="60">
        <f t="shared" si="3"/>
        <v>70</v>
      </c>
      <c r="G27" s="60">
        <f t="shared" si="4"/>
        <v>15204.325354700006</v>
      </c>
      <c r="H27" s="60">
        <f t="shared" si="5"/>
        <v>35126.626464360379</v>
      </c>
      <c r="I27" s="60">
        <f t="shared" si="6"/>
        <v>102258.86603344091</v>
      </c>
      <c r="J27" s="60">
        <f t="shared" si="7"/>
        <v>234318.1422196459</v>
      </c>
    </row>
    <row r="28" spans="1:10" ht="18" customHeight="1" x14ac:dyDescent="0.3">
      <c r="A28" s="10" t="s">
        <v>388</v>
      </c>
      <c r="B28" s="49">
        <v>121500</v>
      </c>
      <c r="C28" s="52">
        <f>IF(B29=0,0,B28/B29)</f>
        <v>0.31599479843953188</v>
      </c>
      <c r="D28" s="59">
        <v>0</v>
      </c>
      <c r="E28" s="52">
        <f t="shared" si="2"/>
        <v>0.31599479843953188</v>
      </c>
      <c r="F28" s="61">
        <f t="shared" ref="F28" si="8">B28*G14</f>
        <v>12150</v>
      </c>
      <c r="G28" s="61">
        <f t="shared" ref="G28" si="9">B28*(1+G14)^5+B14*12*((1+G14)^5-1)/G14</f>
        <v>195676.96500000005</v>
      </c>
      <c r="H28" s="61">
        <f t="shared" ref="H28" si="10">B28*(1+G14)^10+B14*12*((1+G14)^10-1)/G14</f>
        <v>315139.70890215022</v>
      </c>
      <c r="I28" s="61">
        <f t="shared" ref="I28" si="11">B28*(1+G14)^20+B14*12*((1+G14)^20-1)/G14</f>
        <v>817391.2438430615</v>
      </c>
      <c r="J28" s="61">
        <f t="shared" ref="J28" si="12">B28*(1+G14)^30+B14*12*((1+G14)^30-1)/G14</f>
        <v>2120102.3756697029</v>
      </c>
    </row>
    <row r="29" spans="1:10" ht="15" customHeight="1" x14ac:dyDescent="0.3">
      <c r="A29" s="30" t="s">
        <v>168</v>
      </c>
      <c r="B29" s="26">
        <f>SUM(B19:B28)</f>
        <v>384500</v>
      </c>
      <c r="C29" s="31">
        <f>SUM(C19:C28)</f>
        <v>1</v>
      </c>
      <c r="D29" s="32"/>
      <c r="E29" s="32"/>
      <c r="F29" s="26">
        <f>SUM(F19:F28)</f>
        <v>33495</v>
      </c>
      <c r="G29" s="26">
        <f>SUM(G19:G28)</f>
        <v>862878.7978593671</v>
      </c>
      <c r="H29" s="26">
        <f>SUM(H19:H28)</f>
        <v>1580635.4630108594</v>
      </c>
      <c r="I29" s="26">
        <f>SUM(I19:I28)</f>
        <v>4341229.2263898607</v>
      </c>
      <c r="J29" s="26">
        <f>SUM(J19:J28)</f>
        <v>10957456.085522445</v>
      </c>
    </row>
    <row r="30" spans="1:10" ht="15" customHeight="1" x14ac:dyDescent="0.3">
      <c r="A30" s="1" t="s">
        <v>169</v>
      </c>
      <c r="B30" s="33">
        <f>B29+'💸 FOB Expenses'!C95</f>
        <v>400500</v>
      </c>
    </row>
    <row r="34" spans="1:10" ht="15" customHeight="1" x14ac:dyDescent="0.3">
      <c r="A34" s="77" t="s">
        <v>170</v>
      </c>
      <c r="B34" s="77"/>
      <c r="C34" s="77"/>
      <c r="D34" s="77"/>
      <c r="E34" s="77"/>
      <c r="F34" s="77"/>
      <c r="G34" s="77"/>
      <c r="H34" s="77"/>
      <c r="I34" s="77"/>
      <c r="J34" s="77"/>
    </row>
    <row r="35" spans="1:10" ht="34.5" customHeight="1" x14ac:dyDescent="0.3">
      <c r="A35" s="5" t="s">
        <v>171</v>
      </c>
      <c r="B35" s="5" t="s">
        <v>434</v>
      </c>
      <c r="C35" s="5" t="s">
        <v>435</v>
      </c>
      <c r="D35" s="5" t="s">
        <v>436</v>
      </c>
      <c r="E35" s="5" t="s">
        <v>437</v>
      </c>
      <c r="F35" s="5" t="s">
        <v>438</v>
      </c>
      <c r="G35" s="5" t="s">
        <v>172</v>
      </c>
      <c r="H35" s="5" t="s">
        <v>173</v>
      </c>
      <c r="I35" s="5" t="s">
        <v>174</v>
      </c>
      <c r="J35" s="5" t="s">
        <v>175</v>
      </c>
    </row>
    <row r="36" spans="1:10" ht="15.75" customHeight="1" x14ac:dyDescent="0.3">
      <c r="A36" s="34">
        <v>2025</v>
      </c>
      <c r="B36" s="49">
        <v>24800</v>
      </c>
      <c r="C36" s="49">
        <v>34800</v>
      </c>
      <c r="D36" s="49">
        <v>106400</v>
      </c>
      <c r="E36" s="49">
        <v>16000</v>
      </c>
      <c r="F36" s="49">
        <v>121477.11</v>
      </c>
      <c r="G36" s="56">
        <f t="shared" ref="G36:G66" si="13">SUM(B36:F36)</f>
        <v>303477.11</v>
      </c>
      <c r="H36" s="60">
        <v>12300</v>
      </c>
      <c r="I36" s="56">
        <f t="shared" ref="I36:I66" si="14">G36-H36</f>
        <v>291177.11</v>
      </c>
      <c r="J36" s="50">
        <f t="shared" ref="J36:J66" si="15">IF(42000=0,0,(G36-42000)/42000)</f>
        <v>6.2256454761904756</v>
      </c>
    </row>
    <row r="37" spans="1:10" ht="15.75" customHeight="1" x14ac:dyDescent="0.3">
      <c r="A37" s="35">
        <v>2026</v>
      </c>
      <c r="B37" s="54">
        <f>B36*(1+0.09)+5100</f>
        <v>32132.000000000004</v>
      </c>
      <c r="C37" s="54">
        <f t="shared" ref="C37:C66" si="16">C36*(1+0.09)+2400</f>
        <v>40332</v>
      </c>
      <c r="D37" s="54">
        <f t="shared" ref="D37:D66" si="17">D36*(1+0.09)+2400</f>
        <v>118376.00000000001</v>
      </c>
      <c r="E37" s="54">
        <f>E36*(1+0.045)+1200</f>
        <v>17920</v>
      </c>
      <c r="F37" s="54">
        <f>F36*(1+0.1)</f>
        <v>133624.82100000003</v>
      </c>
      <c r="G37" s="54">
        <f t="shared" si="13"/>
        <v>342384.821</v>
      </c>
      <c r="H37" s="61">
        <v>24600</v>
      </c>
      <c r="I37" s="54">
        <f t="shared" si="14"/>
        <v>317784.821</v>
      </c>
      <c r="J37" s="52">
        <f t="shared" si="15"/>
        <v>7.1520195476190471</v>
      </c>
    </row>
    <row r="38" spans="1:10" ht="15.75" customHeight="1" x14ac:dyDescent="0.3">
      <c r="A38" s="34">
        <v>2027</v>
      </c>
      <c r="B38" s="56">
        <f t="shared" ref="B38:B66" si="18">B37*(1+0.09)+5100</f>
        <v>40123.880000000005</v>
      </c>
      <c r="C38" s="56">
        <f t="shared" si="16"/>
        <v>46361.880000000005</v>
      </c>
      <c r="D38" s="56">
        <f t="shared" si="17"/>
        <v>131429.84000000003</v>
      </c>
      <c r="E38" s="56">
        <f t="shared" ref="E38:E66" si="19">E37*(1+0.045)+1200</f>
        <v>19926.399999999998</v>
      </c>
      <c r="F38" s="54">
        <f t="shared" ref="F38:F66" si="20">F37*(1+0.1)</f>
        <v>146987.30310000005</v>
      </c>
      <c r="G38" s="56">
        <f t="shared" si="13"/>
        <v>384829.30310000008</v>
      </c>
      <c r="H38" s="60">
        <v>36900</v>
      </c>
      <c r="I38" s="56">
        <f t="shared" si="14"/>
        <v>347929.30310000008</v>
      </c>
      <c r="J38" s="50">
        <f t="shared" si="15"/>
        <v>8.162602454761906</v>
      </c>
    </row>
    <row r="39" spans="1:10" ht="15.75" customHeight="1" x14ac:dyDescent="0.3">
      <c r="A39" s="35">
        <v>2028</v>
      </c>
      <c r="B39" s="54">
        <f t="shared" si="18"/>
        <v>48835.029200000012</v>
      </c>
      <c r="C39" s="54">
        <f t="shared" si="16"/>
        <v>52934.44920000001</v>
      </c>
      <c r="D39" s="54">
        <f t="shared" si="17"/>
        <v>145658.52560000005</v>
      </c>
      <c r="E39" s="54">
        <f t="shared" si="19"/>
        <v>22023.087999999996</v>
      </c>
      <c r="F39" s="54">
        <f t="shared" si="20"/>
        <v>161686.03341000006</v>
      </c>
      <c r="G39" s="54">
        <f t="shared" si="13"/>
        <v>431137.1254100001</v>
      </c>
      <c r="H39" s="61">
        <v>49200</v>
      </c>
      <c r="I39" s="54">
        <f t="shared" si="14"/>
        <v>381937.1254100001</v>
      </c>
      <c r="J39" s="52">
        <f t="shared" si="15"/>
        <v>9.2651696526190506</v>
      </c>
    </row>
    <row r="40" spans="1:10" ht="15.75" customHeight="1" x14ac:dyDescent="0.3">
      <c r="A40" s="34">
        <v>2029</v>
      </c>
      <c r="B40" s="56">
        <f t="shared" si="18"/>
        <v>58330.181828000015</v>
      </c>
      <c r="C40" s="56">
        <f t="shared" si="16"/>
        <v>60098.549628000015</v>
      </c>
      <c r="D40" s="56">
        <f t="shared" si="17"/>
        <v>161167.79290400006</v>
      </c>
      <c r="E40" s="56">
        <f t="shared" si="19"/>
        <v>24214.126959999994</v>
      </c>
      <c r="F40" s="54">
        <f t="shared" si="20"/>
        <v>177854.63675100007</v>
      </c>
      <c r="G40" s="56">
        <f t="shared" si="13"/>
        <v>481665.28807100013</v>
      </c>
      <c r="H40" s="60">
        <v>61500</v>
      </c>
      <c r="I40" s="56">
        <f t="shared" si="14"/>
        <v>420165.28807100013</v>
      </c>
      <c r="J40" s="50">
        <f t="shared" si="15"/>
        <v>10.468221144547622</v>
      </c>
    </row>
    <row r="41" spans="1:10" ht="15.75" customHeight="1" x14ac:dyDescent="0.3">
      <c r="A41" s="35">
        <v>2030</v>
      </c>
      <c r="B41" s="54">
        <f t="shared" si="18"/>
        <v>68679.898192520021</v>
      </c>
      <c r="C41" s="54">
        <f t="shared" si="16"/>
        <v>67907.419094520024</v>
      </c>
      <c r="D41" s="54">
        <f t="shared" si="17"/>
        <v>178072.89426536008</v>
      </c>
      <c r="E41" s="54">
        <f t="shared" si="19"/>
        <v>26503.762673199992</v>
      </c>
      <c r="F41" s="54">
        <f t="shared" si="20"/>
        <v>195640.10042610011</v>
      </c>
      <c r="G41" s="54">
        <f t="shared" si="13"/>
        <v>536804.07465170021</v>
      </c>
      <c r="H41" s="61">
        <v>73800</v>
      </c>
      <c r="I41" s="54">
        <f t="shared" si="14"/>
        <v>463004.07465170021</v>
      </c>
      <c r="J41" s="52">
        <f t="shared" si="15"/>
        <v>11.781049396469053</v>
      </c>
    </row>
    <row r="42" spans="1:10" ht="15.75" customHeight="1" x14ac:dyDescent="0.3">
      <c r="A42" s="34">
        <v>2031</v>
      </c>
      <c r="B42" s="56">
        <f t="shared" si="18"/>
        <v>79961.089029846829</v>
      </c>
      <c r="C42" s="56">
        <f t="shared" si="16"/>
        <v>76419.086813026835</v>
      </c>
      <c r="D42" s="56">
        <f t="shared" si="17"/>
        <v>196499.45474924249</v>
      </c>
      <c r="E42" s="56">
        <f t="shared" si="19"/>
        <v>28896.431993493989</v>
      </c>
      <c r="F42" s="54">
        <f t="shared" si="20"/>
        <v>215204.11046871013</v>
      </c>
      <c r="G42" s="56">
        <f t="shared" si="13"/>
        <v>596980.17305432027</v>
      </c>
      <c r="H42" s="60">
        <v>86100</v>
      </c>
      <c r="I42" s="56">
        <f t="shared" si="14"/>
        <v>510880.17305432027</v>
      </c>
      <c r="J42" s="50">
        <f t="shared" si="15"/>
        <v>13.213813644150482</v>
      </c>
    </row>
    <row r="43" spans="1:10" ht="15.75" customHeight="1" x14ac:dyDescent="0.3">
      <c r="A43" s="35">
        <v>2032</v>
      </c>
      <c r="B43" s="54">
        <f t="shared" si="18"/>
        <v>92257.58704253305</v>
      </c>
      <c r="C43" s="54">
        <f t="shared" si="16"/>
        <v>85696.804626199257</v>
      </c>
      <c r="D43" s="54">
        <f t="shared" si="17"/>
        <v>216584.40567667433</v>
      </c>
      <c r="E43" s="54">
        <f t="shared" si="19"/>
        <v>31396.771433201215</v>
      </c>
      <c r="F43" s="54">
        <f t="shared" si="20"/>
        <v>236724.52151558117</v>
      </c>
      <c r="G43" s="54">
        <f t="shared" si="13"/>
        <v>662660.09029418905</v>
      </c>
      <c r="H43" s="61">
        <v>98400</v>
      </c>
      <c r="I43" s="54">
        <f t="shared" si="14"/>
        <v>564260.09029418905</v>
      </c>
      <c r="J43" s="52">
        <f t="shared" si="15"/>
        <v>14.777621197480691</v>
      </c>
    </row>
    <row r="44" spans="1:10" ht="15.75" customHeight="1" x14ac:dyDescent="0.3">
      <c r="A44" s="34">
        <v>2033</v>
      </c>
      <c r="B44" s="56">
        <f t="shared" si="18"/>
        <v>105660.76987636104</v>
      </c>
      <c r="C44" s="56">
        <f t="shared" si="16"/>
        <v>95809.5170425572</v>
      </c>
      <c r="D44" s="56">
        <f t="shared" si="17"/>
        <v>238477.00218757504</v>
      </c>
      <c r="E44" s="56">
        <f t="shared" si="19"/>
        <v>34009.626147695264</v>
      </c>
      <c r="F44" s="54">
        <f t="shared" si="20"/>
        <v>260396.9736671393</v>
      </c>
      <c r="G44" s="56">
        <f t="shared" si="13"/>
        <v>734353.88892132789</v>
      </c>
      <c r="H44" s="60">
        <v>110700</v>
      </c>
      <c r="I44" s="56">
        <f t="shared" si="14"/>
        <v>623653.88892132789</v>
      </c>
      <c r="J44" s="50">
        <f t="shared" si="15"/>
        <v>16.484616402888758</v>
      </c>
    </row>
    <row r="45" spans="1:10" ht="15.75" customHeight="1" x14ac:dyDescent="0.3">
      <c r="A45" s="35">
        <v>2034</v>
      </c>
      <c r="B45" s="54">
        <f t="shared" si="18"/>
        <v>120270.23916523354</v>
      </c>
      <c r="C45" s="54">
        <f t="shared" si="16"/>
        <v>106832.37357638736</v>
      </c>
      <c r="D45" s="54">
        <f t="shared" si="17"/>
        <v>262339.9323844568</v>
      </c>
      <c r="E45" s="54">
        <f t="shared" si="19"/>
        <v>36740.05932434155</v>
      </c>
      <c r="F45" s="54">
        <f t="shared" si="20"/>
        <v>286436.67103385326</v>
      </c>
      <c r="G45" s="54">
        <f t="shared" si="13"/>
        <v>812619.27548427251</v>
      </c>
      <c r="H45" s="61">
        <v>123000</v>
      </c>
      <c r="I45" s="54">
        <f t="shared" si="14"/>
        <v>689619.27548427251</v>
      </c>
      <c r="J45" s="52">
        <f t="shared" si="15"/>
        <v>18.348077987720774</v>
      </c>
    </row>
    <row r="46" spans="1:10" ht="15.75" customHeight="1" x14ac:dyDescent="0.3">
      <c r="A46" s="34">
        <v>2035</v>
      </c>
      <c r="B46" s="56">
        <f t="shared" si="18"/>
        <v>136194.56069010455</v>
      </c>
      <c r="C46" s="56">
        <f t="shared" si="16"/>
        <v>118847.28719826223</v>
      </c>
      <c r="D46" s="56">
        <f t="shared" si="17"/>
        <v>288350.52629905794</v>
      </c>
      <c r="E46" s="56">
        <f t="shared" si="19"/>
        <v>39593.361993936916</v>
      </c>
      <c r="F46" s="54">
        <f t="shared" si="20"/>
        <v>315080.33813723864</v>
      </c>
      <c r="G46" s="56">
        <f t="shared" si="13"/>
        <v>898066.07431860035</v>
      </c>
      <c r="H46" s="60">
        <v>135300</v>
      </c>
      <c r="I46" s="56">
        <f t="shared" si="14"/>
        <v>762766.07431860035</v>
      </c>
      <c r="J46" s="50">
        <f t="shared" si="15"/>
        <v>20.382525579014295</v>
      </c>
    </row>
    <row r="47" spans="1:10" ht="15.75" customHeight="1" x14ac:dyDescent="0.3">
      <c r="A47" s="35">
        <v>2036</v>
      </c>
      <c r="B47" s="54">
        <f t="shared" si="18"/>
        <v>153552.07115221396</v>
      </c>
      <c r="C47" s="54">
        <f t="shared" si="16"/>
        <v>131943.54304610583</v>
      </c>
      <c r="D47" s="54">
        <f t="shared" si="17"/>
        <v>316702.07366597315</v>
      </c>
      <c r="E47" s="54">
        <f t="shared" si="19"/>
        <v>42575.063283664073</v>
      </c>
      <c r="F47" s="54">
        <f t="shared" si="20"/>
        <v>346588.37195096252</v>
      </c>
      <c r="G47" s="54">
        <f t="shared" si="13"/>
        <v>991361.1230989194</v>
      </c>
      <c r="H47" s="61">
        <v>147600</v>
      </c>
      <c r="I47" s="54">
        <f t="shared" si="14"/>
        <v>843761.1230989194</v>
      </c>
      <c r="J47" s="52">
        <f t="shared" si="15"/>
        <v>22.603836264259986</v>
      </c>
    </row>
    <row r="48" spans="1:10" ht="15.75" customHeight="1" x14ac:dyDescent="0.3">
      <c r="A48" s="34">
        <v>2037</v>
      </c>
      <c r="B48" s="56">
        <f t="shared" si="18"/>
        <v>172471.75755591324</v>
      </c>
      <c r="C48" s="56">
        <f t="shared" si="16"/>
        <v>146218.46192025536</v>
      </c>
      <c r="D48" s="56">
        <f t="shared" si="17"/>
        <v>347605.26029591076</v>
      </c>
      <c r="E48" s="56">
        <f t="shared" si="19"/>
        <v>45690.941131428954</v>
      </c>
      <c r="F48" s="54">
        <f t="shared" si="20"/>
        <v>381247.20914605883</v>
      </c>
      <c r="G48" s="56">
        <f t="shared" si="13"/>
        <v>1093233.6300495672</v>
      </c>
      <c r="H48" s="60">
        <v>159900</v>
      </c>
      <c r="I48" s="56">
        <f t="shared" si="14"/>
        <v>933333.6300495672</v>
      </c>
      <c r="J48" s="50">
        <f t="shared" si="15"/>
        <v>25.029372144037314</v>
      </c>
    </row>
    <row r="49" spans="1:10" ht="15.75" customHeight="1" x14ac:dyDescent="0.3">
      <c r="A49" s="35">
        <v>2038</v>
      </c>
      <c r="B49" s="54">
        <f t="shared" si="18"/>
        <v>193094.21573594544</v>
      </c>
      <c r="C49" s="54">
        <f t="shared" si="16"/>
        <v>161778.12349307834</v>
      </c>
      <c r="D49" s="54">
        <f t="shared" si="17"/>
        <v>381289.73372254276</v>
      </c>
      <c r="E49" s="54">
        <f t="shared" si="19"/>
        <v>48947.033482343257</v>
      </c>
      <c r="F49" s="54">
        <f t="shared" si="20"/>
        <v>419371.93006066472</v>
      </c>
      <c r="G49" s="54">
        <f t="shared" si="13"/>
        <v>1204481.0364945745</v>
      </c>
      <c r="H49" s="61">
        <v>172200</v>
      </c>
      <c r="I49" s="54">
        <f t="shared" si="14"/>
        <v>1032281.0364945745</v>
      </c>
      <c r="J49" s="52">
        <f t="shared" si="15"/>
        <v>27.67811991653749</v>
      </c>
    </row>
    <row r="50" spans="1:10" ht="15.75" customHeight="1" x14ac:dyDescent="0.3">
      <c r="A50" s="34">
        <v>2039</v>
      </c>
      <c r="B50" s="56">
        <f t="shared" si="18"/>
        <v>215572.69515218056</v>
      </c>
      <c r="C50" s="56">
        <f t="shared" si="16"/>
        <v>178738.15460745539</v>
      </c>
      <c r="D50" s="56">
        <f t="shared" si="17"/>
        <v>418005.80975757167</v>
      </c>
      <c r="E50" s="56">
        <f t="shared" si="19"/>
        <v>52349.649989048703</v>
      </c>
      <c r="F50" s="54">
        <f t="shared" si="20"/>
        <v>461309.1230667312</v>
      </c>
      <c r="G50" s="56">
        <f t="shared" si="13"/>
        <v>1325975.4325729876</v>
      </c>
      <c r="H50" s="60">
        <v>184500</v>
      </c>
      <c r="I50" s="56">
        <f t="shared" si="14"/>
        <v>1141475.4325729876</v>
      </c>
      <c r="J50" s="50">
        <f t="shared" si="15"/>
        <v>30.570843632690181</v>
      </c>
    </row>
    <row r="51" spans="1:10" ht="15.75" customHeight="1" x14ac:dyDescent="0.3">
      <c r="A51" s="35">
        <v>2040</v>
      </c>
      <c r="B51" s="54">
        <f t="shared" si="18"/>
        <v>240074.23771587684</v>
      </c>
      <c r="C51" s="54">
        <f t="shared" si="16"/>
        <v>197224.5885221264</v>
      </c>
      <c r="D51" s="54">
        <f t="shared" si="17"/>
        <v>458026.33263575315</v>
      </c>
      <c r="E51" s="54">
        <f t="shared" si="19"/>
        <v>55905.384238555889</v>
      </c>
      <c r="F51" s="54">
        <f t="shared" si="20"/>
        <v>507440.03537340439</v>
      </c>
      <c r="G51" s="54">
        <f t="shared" si="13"/>
        <v>1458670.5784857166</v>
      </c>
      <c r="H51" s="61">
        <v>196800</v>
      </c>
      <c r="I51" s="54">
        <f t="shared" si="14"/>
        <v>1261870.5784857166</v>
      </c>
      <c r="J51" s="52">
        <f t="shared" si="15"/>
        <v>33.730251868707541</v>
      </c>
    </row>
    <row r="52" spans="1:10" ht="15.75" customHeight="1" x14ac:dyDescent="0.3">
      <c r="A52" s="34">
        <v>2041</v>
      </c>
      <c r="B52" s="56">
        <f t="shared" si="18"/>
        <v>266780.91911030578</v>
      </c>
      <c r="C52" s="56">
        <f t="shared" si="16"/>
        <v>217374.80148911779</v>
      </c>
      <c r="D52" s="56">
        <f t="shared" si="17"/>
        <v>501648.70257297094</v>
      </c>
      <c r="E52" s="56">
        <f t="shared" si="19"/>
        <v>59621.126529290901</v>
      </c>
      <c r="F52" s="54">
        <f t="shared" si="20"/>
        <v>558184.03891074483</v>
      </c>
      <c r="G52" s="56">
        <f t="shared" si="13"/>
        <v>1603609.5886124303</v>
      </c>
      <c r="H52" s="60">
        <v>209100</v>
      </c>
      <c r="I52" s="56">
        <f t="shared" si="14"/>
        <v>1394509.5886124303</v>
      </c>
      <c r="J52" s="50">
        <f t="shared" si="15"/>
        <v>37.181180681248343</v>
      </c>
    </row>
    <row r="53" spans="1:10" ht="15.75" customHeight="1" x14ac:dyDescent="0.3">
      <c r="A53" s="35">
        <v>2042</v>
      </c>
      <c r="B53" s="54">
        <f t="shared" si="18"/>
        <v>295891.20183023333</v>
      </c>
      <c r="C53" s="54">
        <f t="shared" si="16"/>
        <v>239338.53362313841</v>
      </c>
      <c r="D53" s="54">
        <f t="shared" si="17"/>
        <v>549197.08580453834</v>
      </c>
      <c r="E53" s="54">
        <f t="shared" si="19"/>
        <v>63504.077223108987</v>
      </c>
      <c r="F53" s="54">
        <f t="shared" si="20"/>
        <v>614002.44280181942</v>
      </c>
      <c r="G53" s="54">
        <f t="shared" si="13"/>
        <v>1761933.3412828387</v>
      </c>
      <c r="H53" s="61">
        <v>221400</v>
      </c>
      <c r="I53" s="54">
        <f t="shared" si="14"/>
        <v>1540533.3412828387</v>
      </c>
      <c r="J53" s="52">
        <f t="shared" si="15"/>
        <v>40.95079384006759</v>
      </c>
    </row>
    <row r="54" spans="1:10" ht="15.75" customHeight="1" x14ac:dyDescent="0.3">
      <c r="A54" s="34">
        <v>2043</v>
      </c>
      <c r="B54" s="56">
        <f t="shared" si="18"/>
        <v>327621.40999495436</v>
      </c>
      <c r="C54" s="56">
        <f t="shared" si="16"/>
        <v>263279.00164922088</v>
      </c>
      <c r="D54" s="56">
        <f t="shared" si="17"/>
        <v>601024.82352694683</v>
      </c>
      <c r="E54" s="56">
        <f t="shared" si="19"/>
        <v>67561.760698148893</v>
      </c>
      <c r="F54" s="54">
        <f t="shared" si="20"/>
        <v>675402.68708200136</v>
      </c>
      <c r="G54" s="56">
        <f t="shared" si="13"/>
        <v>1934889.6829512725</v>
      </c>
      <c r="H54" s="60">
        <v>233700</v>
      </c>
      <c r="I54" s="56">
        <f t="shared" si="14"/>
        <v>1701189.6829512725</v>
      </c>
      <c r="J54" s="50">
        <f t="shared" si="15"/>
        <v>45.068801975030297</v>
      </c>
    </row>
    <row r="55" spans="1:10" ht="15.75" customHeight="1" x14ac:dyDescent="0.3">
      <c r="A55" s="35">
        <v>2044</v>
      </c>
      <c r="B55" s="54">
        <f t="shared" si="18"/>
        <v>362207.3368945003</v>
      </c>
      <c r="C55" s="54">
        <f t="shared" si="16"/>
        <v>289374.11179765081</v>
      </c>
      <c r="D55" s="54">
        <f t="shared" si="17"/>
        <v>657517.05764437211</v>
      </c>
      <c r="E55" s="54">
        <f t="shared" si="19"/>
        <v>71802.039929565595</v>
      </c>
      <c r="F55" s="54">
        <f t="shared" si="20"/>
        <v>742942.95579020155</v>
      </c>
      <c r="G55" s="54">
        <f t="shared" si="13"/>
        <v>2123843.5020562904</v>
      </c>
      <c r="H55" s="61">
        <v>246000</v>
      </c>
      <c r="I55" s="54">
        <f t="shared" si="14"/>
        <v>1877843.5020562904</v>
      </c>
      <c r="J55" s="52">
        <f t="shared" si="15"/>
        <v>49.567702429911677</v>
      </c>
    </row>
    <row r="56" spans="1:10" ht="15.75" customHeight="1" x14ac:dyDescent="0.3">
      <c r="A56" s="34">
        <v>2045</v>
      </c>
      <c r="B56" s="56">
        <f t="shared" si="18"/>
        <v>399905.99721500534</v>
      </c>
      <c r="C56" s="56">
        <f t="shared" si="16"/>
        <v>317817.78185943939</v>
      </c>
      <c r="D56" s="56">
        <f t="shared" si="17"/>
        <v>719093.59283236566</v>
      </c>
      <c r="E56" s="56">
        <f t="shared" si="19"/>
        <v>76233.131726396037</v>
      </c>
      <c r="F56" s="54">
        <f t="shared" si="20"/>
        <v>817237.25136922172</v>
      </c>
      <c r="G56" s="56">
        <f t="shared" si="13"/>
        <v>2330287.7550024283</v>
      </c>
      <c r="H56" s="60">
        <v>258300</v>
      </c>
      <c r="I56" s="56">
        <f t="shared" si="14"/>
        <v>2071987.7550024283</v>
      </c>
      <c r="J56" s="50">
        <f t="shared" si="15"/>
        <v>54.483041785772102</v>
      </c>
    </row>
    <row r="57" spans="1:10" ht="15.75" customHeight="1" x14ac:dyDescent="0.3">
      <c r="A57" s="35">
        <v>2046</v>
      </c>
      <c r="B57" s="54">
        <f t="shared" si="18"/>
        <v>440997.53696435585</v>
      </c>
      <c r="C57" s="54">
        <f t="shared" si="16"/>
        <v>348821.38222678896</v>
      </c>
      <c r="D57" s="54">
        <f t="shared" si="17"/>
        <v>786212.01618727867</v>
      </c>
      <c r="E57" s="54">
        <f t="shared" si="19"/>
        <v>80863.622654083854</v>
      </c>
      <c r="F57" s="54">
        <f t="shared" si="20"/>
        <v>898960.97650614392</v>
      </c>
      <c r="G57" s="54">
        <f t="shared" si="13"/>
        <v>2555855.5345386514</v>
      </c>
      <c r="H57" s="61">
        <v>270600</v>
      </c>
      <c r="I57" s="54">
        <f t="shared" si="14"/>
        <v>2285255.5345386514</v>
      </c>
      <c r="J57" s="52">
        <f t="shared" si="15"/>
        <v>59.853703203301222</v>
      </c>
    </row>
    <row r="58" spans="1:10" ht="15.75" customHeight="1" x14ac:dyDescent="0.3">
      <c r="A58" s="34">
        <v>2047</v>
      </c>
      <c r="B58" s="56">
        <f t="shared" si="18"/>
        <v>485787.31529114791</v>
      </c>
      <c r="C58" s="56">
        <f t="shared" si="16"/>
        <v>382615.30662719999</v>
      </c>
      <c r="D58" s="56">
        <f t="shared" si="17"/>
        <v>859371.09764413384</v>
      </c>
      <c r="E58" s="56">
        <f t="shared" si="19"/>
        <v>85702.485673517629</v>
      </c>
      <c r="F58" s="54">
        <f t="shared" si="20"/>
        <v>988857.07415675838</v>
      </c>
      <c r="G58" s="56">
        <f t="shared" si="13"/>
        <v>2802333.2793927575</v>
      </c>
      <c r="H58" s="60">
        <v>282900</v>
      </c>
      <c r="I58" s="56">
        <f t="shared" si="14"/>
        <v>2519433.2793927575</v>
      </c>
      <c r="J58" s="50">
        <f t="shared" si="15"/>
        <v>65.722220937922799</v>
      </c>
    </row>
    <row r="59" spans="1:10" ht="15.75" customHeight="1" x14ac:dyDescent="0.3">
      <c r="A59" s="35">
        <v>2048</v>
      </c>
      <c r="B59" s="54">
        <f t="shared" si="18"/>
        <v>534608.17366735125</v>
      </c>
      <c r="C59" s="54">
        <f t="shared" si="16"/>
        <v>419450.68422364799</v>
      </c>
      <c r="D59" s="54">
        <f t="shared" si="17"/>
        <v>939114.49643210601</v>
      </c>
      <c r="E59" s="54">
        <f t="shared" si="19"/>
        <v>90759.097528825921</v>
      </c>
      <c r="F59" s="54">
        <f t="shared" si="20"/>
        <v>1087742.7815724344</v>
      </c>
      <c r="G59" s="54">
        <f t="shared" si="13"/>
        <v>3071675.2334243655</v>
      </c>
      <c r="H59" s="61">
        <v>295200</v>
      </c>
      <c r="I59" s="54">
        <f t="shared" si="14"/>
        <v>2776475.2334243655</v>
      </c>
      <c r="J59" s="52">
        <f t="shared" si="15"/>
        <v>72.135124605342043</v>
      </c>
    </row>
    <row r="60" spans="1:10" ht="15.75" customHeight="1" x14ac:dyDescent="0.3">
      <c r="A60" s="34">
        <v>2049</v>
      </c>
      <c r="B60" s="56">
        <f t="shared" si="18"/>
        <v>587822.90929741296</v>
      </c>
      <c r="C60" s="56">
        <f t="shared" si="16"/>
        <v>459601.24580377631</v>
      </c>
      <c r="D60" s="56">
        <f t="shared" si="17"/>
        <v>1026034.8011109956</v>
      </c>
      <c r="E60" s="56">
        <f t="shared" si="19"/>
        <v>96043.256917623075</v>
      </c>
      <c r="F60" s="54">
        <f t="shared" si="20"/>
        <v>1196517.0597296779</v>
      </c>
      <c r="G60" s="56">
        <f t="shared" si="13"/>
        <v>3366019.2728594858</v>
      </c>
      <c r="H60" s="60">
        <v>307500</v>
      </c>
      <c r="I60" s="56">
        <f t="shared" si="14"/>
        <v>3058519.2728594858</v>
      </c>
      <c r="J60" s="50">
        <f t="shared" si="15"/>
        <v>79.143316020463942</v>
      </c>
    </row>
    <row r="61" spans="1:10" ht="15.75" customHeight="1" x14ac:dyDescent="0.3">
      <c r="A61" s="35">
        <v>2050</v>
      </c>
      <c r="B61" s="54">
        <f t="shared" si="18"/>
        <v>645826.9711341802</v>
      </c>
      <c r="C61" s="54">
        <f t="shared" si="16"/>
        <v>503365.35792611621</v>
      </c>
      <c r="D61" s="54">
        <f t="shared" si="17"/>
        <v>1120777.9332109853</v>
      </c>
      <c r="E61" s="54">
        <f t="shared" si="19"/>
        <v>101565.20347891611</v>
      </c>
      <c r="F61" s="54">
        <f t="shared" si="20"/>
        <v>1316168.7657026458</v>
      </c>
      <c r="G61" s="54">
        <f t="shared" si="13"/>
        <v>3687704.2314528436</v>
      </c>
      <c r="H61" s="61">
        <v>319800</v>
      </c>
      <c r="I61" s="54">
        <f t="shared" si="14"/>
        <v>3367904.2314528436</v>
      </c>
      <c r="J61" s="52">
        <f t="shared" si="15"/>
        <v>86.802481701258188</v>
      </c>
    </row>
    <row r="62" spans="1:10" ht="15.75" customHeight="1" x14ac:dyDescent="0.3">
      <c r="A62" s="34">
        <v>2051</v>
      </c>
      <c r="B62" s="56">
        <f t="shared" si="18"/>
        <v>709051.39853625651</v>
      </c>
      <c r="C62" s="56">
        <f t="shared" si="16"/>
        <v>551068.24013946671</v>
      </c>
      <c r="D62" s="56">
        <f t="shared" si="17"/>
        <v>1224047.947199974</v>
      </c>
      <c r="E62" s="56">
        <f t="shared" si="19"/>
        <v>107335.63763546733</v>
      </c>
      <c r="F62" s="54">
        <f t="shared" si="20"/>
        <v>1447785.6422729106</v>
      </c>
      <c r="G62" s="56">
        <f t="shared" si="13"/>
        <v>4039288.8657840751</v>
      </c>
      <c r="H62" s="60">
        <v>332100</v>
      </c>
      <c r="I62" s="56">
        <f t="shared" si="14"/>
        <v>3707188.8657840751</v>
      </c>
      <c r="J62" s="50">
        <f t="shared" si="15"/>
        <v>95.173544423430357</v>
      </c>
    </row>
    <row r="63" spans="1:10" ht="15.75" customHeight="1" x14ac:dyDescent="0.3">
      <c r="A63" s="35">
        <v>2052</v>
      </c>
      <c r="B63" s="54">
        <f t="shared" si="18"/>
        <v>777966.0244045197</v>
      </c>
      <c r="C63" s="54">
        <f t="shared" si="16"/>
        <v>603064.3817520187</v>
      </c>
      <c r="D63" s="54">
        <f t="shared" si="17"/>
        <v>1336612.2624479716</v>
      </c>
      <c r="E63" s="54">
        <f t="shared" si="19"/>
        <v>113365.74132906336</v>
      </c>
      <c r="F63" s="54">
        <f t="shared" si="20"/>
        <v>1592564.2065002017</v>
      </c>
      <c r="G63" s="54">
        <f t="shared" si="13"/>
        <v>4423572.6164337751</v>
      </c>
      <c r="H63" s="61">
        <v>344400</v>
      </c>
      <c r="I63" s="54">
        <f t="shared" si="14"/>
        <v>4079172.6164337751</v>
      </c>
      <c r="J63" s="52">
        <f t="shared" si="15"/>
        <v>104.32315753413751</v>
      </c>
    </row>
    <row r="64" spans="1:10" ht="15.75" customHeight="1" x14ac:dyDescent="0.3">
      <c r="A64" s="34">
        <v>2053</v>
      </c>
      <c r="B64" s="56">
        <f t="shared" si="18"/>
        <v>853082.96660092659</v>
      </c>
      <c r="C64" s="56">
        <f t="shared" si="16"/>
        <v>659740.17610970046</v>
      </c>
      <c r="D64" s="56">
        <f t="shared" si="17"/>
        <v>1459307.3660682891</v>
      </c>
      <c r="E64" s="56">
        <f t="shared" si="19"/>
        <v>119667.1996888712</v>
      </c>
      <c r="F64" s="54">
        <f t="shared" si="20"/>
        <v>1751820.627150222</v>
      </c>
      <c r="G64" s="56">
        <f t="shared" si="13"/>
        <v>4843618.3356180098</v>
      </c>
      <c r="H64" s="60">
        <v>356700</v>
      </c>
      <c r="I64" s="56">
        <f t="shared" si="14"/>
        <v>4486918.3356180098</v>
      </c>
      <c r="J64" s="50">
        <f t="shared" si="15"/>
        <v>114.32424608614309</v>
      </c>
    </row>
    <row r="65" spans="1:10" ht="15.75" customHeight="1" x14ac:dyDescent="0.3">
      <c r="A65" s="35">
        <v>2054</v>
      </c>
      <c r="B65" s="54">
        <f t="shared" si="18"/>
        <v>934960.43359501008</v>
      </c>
      <c r="C65" s="54">
        <f t="shared" si="16"/>
        <v>721516.79195957351</v>
      </c>
      <c r="D65" s="54">
        <f t="shared" si="17"/>
        <v>1593045.0290144354</v>
      </c>
      <c r="E65" s="54">
        <f t="shared" si="19"/>
        <v>126252.2236748704</v>
      </c>
      <c r="F65" s="54">
        <f t="shared" si="20"/>
        <v>1927002.6898652443</v>
      </c>
      <c r="G65" s="54">
        <f t="shared" si="13"/>
        <v>5302777.1681091338</v>
      </c>
      <c r="H65" s="61">
        <v>369000</v>
      </c>
      <c r="I65" s="54">
        <f t="shared" si="14"/>
        <v>4933777.1681091338</v>
      </c>
      <c r="J65" s="52">
        <f t="shared" si="15"/>
        <v>125.25659924069366</v>
      </c>
    </row>
    <row r="66" spans="1:10" ht="15.75" customHeight="1" x14ac:dyDescent="0.3">
      <c r="A66" s="34">
        <v>2055</v>
      </c>
      <c r="B66" s="56">
        <f t="shared" si="18"/>
        <v>1024206.872618561</v>
      </c>
      <c r="C66" s="56">
        <f t="shared" si="16"/>
        <v>788853.30323593516</v>
      </c>
      <c r="D66" s="56">
        <f t="shared" si="17"/>
        <v>1738819.0816257347</v>
      </c>
      <c r="E66" s="56">
        <f t="shared" si="19"/>
        <v>133133.57374023958</v>
      </c>
      <c r="F66" s="54">
        <f t="shared" si="20"/>
        <v>2119702.9588517691</v>
      </c>
      <c r="G66" s="56">
        <f t="shared" si="13"/>
        <v>5804715.7900722399</v>
      </c>
      <c r="H66" s="60">
        <v>381300</v>
      </c>
      <c r="I66" s="56">
        <f t="shared" si="14"/>
        <v>5423415.7900722399</v>
      </c>
      <c r="J66" s="50">
        <f t="shared" si="15"/>
        <v>137.2075188112438</v>
      </c>
    </row>
  </sheetData>
  <mergeCells count="5">
    <mergeCell ref="A1:J1"/>
    <mergeCell ref="A2:E2"/>
    <mergeCell ref="F2:J2"/>
    <mergeCell ref="A17:J17"/>
    <mergeCell ref="A34:J3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zoomScaleNormal="100" workbookViewId="0">
      <selection activeCell="E8" sqref="E8"/>
    </sheetView>
  </sheetViews>
  <sheetFormatPr defaultColWidth="8.6640625" defaultRowHeight="14.4" x14ac:dyDescent="0.3"/>
  <cols>
    <col min="1" max="1" width="38.44140625" style="1" customWidth="1"/>
    <col min="2" max="2" width="24.6640625" style="1" customWidth="1"/>
    <col min="3" max="7" width="16" style="1" customWidth="1"/>
  </cols>
  <sheetData>
    <row r="1" spans="1:7" ht="39.75" customHeight="1" x14ac:dyDescent="0.3">
      <c r="A1" s="85" t="s">
        <v>364</v>
      </c>
      <c r="B1" s="85"/>
      <c r="C1" s="85"/>
      <c r="D1" s="85"/>
      <c r="E1" s="85"/>
      <c r="F1" s="85"/>
      <c r="G1" s="85"/>
    </row>
    <row r="2" spans="1:7" ht="15" customHeight="1" x14ac:dyDescent="0.3">
      <c r="A2" s="77" t="s">
        <v>176</v>
      </c>
      <c r="B2" s="77"/>
      <c r="C2" s="77"/>
      <c r="D2" s="77"/>
      <c r="E2" s="77"/>
      <c r="F2" s="77"/>
      <c r="G2" s="77"/>
    </row>
    <row r="3" spans="1:7" ht="18" customHeight="1" x14ac:dyDescent="0.3">
      <c r="A3" s="36" t="s">
        <v>177</v>
      </c>
      <c r="B3" s="58" t="s">
        <v>370</v>
      </c>
      <c r="C3" s="6" t="s">
        <v>371</v>
      </c>
      <c r="D3" s="37"/>
      <c r="E3" s="37"/>
      <c r="F3" s="37"/>
      <c r="G3" s="37"/>
    </row>
    <row r="4" spans="1:7" ht="18" customHeight="1" x14ac:dyDescent="0.3">
      <c r="A4" s="38" t="s">
        <v>178</v>
      </c>
      <c r="B4" s="53">
        <v>3</v>
      </c>
      <c r="C4" s="10">
        <v>0</v>
      </c>
      <c r="D4" s="39"/>
      <c r="E4" s="39"/>
      <c r="F4" s="39"/>
      <c r="G4" s="39"/>
    </row>
    <row r="5" spans="1:7" ht="18" customHeight="1" x14ac:dyDescent="0.3">
      <c r="A5" s="36" t="s">
        <v>369</v>
      </c>
      <c r="B5" s="49">
        <v>100050</v>
      </c>
      <c r="C5" s="6" t="s">
        <v>179</v>
      </c>
      <c r="D5" s="37"/>
      <c r="E5" s="37"/>
      <c r="F5" s="37"/>
      <c r="G5" s="37"/>
    </row>
    <row r="6" spans="1:7" ht="18" customHeight="1" x14ac:dyDescent="0.3">
      <c r="A6" s="38" t="s">
        <v>180</v>
      </c>
      <c r="B6" s="59">
        <v>0.5</v>
      </c>
      <c r="C6" s="10"/>
      <c r="D6" s="39"/>
      <c r="E6" s="39"/>
      <c r="F6" s="39"/>
      <c r="G6" s="39"/>
    </row>
    <row r="7" spans="1:7" ht="18" customHeight="1" x14ac:dyDescent="0.3">
      <c r="A7" s="36" t="s">
        <v>181</v>
      </c>
      <c r="B7" s="60">
        <f>B5*B6</f>
        <v>50025</v>
      </c>
      <c r="C7" s="6"/>
      <c r="D7" s="37"/>
      <c r="E7" s="37"/>
      <c r="F7" s="37"/>
      <c r="G7" s="37"/>
    </row>
    <row r="8" spans="1:7" ht="18" customHeight="1" x14ac:dyDescent="0.3">
      <c r="A8" s="38" t="s">
        <v>182</v>
      </c>
      <c r="B8" s="61">
        <f>B7/12</f>
        <v>4168.75</v>
      </c>
      <c r="C8" s="10"/>
      <c r="D8" s="39"/>
      <c r="E8" s="39"/>
      <c r="F8" s="39"/>
      <c r="G8" s="39"/>
    </row>
    <row r="9" spans="1:7" ht="18" customHeight="1" x14ac:dyDescent="0.3">
      <c r="A9" s="36" t="s">
        <v>366</v>
      </c>
      <c r="B9" s="59">
        <v>0</v>
      </c>
      <c r="C9" s="6">
        <v>0</v>
      </c>
      <c r="D9" s="37"/>
      <c r="E9" s="37"/>
      <c r="F9" s="37"/>
      <c r="G9" s="37"/>
    </row>
    <row r="10" spans="1:7" ht="18" customHeight="1" x14ac:dyDescent="0.3">
      <c r="A10" s="36" t="s">
        <v>367</v>
      </c>
      <c r="B10" s="10"/>
      <c r="C10" s="10">
        <v>0</v>
      </c>
      <c r="D10" s="39"/>
      <c r="E10" s="39"/>
      <c r="F10" s="39"/>
      <c r="G10" s="39"/>
    </row>
    <row r="11" spans="1:7" ht="18" customHeight="1" x14ac:dyDescent="0.3">
      <c r="A11" s="36" t="s">
        <v>183</v>
      </c>
      <c r="B11" s="58" t="s">
        <v>184</v>
      </c>
      <c r="C11" s="6" t="s">
        <v>368</v>
      </c>
      <c r="D11" s="37"/>
      <c r="E11" s="37"/>
      <c r="F11" s="37"/>
      <c r="G11" s="37"/>
    </row>
    <row r="13" spans="1:7" ht="15" customHeight="1" x14ac:dyDescent="0.3">
      <c r="A13" s="78" t="s">
        <v>365</v>
      </c>
      <c r="B13" s="78"/>
      <c r="C13" s="78"/>
      <c r="D13" s="78"/>
      <c r="E13" s="78"/>
      <c r="F13" s="78"/>
      <c r="G13" s="78"/>
    </row>
    <row r="14" spans="1:7" ht="23.25" customHeight="1" x14ac:dyDescent="0.3">
      <c r="A14" s="28" t="s">
        <v>185</v>
      </c>
      <c r="B14" s="28" t="s">
        <v>186</v>
      </c>
      <c r="C14" s="28" t="s">
        <v>187</v>
      </c>
      <c r="D14" s="28" t="s">
        <v>188</v>
      </c>
      <c r="E14" s="28" t="s">
        <v>160</v>
      </c>
      <c r="F14" s="28" t="s">
        <v>189</v>
      </c>
      <c r="G14" s="28" t="s">
        <v>190</v>
      </c>
    </row>
    <row r="15" spans="1:7" ht="18" customHeight="1" x14ac:dyDescent="0.3">
      <c r="A15" s="55" t="s">
        <v>191</v>
      </c>
      <c r="B15" s="55" t="s">
        <v>191</v>
      </c>
      <c r="C15" s="49">
        <v>0</v>
      </c>
      <c r="D15" s="49">
        <v>0</v>
      </c>
      <c r="E15" s="50">
        <f>IF(C25=0,0,C15/C25)</f>
        <v>0</v>
      </c>
      <c r="F15" s="55" t="s">
        <v>144</v>
      </c>
      <c r="G15" s="57">
        <v>0.04</v>
      </c>
    </row>
    <row r="16" spans="1:7" ht="18" customHeight="1" x14ac:dyDescent="0.3">
      <c r="A16" s="53" t="s">
        <v>192</v>
      </c>
      <c r="B16" s="53" t="s">
        <v>192</v>
      </c>
      <c r="C16" s="49">
        <v>10000</v>
      </c>
      <c r="D16" s="49">
        <v>100</v>
      </c>
      <c r="E16" s="52">
        <f>IF(C25=0,0,C16/C25)</f>
        <v>2.2172949002217297E-2</v>
      </c>
      <c r="F16" s="53" t="s">
        <v>141</v>
      </c>
      <c r="G16" s="57">
        <v>4.4999999999999998E-2</v>
      </c>
    </row>
    <row r="17" spans="1:7" ht="18" customHeight="1" x14ac:dyDescent="0.3">
      <c r="A17" s="53" t="s">
        <v>374</v>
      </c>
      <c r="B17" s="53" t="s">
        <v>373</v>
      </c>
      <c r="C17" s="49">
        <v>300000</v>
      </c>
      <c r="D17" s="49">
        <v>500</v>
      </c>
      <c r="E17" s="50">
        <f>IF(C25=0,0,C17/C25)</f>
        <v>0.66518847006651882</v>
      </c>
      <c r="F17" s="55" t="s">
        <v>135</v>
      </c>
      <c r="G17" s="57">
        <v>0.1036</v>
      </c>
    </row>
    <row r="18" spans="1:7" ht="18" customHeight="1" x14ac:dyDescent="0.3">
      <c r="A18" s="53" t="s">
        <v>374</v>
      </c>
      <c r="B18" s="53" t="s">
        <v>373</v>
      </c>
      <c r="C18" s="49">
        <v>39000</v>
      </c>
      <c r="D18" s="49">
        <v>200</v>
      </c>
      <c r="E18" s="50"/>
      <c r="F18" s="55"/>
      <c r="G18" s="57"/>
    </row>
    <row r="19" spans="1:7" ht="18" customHeight="1" x14ac:dyDescent="0.3">
      <c r="A19" s="53" t="s">
        <v>374</v>
      </c>
      <c r="B19" s="53" t="s">
        <v>373</v>
      </c>
      <c r="C19" s="49">
        <v>7000</v>
      </c>
      <c r="D19" s="49">
        <v>300</v>
      </c>
      <c r="E19" s="50"/>
      <c r="F19" s="55"/>
      <c r="G19" s="57"/>
    </row>
    <row r="20" spans="1:7" ht="18" customHeight="1" x14ac:dyDescent="0.3">
      <c r="A20" s="53" t="s">
        <v>374</v>
      </c>
      <c r="B20" s="53" t="s">
        <v>373</v>
      </c>
      <c r="C20" s="49">
        <v>15000</v>
      </c>
      <c r="D20" s="49">
        <v>300</v>
      </c>
      <c r="E20" s="50"/>
      <c r="F20" s="55"/>
      <c r="G20" s="57"/>
    </row>
    <row r="21" spans="1:7" ht="18" customHeight="1" x14ac:dyDescent="0.3">
      <c r="A21" s="53" t="s">
        <v>375</v>
      </c>
      <c r="B21" s="53" t="s">
        <v>376</v>
      </c>
      <c r="C21" s="49">
        <v>15000</v>
      </c>
      <c r="D21" s="49">
        <v>0</v>
      </c>
      <c r="E21" s="52">
        <f>IF(C25=0,0,C21/C25)</f>
        <v>3.325942350332594E-2</v>
      </c>
      <c r="F21" s="53" t="s">
        <v>138</v>
      </c>
      <c r="G21" s="57">
        <v>0.109</v>
      </c>
    </row>
    <row r="22" spans="1:7" ht="18" customHeight="1" x14ac:dyDescent="0.3">
      <c r="A22" s="53" t="s">
        <v>375</v>
      </c>
      <c r="B22" s="55" t="s">
        <v>377</v>
      </c>
      <c r="C22" s="49">
        <v>5000</v>
      </c>
      <c r="D22" s="49">
        <v>0</v>
      </c>
      <c r="E22" s="50">
        <f>IF(C25=0,0,C22/C25)</f>
        <v>1.1086474501108648E-2</v>
      </c>
      <c r="F22" s="55" t="s">
        <v>138</v>
      </c>
      <c r="G22" s="57">
        <v>8.5000000000000006E-2</v>
      </c>
    </row>
    <row r="23" spans="1:7" ht="18" customHeight="1" x14ac:dyDescent="0.3">
      <c r="A23" s="55" t="s">
        <v>193</v>
      </c>
      <c r="B23" s="55" t="s">
        <v>193</v>
      </c>
      <c r="C23" s="49">
        <v>60000</v>
      </c>
      <c r="D23" s="49">
        <v>0</v>
      </c>
      <c r="E23" s="52">
        <f>IF(C25=0,0,C23/C25)</f>
        <v>0.13303769401330376</v>
      </c>
      <c r="F23" s="53" t="s">
        <v>194</v>
      </c>
      <c r="G23" s="57">
        <v>9.5000000000000001E-2</v>
      </c>
    </row>
    <row r="24" spans="1:7" ht="18" customHeight="1" x14ac:dyDescent="0.3">
      <c r="A24" s="55" t="s">
        <v>195</v>
      </c>
      <c r="B24" s="55" t="s">
        <v>195</v>
      </c>
      <c r="C24" s="49">
        <v>0</v>
      </c>
      <c r="D24" s="49">
        <v>0</v>
      </c>
      <c r="E24" s="50">
        <f>IF(C25=0,0,C24/C25)</f>
        <v>0</v>
      </c>
      <c r="F24" s="55" t="s">
        <v>141</v>
      </c>
      <c r="G24" s="57">
        <v>0.05</v>
      </c>
    </row>
    <row r="25" spans="1:7" ht="15" customHeight="1" x14ac:dyDescent="0.3">
      <c r="A25" s="15" t="s">
        <v>372</v>
      </c>
      <c r="B25" s="29"/>
      <c r="C25" s="24">
        <f>SUM(C15:C24)</f>
        <v>451000</v>
      </c>
      <c r="D25" s="24">
        <f>SUM(D15:D24)</f>
        <v>1400</v>
      </c>
      <c r="E25" s="29"/>
      <c r="F25" s="29"/>
      <c r="G25" s="29"/>
    </row>
  </sheetData>
  <mergeCells count="3">
    <mergeCell ref="A1:G1"/>
    <mergeCell ref="A2:G2"/>
    <mergeCell ref="A13:G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9"/>
  <sheetViews>
    <sheetView showGridLines="0" tabSelected="1" zoomScaleNormal="100" workbookViewId="0">
      <selection activeCell="C23" sqref="C23"/>
    </sheetView>
  </sheetViews>
  <sheetFormatPr defaultColWidth="8.6640625" defaultRowHeight="14.4" x14ac:dyDescent="0.3"/>
  <cols>
    <col min="1" max="1" width="28" style="1" customWidth="1"/>
    <col min="2" max="8" width="16" style="1" customWidth="1"/>
  </cols>
  <sheetData>
    <row r="1" spans="1:8" ht="39.75" customHeight="1" x14ac:dyDescent="0.3">
      <c r="A1" s="86" t="s">
        <v>196</v>
      </c>
      <c r="B1" s="86"/>
      <c r="C1" s="86"/>
      <c r="D1" s="86"/>
      <c r="E1" s="86"/>
      <c r="F1" s="86"/>
      <c r="G1" s="86"/>
      <c r="H1" s="86"/>
    </row>
    <row r="2" spans="1:8" ht="15" customHeight="1" x14ac:dyDescent="0.3">
      <c r="A2" s="84" t="s">
        <v>197</v>
      </c>
      <c r="B2" s="84"/>
      <c r="C2" s="84"/>
      <c r="D2" s="84"/>
      <c r="E2" s="84"/>
      <c r="F2" s="84"/>
      <c r="G2" s="84"/>
      <c r="H2" s="84"/>
    </row>
    <row r="3" spans="1:8" ht="23.25" customHeight="1" x14ac:dyDescent="0.3">
      <c r="A3" s="40" t="s">
        <v>198</v>
      </c>
      <c r="B3" s="40" t="s">
        <v>159</v>
      </c>
      <c r="C3" s="40" t="s">
        <v>199</v>
      </c>
      <c r="D3" s="40" t="s">
        <v>200</v>
      </c>
      <c r="E3" s="40" t="s">
        <v>201</v>
      </c>
      <c r="F3" s="40" t="s">
        <v>202</v>
      </c>
      <c r="G3" s="40" t="s">
        <v>203</v>
      </c>
      <c r="H3" s="40" t="s">
        <v>204</v>
      </c>
    </row>
    <row r="4" spans="1:8" ht="18" customHeight="1" x14ac:dyDescent="0.3">
      <c r="A4" s="6" t="s">
        <v>326</v>
      </c>
      <c r="B4" s="49">
        <v>0</v>
      </c>
      <c r="C4" s="57">
        <v>0.19</v>
      </c>
      <c r="D4" s="49">
        <v>0</v>
      </c>
      <c r="E4" s="49">
        <v>0</v>
      </c>
      <c r="F4" s="56">
        <f t="shared" ref="F4:F12" si="0">D4+E4</f>
        <v>0</v>
      </c>
      <c r="G4" s="62">
        <f t="shared" ref="G4:G12" si="1">IF(B4=0,0,IFERROR(NPER(C4/12,-F4,B4),"∞"))</f>
        <v>0</v>
      </c>
      <c r="H4" s="63">
        <f t="shared" ref="H4:H12" si="2">IF(B4=0,0,IFERROR(F4*G4-B4,0))</f>
        <v>0</v>
      </c>
    </row>
    <row r="5" spans="1:8" ht="18" customHeight="1" x14ac:dyDescent="0.3">
      <c r="A5" s="10" t="s">
        <v>327</v>
      </c>
      <c r="B5" s="49">
        <v>0</v>
      </c>
      <c r="C5" s="57">
        <v>0.17</v>
      </c>
      <c r="D5" s="49">
        <v>0</v>
      </c>
      <c r="E5" s="49">
        <v>0</v>
      </c>
      <c r="F5" s="54">
        <f t="shared" si="0"/>
        <v>0</v>
      </c>
      <c r="G5" s="64">
        <f t="shared" si="1"/>
        <v>0</v>
      </c>
      <c r="H5" s="65">
        <f t="shared" si="2"/>
        <v>0</v>
      </c>
    </row>
    <row r="6" spans="1:8" ht="18" customHeight="1" x14ac:dyDescent="0.3">
      <c r="A6" s="6" t="s">
        <v>205</v>
      </c>
      <c r="B6" s="49">
        <v>17300</v>
      </c>
      <c r="C6" s="57">
        <v>6.5000000000000002E-2</v>
      </c>
      <c r="D6" s="49">
        <v>300</v>
      </c>
      <c r="E6" s="49">
        <v>50</v>
      </c>
      <c r="F6" s="56">
        <f t="shared" si="0"/>
        <v>350</v>
      </c>
      <c r="G6" s="62">
        <v>57</v>
      </c>
      <c r="H6" s="63">
        <f t="shared" si="2"/>
        <v>2650</v>
      </c>
    </row>
    <row r="7" spans="1:8" ht="18" customHeight="1" x14ac:dyDescent="0.3">
      <c r="A7" s="10" t="s">
        <v>206</v>
      </c>
      <c r="B7" s="49">
        <v>0</v>
      </c>
      <c r="C7" s="57">
        <v>4.4999999999999998E-2</v>
      </c>
      <c r="D7" s="49">
        <v>0</v>
      </c>
      <c r="E7" s="49">
        <v>0</v>
      </c>
      <c r="F7" s="54">
        <f t="shared" si="0"/>
        <v>0</v>
      </c>
      <c r="G7" s="64">
        <f t="shared" si="1"/>
        <v>0</v>
      </c>
      <c r="H7" s="65">
        <f t="shared" si="2"/>
        <v>0</v>
      </c>
    </row>
    <row r="8" spans="1:8" ht="18" customHeight="1" x14ac:dyDescent="0.3">
      <c r="A8" s="6" t="s">
        <v>207</v>
      </c>
      <c r="B8" s="49">
        <v>0</v>
      </c>
      <c r="C8" s="57">
        <v>0.12</v>
      </c>
      <c r="D8" s="49">
        <v>0</v>
      </c>
      <c r="E8" s="49">
        <v>0</v>
      </c>
      <c r="F8" s="56">
        <f t="shared" si="0"/>
        <v>0</v>
      </c>
      <c r="G8" s="62">
        <f t="shared" si="1"/>
        <v>0</v>
      </c>
      <c r="H8" s="63">
        <f t="shared" si="2"/>
        <v>0</v>
      </c>
    </row>
    <row r="9" spans="1:8" ht="18" customHeight="1" x14ac:dyDescent="0.3">
      <c r="A9" s="10" t="s">
        <v>328</v>
      </c>
      <c r="B9" s="49">
        <v>0</v>
      </c>
      <c r="C9" s="57">
        <v>6.5000000000000002E-2</v>
      </c>
      <c r="D9" s="49">
        <v>0</v>
      </c>
      <c r="E9" s="49">
        <v>0</v>
      </c>
      <c r="F9" s="54">
        <f t="shared" si="0"/>
        <v>0</v>
      </c>
      <c r="G9" s="64">
        <f t="shared" si="1"/>
        <v>0</v>
      </c>
      <c r="H9" s="65">
        <f t="shared" si="2"/>
        <v>0</v>
      </c>
    </row>
    <row r="10" spans="1:8" ht="18" customHeight="1" x14ac:dyDescent="0.3">
      <c r="A10" s="10" t="s">
        <v>441</v>
      </c>
      <c r="B10" s="49">
        <v>0</v>
      </c>
      <c r="C10" s="57">
        <v>0.05</v>
      </c>
      <c r="D10" s="49">
        <v>0</v>
      </c>
      <c r="E10" s="49"/>
      <c r="F10" s="54"/>
      <c r="G10" s="64"/>
      <c r="H10" s="65"/>
    </row>
    <row r="11" spans="1:8" ht="18" customHeight="1" x14ac:dyDescent="0.3">
      <c r="A11" s="6" t="s">
        <v>329</v>
      </c>
      <c r="B11" s="49">
        <v>0</v>
      </c>
      <c r="C11" s="57">
        <v>0.1</v>
      </c>
      <c r="D11" s="49"/>
      <c r="E11" s="49">
        <v>0</v>
      </c>
      <c r="F11" s="56">
        <f t="shared" si="0"/>
        <v>0</v>
      </c>
      <c r="G11" s="62">
        <f t="shared" si="1"/>
        <v>0</v>
      </c>
      <c r="H11" s="63">
        <f t="shared" si="2"/>
        <v>0</v>
      </c>
    </row>
    <row r="12" spans="1:8" ht="18" customHeight="1" x14ac:dyDescent="0.3">
      <c r="A12" s="10" t="s">
        <v>271</v>
      </c>
      <c r="B12" s="49">
        <v>0</v>
      </c>
      <c r="C12" s="57">
        <v>0.08</v>
      </c>
      <c r="D12" s="49">
        <v>0</v>
      </c>
      <c r="E12" s="49">
        <v>0</v>
      </c>
      <c r="F12" s="54">
        <f t="shared" si="0"/>
        <v>0</v>
      </c>
      <c r="G12" s="64">
        <f t="shared" si="1"/>
        <v>0</v>
      </c>
      <c r="H12" s="65">
        <f t="shared" si="2"/>
        <v>0</v>
      </c>
    </row>
    <row r="13" spans="1:8" ht="15" customHeight="1" x14ac:dyDescent="0.3">
      <c r="A13" s="41" t="s">
        <v>209</v>
      </c>
      <c r="B13" s="66">
        <f>SUM(B4:B12)</f>
        <v>17300</v>
      </c>
      <c r="C13" s="67"/>
      <c r="D13" s="66">
        <f>SUM(D4:D12)</f>
        <v>300</v>
      </c>
      <c r="E13" s="66">
        <f>SUM(E4:E12)</f>
        <v>50</v>
      </c>
      <c r="F13" s="66">
        <f>SUM(F4:F12)</f>
        <v>350</v>
      </c>
      <c r="G13" s="67"/>
      <c r="H13" s="66">
        <f>SUM(H4:H12)</f>
        <v>2650</v>
      </c>
    </row>
    <row r="15" spans="1:8" ht="15" customHeight="1" x14ac:dyDescent="0.3">
      <c r="A15" s="77" t="s">
        <v>210</v>
      </c>
      <c r="B15" s="77"/>
      <c r="C15" s="77"/>
      <c r="D15" s="77"/>
      <c r="E15" s="77"/>
      <c r="F15" s="77"/>
      <c r="G15" s="77"/>
      <c r="H15" s="77"/>
    </row>
    <row r="16" spans="1:8" ht="19.5" customHeight="1" x14ac:dyDescent="0.3">
      <c r="A16" s="36" t="s">
        <v>211</v>
      </c>
      <c r="B16" s="87" t="s">
        <v>212</v>
      </c>
      <c r="C16" s="87"/>
      <c r="D16" s="87"/>
      <c r="E16" s="87"/>
      <c r="F16" s="87"/>
      <c r="G16" s="88" t="s">
        <v>213</v>
      </c>
      <c r="H16" s="88"/>
    </row>
    <row r="17" spans="1:8" ht="19.5" customHeight="1" x14ac:dyDescent="0.3">
      <c r="A17" s="38" t="s">
        <v>214</v>
      </c>
      <c r="B17" s="89" t="s">
        <v>215</v>
      </c>
      <c r="C17" s="89"/>
      <c r="D17" s="89"/>
      <c r="E17" s="89"/>
      <c r="F17" s="89"/>
      <c r="G17" s="90" t="s">
        <v>216</v>
      </c>
      <c r="H17" s="90"/>
    </row>
    <row r="18" spans="1:8" ht="19.5" customHeight="1" x14ac:dyDescent="0.3">
      <c r="A18" s="36" t="s">
        <v>217</v>
      </c>
      <c r="B18" s="87" t="s">
        <v>218</v>
      </c>
      <c r="C18" s="87"/>
      <c r="D18" s="87"/>
      <c r="E18" s="87"/>
      <c r="F18" s="87"/>
      <c r="G18" s="88" t="s">
        <v>219</v>
      </c>
      <c r="H18" s="88"/>
    </row>
    <row r="19" spans="1:8" ht="19.5" customHeight="1" x14ac:dyDescent="0.3">
      <c r="A19" s="38" t="s">
        <v>220</v>
      </c>
      <c r="B19" s="89" t="s">
        <v>442</v>
      </c>
      <c r="C19" s="89"/>
      <c r="D19" s="89"/>
      <c r="E19" s="89"/>
      <c r="F19" s="89"/>
      <c r="G19" s="90" t="s">
        <v>221</v>
      </c>
      <c r="H19" s="90"/>
    </row>
  </sheetData>
  <mergeCells count="11">
    <mergeCell ref="B17:F17"/>
    <mergeCell ref="G17:H17"/>
    <mergeCell ref="B18:F18"/>
    <mergeCell ref="G18:H18"/>
    <mergeCell ref="B19:F19"/>
    <mergeCell ref="G19:H19"/>
    <mergeCell ref="A1:H1"/>
    <mergeCell ref="A2:H2"/>
    <mergeCell ref="A15:H15"/>
    <mergeCell ref="B16:F16"/>
    <mergeCell ref="G16:H1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showGridLines="0" topLeftCell="A4" zoomScaleNormal="100" workbookViewId="0">
      <selection activeCell="D28" sqref="D28"/>
    </sheetView>
  </sheetViews>
  <sheetFormatPr defaultColWidth="8.6640625" defaultRowHeight="14.4" x14ac:dyDescent="0.3"/>
  <cols>
    <col min="1" max="1" width="30" style="1" customWidth="1"/>
    <col min="2" max="2" width="25.21875" style="1" customWidth="1"/>
    <col min="3" max="3" width="20" style="1" customWidth="1"/>
    <col min="4" max="4" width="33.5546875" style="1" customWidth="1"/>
    <col min="5" max="5" width="18" style="1" customWidth="1"/>
  </cols>
  <sheetData>
    <row r="1" spans="1:5" ht="39.75" customHeight="1" x14ac:dyDescent="0.3">
      <c r="A1" s="83" t="s">
        <v>222</v>
      </c>
      <c r="B1" s="83"/>
      <c r="C1" s="83"/>
      <c r="D1" s="83"/>
      <c r="E1" s="83"/>
    </row>
    <row r="2" spans="1:5" ht="18" customHeight="1" x14ac:dyDescent="0.3">
      <c r="A2" s="5" t="s">
        <v>223</v>
      </c>
      <c r="B2" s="5" t="s">
        <v>224</v>
      </c>
      <c r="C2" s="5" t="s">
        <v>225</v>
      </c>
      <c r="D2" s="5" t="s">
        <v>226</v>
      </c>
      <c r="E2" s="5" t="s">
        <v>227</v>
      </c>
    </row>
    <row r="3" spans="1:5" ht="18" customHeight="1" x14ac:dyDescent="0.3">
      <c r="A3" s="38" t="s">
        <v>228</v>
      </c>
      <c r="B3" s="53" t="s">
        <v>344</v>
      </c>
      <c r="C3" s="54">
        <v>900</v>
      </c>
      <c r="D3" s="53" t="s">
        <v>229</v>
      </c>
      <c r="E3" s="53" t="s">
        <v>230</v>
      </c>
    </row>
    <row r="4" spans="1:5" ht="18" customHeight="1" x14ac:dyDescent="0.3">
      <c r="A4" s="36" t="s">
        <v>228</v>
      </c>
      <c r="B4" s="55" t="s">
        <v>363</v>
      </c>
      <c r="C4" s="49">
        <v>350</v>
      </c>
      <c r="D4" s="53" t="s">
        <v>229</v>
      </c>
      <c r="E4" s="53" t="s">
        <v>230</v>
      </c>
    </row>
    <row r="5" spans="1:5" ht="18" customHeight="1" x14ac:dyDescent="0.3">
      <c r="A5" s="38" t="s">
        <v>231</v>
      </c>
      <c r="B5" s="53" t="s">
        <v>345</v>
      </c>
      <c r="C5" s="54">
        <v>0</v>
      </c>
      <c r="D5" s="53" t="s">
        <v>229</v>
      </c>
      <c r="E5" s="53" t="s">
        <v>230</v>
      </c>
    </row>
    <row r="6" spans="1:5" ht="18" customHeight="1" x14ac:dyDescent="0.3">
      <c r="A6" s="36" t="s">
        <v>232</v>
      </c>
      <c r="B6" s="55" t="s">
        <v>347</v>
      </c>
      <c r="C6" s="49">
        <v>0</v>
      </c>
      <c r="D6" s="55" t="s">
        <v>348</v>
      </c>
      <c r="E6" s="55" t="s">
        <v>233</v>
      </c>
    </row>
    <row r="7" spans="1:5" ht="18" customHeight="1" x14ac:dyDescent="0.3">
      <c r="A7" s="38" t="s">
        <v>232</v>
      </c>
      <c r="B7" s="53" t="s">
        <v>346</v>
      </c>
      <c r="C7" s="49"/>
      <c r="D7" s="55" t="s">
        <v>348</v>
      </c>
      <c r="E7" s="55" t="s">
        <v>233</v>
      </c>
    </row>
    <row r="8" spans="1:5" ht="18" customHeight="1" x14ac:dyDescent="0.3">
      <c r="A8" s="36" t="s">
        <v>232</v>
      </c>
      <c r="B8" s="55" t="s">
        <v>349</v>
      </c>
      <c r="C8" s="49">
        <v>0</v>
      </c>
      <c r="D8" s="55" t="s">
        <v>348</v>
      </c>
      <c r="E8" s="55" t="s">
        <v>233</v>
      </c>
    </row>
    <row r="9" spans="1:5" ht="18" customHeight="1" x14ac:dyDescent="0.3">
      <c r="A9" s="38" t="s">
        <v>234</v>
      </c>
      <c r="B9" s="53" t="s">
        <v>321</v>
      </c>
      <c r="C9" s="49">
        <v>0</v>
      </c>
      <c r="D9" s="53" t="s">
        <v>352</v>
      </c>
      <c r="E9" s="53" t="s">
        <v>321</v>
      </c>
    </row>
    <row r="10" spans="1:5" ht="18" customHeight="1" x14ac:dyDescent="0.3">
      <c r="A10" s="36" t="s">
        <v>234</v>
      </c>
      <c r="B10" s="53" t="s">
        <v>321</v>
      </c>
      <c r="C10" s="49">
        <v>0</v>
      </c>
      <c r="D10" s="53" t="s">
        <v>352</v>
      </c>
      <c r="E10" s="53" t="s">
        <v>321</v>
      </c>
    </row>
    <row r="11" spans="1:5" ht="18" customHeight="1" x14ac:dyDescent="0.3">
      <c r="A11" s="38" t="s">
        <v>234</v>
      </c>
      <c r="B11" s="53" t="s">
        <v>321</v>
      </c>
      <c r="C11" s="49">
        <v>0</v>
      </c>
      <c r="D11" s="53" t="s">
        <v>352</v>
      </c>
      <c r="E11" s="53" t="s">
        <v>321</v>
      </c>
    </row>
    <row r="12" spans="1:5" ht="18" customHeight="1" x14ac:dyDescent="0.3">
      <c r="A12" s="36" t="s">
        <v>235</v>
      </c>
      <c r="B12" s="55" t="s">
        <v>350</v>
      </c>
      <c r="C12" s="56">
        <v>0</v>
      </c>
      <c r="D12" s="55" t="s">
        <v>353</v>
      </c>
      <c r="E12" s="53" t="s">
        <v>321</v>
      </c>
    </row>
    <row r="13" spans="1:5" ht="18" customHeight="1" x14ac:dyDescent="0.3">
      <c r="A13" s="38" t="s">
        <v>235</v>
      </c>
      <c r="B13" s="55" t="s">
        <v>351</v>
      </c>
      <c r="C13" s="54"/>
      <c r="D13" s="55" t="s">
        <v>354</v>
      </c>
      <c r="E13" s="53" t="s">
        <v>321</v>
      </c>
    </row>
    <row r="14" spans="1:5" ht="18" customHeight="1" x14ac:dyDescent="0.3">
      <c r="A14" s="38" t="s">
        <v>236</v>
      </c>
      <c r="B14" s="53" t="s">
        <v>355</v>
      </c>
      <c r="C14" s="49"/>
      <c r="D14" s="53" t="s">
        <v>358</v>
      </c>
      <c r="E14" s="53" t="s">
        <v>321</v>
      </c>
    </row>
    <row r="15" spans="1:5" ht="18" customHeight="1" x14ac:dyDescent="0.3">
      <c r="A15" s="36" t="s">
        <v>356</v>
      </c>
      <c r="B15" s="53" t="s">
        <v>355</v>
      </c>
      <c r="C15" s="49">
        <v>0</v>
      </c>
      <c r="D15" s="53" t="s">
        <v>358</v>
      </c>
      <c r="E15" s="53" t="s">
        <v>321</v>
      </c>
    </row>
    <row r="16" spans="1:5" ht="18" customHeight="1" x14ac:dyDescent="0.3">
      <c r="A16" s="36" t="s">
        <v>357</v>
      </c>
      <c r="B16" s="53" t="s">
        <v>355</v>
      </c>
      <c r="C16" s="49">
        <v>0</v>
      </c>
      <c r="D16" s="55" t="s">
        <v>237</v>
      </c>
      <c r="E16" s="53" t="s">
        <v>321</v>
      </c>
    </row>
    <row r="17" spans="1:5" ht="18" customHeight="1" x14ac:dyDescent="0.3">
      <c r="A17" s="38" t="s">
        <v>238</v>
      </c>
      <c r="B17" s="53" t="s">
        <v>239</v>
      </c>
      <c r="C17" s="49">
        <v>0</v>
      </c>
      <c r="D17" s="53" t="s">
        <v>240</v>
      </c>
      <c r="E17" s="53" t="s">
        <v>321</v>
      </c>
    </row>
    <row r="18" spans="1:5" ht="18" customHeight="1" x14ac:dyDescent="0.3">
      <c r="A18" s="36" t="s">
        <v>238</v>
      </c>
      <c r="B18" s="55" t="s">
        <v>359</v>
      </c>
      <c r="C18" s="49">
        <v>0</v>
      </c>
      <c r="D18" s="55" t="s">
        <v>241</v>
      </c>
      <c r="E18" s="53" t="s">
        <v>321</v>
      </c>
    </row>
    <row r="19" spans="1:5" ht="18" customHeight="1" x14ac:dyDescent="0.3">
      <c r="A19" s="38" t="s">
        <v>238</v>
      </c>
      <c r="B19" s="53" t="s">
        <v>242</v>
      </c>
      <c r="C19" s="49">
        <v>0</v>
      </c>
      <c r="D19" s="53" t="s">
        <v>243</v>
      </c>
      <c r="E19" s="53" t="s">
        <v>321</v>
      </c>
    </row>
    <row r="20" spans="1:5" ht="18" customHeight="1" x14ac:dyDescent="0.3">
      <c r="A20" s="36" t="s">
        <v>244</v>
      </c>
      <c r="B20" s="55" t="s">
        <v>245</v>
      </c>
      <c r="C20" s="49"/>
      <c r="D20" s="55" t="s">
        <v>246</v>
      </c>
      <c r="E20" s="53" t="s">
        <v>321</v>
      </c>
    </row>
    <row r="21" spans="1:5" ht="18" customHeight="1" x14ac:dyDescent="0.3">
      <c r="A21" s="38" t="s">
        <v>247</v>
      </c>
      <c r="B21" s="53" t="s">
        <v>360</v>
      </c>
      <c r="C21" s="49">
        <v>0</v>
      </c>
      <c r="D21" s="53" t="s">
        <v>248</v>
      </c>
      <c r="E21" s="53" t="s">
        <v>321</v>
      </c>
    </row>
    <row r="22" spans="1:5" ht="18" customHeight="1" x14ac:dyDescent="0.3">
      <c r="A22" s="36" t="s">
        <v>247</v>
      </c>
      <c r="B22" s="55"/>
      <c r="C22" s="49">
        <v>0</v>
      </c>
      <c r="D22" s="55" t="s">
        <v>249</v>
      </c>
      <c r="E22" s="53" t="s">
        <v>321</v>
      </c>
    </row>
    <row r="23" spans="1:5" ht="18" customHeight="1" x14ac:dyDescent="0.3">
      <c r="A23" s="38" t="s">
        <v>250</v>
      </c>
      <c r="B23" s="53" t="s">
        <v>251</v>
      </c>
      <c r="C23" s="49">
        <v>0</v>
      </c>
      <c r="D23" s="53" t="s">
        <v>252</v>
      </c>
      <c r="E23" s="53" t="s">
        <v>321</v>
      </c>
    </row>
    <row r="24" spans="1:5" ht="18" customHeight="1" x14ac:dyDescent="0.3">
      <c r="A24" s="36" t="s">
        <v>250</v>
      </c>
      <c r="B24" s="55" t="s">
        <v>253</v>
      </c>
      <c r="C24" s="49">
        <v>0</v>
      </c>
      <c r="D24" s="55" t="s">
        <v>254</v>
      </c>
      <c r="E24" s="53" t="s">
        <v>321</v>
      </c>
    </row>
    <row r="25" spans="1:5" ht="18" customHeight="1" x14ac:dyDescent="0.3">
      <c r="A25" s="38" t="s">
        <v>255</v>
      </c>
      <c r="B25" s="53" t="s">
        <v>361</v>
      </c>
      <c r="C25" s="49">
        <v>0</v>
      </c>
      <c r="D25" s="53"/>
      <c r="E25" s="53" t="s">
        <v>321</v>
      </c>
    </row>
    <row r="26" spans="1:5" ht="18" customHeight="1" x14ac:dyDescent="0.3">
      <c r="A26" s="36" t="s">
        <v>362</v>
      </c>
      <c r="B26" s="55"/>
      <c r="C26" s="49">
        <v>0</v>
      </c>
      <c r="D26" s="55"/>
      <c r="E26" s="53" t="s">
        <v>321</v>
      </c>
    </row>
    <row r="27" spans="1:5" ht="15" customHeight="1" x14ac:dyDescent="0.3">
      <c r="A27" s="2" t="s">
        <v>256</v>
      </c>
      <c r="C27" s="18">
        <f>SUMIF(C3:C26,"&gt;0",C3:C26)</f>
        <v>1250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showGridLines="0" zoomScaleNormal="100" workbookViewId="0">
      <selection activeCell="F24" sqref="F24"/>
    </sheetView>
  </sheetViews>
  <sheetFormatPr defaultColWidth="8.6640625" defaultRowHeight="14.4" x14ac:dyDescent="0.3"/>
  <cols>
    <col min="1" max="1" width="36.33203125" style="1" customWidth="1"/>
    <col min="2" max="3" width="18" style="1" customWidth="1"/>
    <col min="4" max="4" width="26.21875" style="1" customWidth="1"/>
    <col min="5" max="5" width="18" style="1" customWidth="1"/>
  </cols>
  <sheetData>
    <row r="1" spans="1:5" ht="39.75" customHeight="1" x14ac:dyDescent="0.3">
      <c r="A1" s="91" t="s">
        <v>330</v>
      </c>
      <c r="B1" s="91"/>
      <c r="C1" s="91"/>
      <c r="D1" s="91"/>
      <c r="E1" s="91"/>
    </row>
    <row r="2" spans="1:5" ht="15" customHeight="1" x14ac:dyDescent="0.3">
      <c r="A2" s="77" t="s">
        <v>331</v>
      </c>
      <c r="B2" s="77"/>
      <c r="C2" s="77"/>
      <c r="D2" s="77"/>
      <c r="E2" s="77"/>
    </row>
    <row r="3" spans="1:5" ht="15" customHeight="1" x14ac:dyDescent="0.3">
      <c r="A3" s="5" t="s">
        <v>257</v>
      </c>
      <c r="B3" s="5" t="s">
        <v>258</v>
      </c>
      <c r="C3" s="5" t="s">
        <v>259</v>
      </c>
      <c r="D3" s="5" t="s">
        <v>40</v>
      </c>
      <c r="E3" s="5"/>
    </row>
    <row r="4" spans="1:5" ht="18" customHeight="1" x14ac:dyDescent="0.3">
      <c r="A4" s="6" t="s">
        <v>339</v>
      </c>
      <c r="B4" s="4">
        <v>2000</v>
      </c>
      <c r="C4" s="4">
        <v>0</v>
      </c>
      <c r="D4" s="6" t="s">
        <v>340</v>
      </c>
      <c r="E4" s="9"/>
    </row>
    <row r="5" spans="1:5" ht="18" customHeight="1" x14ac:dyDescent="0.3">
      <c r="A5" s="10" t="s">
        <v>260</v>
      </c>
      <c r="B5" s="4">
        <v>0</v>
      </c>
      <c r="C5" s="4">
        <v>150</v>
      </c>
      <c r="D5" s="10" t="s">
        <v>261</v>
      </c>
      <c r="E5" s="13"/>
    </row>
    <row r="6" spans="1:5" ht="18" customHeight="1" x14ac:dyDescent="0.3">
      <c r="A6" s="6" t="s">
        <v>262</v>
      </c>
      <c r="B6" s="4">
        <v>0</v>
      </c>
      <c r="C6" s="4">
        <v>200</v>
      </c>
      <c r="D6" s="6" t="s">
        <v>263</v>
      </c>
      <c r="E6" s="9"/>
    </row>
    <row r="7" spans="1:5" ht="18" customHeight="1" x14ac:dyDescent="0.3">
      <c r="A7" s="10" t="s">
        <v>264</v>
      </c>
      <c r="B7" s="4">
        <v>0</v>
      </c>
      <c r="C7" s="4">
        <v>0</v>
      </c>
      <c r="D7" s="10"/>
      <c r="E7" s="13"/>
    </row>
    <row r="8" spans="1:5" ht="18" customHeight="1" x14ac:dyDescent="0.3">
      <c r="A8" s="6" t="s">
        <v>265</v>
      </c>
      <c r="B8" s="4">
        <v>0</v>
      </c>
      <c r="C8" s="4">
        <v>0</v>
      </c>
      <c r="D8" s="6"/>
      <c r="E8" s="9"/>
    </row>
    <row r="9" spans="1:5" ht="18" customHeight="1" x14ac:dyDescent="0.3">
      <c r="A9" s="10" t="s">
        <v>266</v>
      </c>
      <c r="B9" s="4">
        <v>0</v>
      </c>
      <c r="C9" s="4">
        <v>500</v>
      </c>
      <c r="D9" s="10"/>
      <c r="E9" s="13"/>
    </row>
    <row r="10" spans="1:5" ht="18" customHeight="1" x14ac:dyDescent="0.3">
      <c r="A10" s="6" t="s">
        <v>267</v>
      </c>
      <c r="B10" s="4">
        <v>0</v>
      </c>
      <c r="C10" s="4">
        <v>200</v>
      </c>
      <c r="D10" s="6" t="s">
        <v>268</v>
      </c>
      <c r="E10" s="9"/>
    </row>
    <row r="11" spans="1:5" ht="18" customHeight="1" x14ac:dyDescent="0.3">
      <c r="A11" s="10" t="s">
        <v>269</v>
      </c>
      <c r="B11" s="4">
        <v>0</v>
      </c>
      <c r="C11" s="4">
        <v>0</v>
      </c>
      <c r="D11" s="10"/>
      <c r="E11" s="13"/>
    </row>
    <row r="12" spans="1:5" ht="18" customHeight="1" x14ac:dyDescent="0.3">
      <c r="A12" s="6" t="s">
        <v>270</v>
      </c>
      <c r="B12" s="4">
        <v>0</v>
      </c>
      <c r="C12" s="4">
        <v>0</v>
      </c>
      <c r="D12" s="6"/>
      <c r="E12" s="9"/>
    </row>
    <row r="13" spans="1:5" ht="18" customHeight="1" x14ac:dyDescent="0.3">
      <c r="A13" s="10" t="s">
        <v>271</v>
      </c>
      <c r="B13" s="4">
        <v>0</v>
      </c>
      <c r="C13" s="4">
        <v>300</v>
      </c>
      <c r="D13" s="10"/>
      <c r="E13" s="13"/>
    </row>
    <row r="14" spans="1:5" ht="15" customHeight="1" x14ac:dyDescent="0.3">
      <c r="A14" s="15" t="s">
        <v>332</v>
      </c>
      <c r="B14" s="24">
        <f>SUM(B4:B13)</f>
        <v>2000</v>
      </c>
      <c r="C14" s="24">
        <f>SUM(C4:C13)</f>
        <v>1350</v>
      </c>
      <c r="D14" s="29"/>
      <c r="E14" s="29"/>
    </row>
    <row r="16" spans="1:5" ht="15" customHeight="1" x14ac:dyDescent="0.3">
      <c r="A16" s="78" t="s">
        <v>272</v>
      </c>
      <c r="B16" s="78"/>
      <c r="C16" s="78"/>
      <c r="D16" s="78"/>
      <c r="E16" s="78"/>
    </row>
    <row r="17" spans="1:5" ht="15" customHeight="1" x14ac:dyDescent="0.3">
      <c r="A17" s="28" t="s">
        <v>257</v>
      </c>
      <c r="B17" s="28" t="s">
        <v>39</v>
      </c>
      <c r="C17" s="28" t="s">
        <v>38</v>
      </c>
      <c r="D17" s="28" t="s">
        <v>273</v>
      </c>
      <c r="E17" s="28"/>
    </row>
    <row r="18" spans="1:5" ht="18" customHeight="1" x14ac:dyDescent="0.3">
      <c r="A18" s="6" t="s">
        <v>334</v>
      </c>
      <c r="B18" s="4">
        <v>225</v>
      </c>
      <c r="C18" s="7">
        <f t="shared" ref="C18:C26" si="0">B18*12</f>
        <v>2700</v>
      </c>
      <c r="D18" s="6"/>
      <c r="E18" s="9"/>
    </row>
    <row r="19" spans="1:5" ht="18" customHeight="1" x14ac:dyDescent="0.3">
      <c r="A19" s="10" t="s">
        <v>335</v>
      </c>
      <c r="B19" s="4">
        <v>250</v>
      </c>
      <c r="C19" s="11">
        <f t="shared" si="0"/>
        <v>3000</v>
      </c>
      <c r="D19" s="10" t="s">
        <v>274</v>
      </c>
      <c r="E19" s="13"/>
    </row>
    <row r="20" spans="1:5" ht="18" customHeight="1" x14ac:dyDescent="0.3">
      <c r="A20" s="6" t="s">
        <v>336</v>
      </c>
      <c r="B20" s="4">
        <v>833</v>
      </c>
      <c r="C20" s="7">
        <f t="shared" si="0"/>
        <v>9996</v>
      </c>
      <c r="D20" s="6"/>
      <c r="E20" s="9"/>
    </row>
    <row r="21" spans="1:5" ht="18" customHeight="1" x14ac:dyDescent="0.3">
      <c r="A21" s="6" t="s">
        <v>338</v>
      </c>
      <c r="B21" s="4">
        <v>0</v>
      </c>
      <c r="C21" s="11">
        <f t="shared" si="0"/>
        <v>0</v>
      </c>
      <c r="D21" s="10"/>
      <c r="E21" s="13"/>
    </row>
    <row r="22" spans="1:5" ht="18" customHeight="1" x14ac:dyDescent="0.3">
      <c r="A22" s="10" t="s">
        <v>337</v>
      </c>
      <c r="B22" s="4">
        <v>0</v>
      </c>
      <c r="C22" s="7">
        <f t="shared" si="0"/>
        <v>0</v>
      </c>
      <c r="D22" s="6"/>
      <c r="E22" s="9"/>
    </row>
    <row r="23" spans="1:5" ht="18" customHeight="1" x14ac:dyDescent="0.3">
      <c r="A23" s="10" t="s">
        <v>337</v>
      </c>
      <c r="B23" s="4">
        <v>500</v>
      </c>
      <c r="C23" s="11">
        <f t="shared" si="0"/>
        <v>6000</v>
      </c>
      <c r="D23" s="10"/>
      <c r="E23" s="13"/>
    </row>
    <row r="24" spans="1:5" ht="18" customHeight="1" x14ac:dyDescent="0.3">
      <c r="A24" s="6" t="s">
        <v>275</v>
      </c>
      <c r="B24" s="4">
        <v>300</v>
      </c>
      <c r="C24" s="7">
        <f t="shared" si="0"/>
        <v>3600</v>
      </c>
      <c r="D24" s="6" t="s">
        <v>276</v>
      </c>
      <c r="E24" s="9"/>
    </row>
    <row r="25" spans="1:5" ht="18" customHeight="1" x14ac:dyDescent="0.3">
      <c r="A25" s="10" t="s">
        <v>333</v>
      </c>
      <c r="B25" s="4">
        <v>400</v>
      </c>
      <c r="C25" s="11">
        <f t="shared" si="0"/>
        <v>4800</v>
      </c>
      <c r="D25" s="10"/>
      <c r="E25" s="13"/>
    </row>
    <row r="26" spans="1:5" ht="18" customHeight="1" x14ac:dyDescent="0.3">
      <c r="A26" s="6" t="s">
        <v>277</v>
      </c>
      <c r="B26" s="4">
        <v>200</v>
      </c>
      <c r="C26" s="7">
        <f t="shared" si="0"/>
        <v>2400</v>
      </c>
      <c r="D26" s="6" t="s">
        <v>278</v>
      </c>
      <c r="E26" s="9"/>
    </row>
  </sheetData>
  <mergeCells count="3">
    <mergeCell ref="A1:E1"/>
    <mergeCell ref="A2:E2"/>
    <mergeCell ref="A16:E16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Normal="100" workbookViewId="0">
      <selection activeCell="H20" sqref="H20"/>
    </sheetView>
  </sheetViews>
  <sheetFormatPr defaultColWidth="8.6640625" defaultRowHeight="14.4" x14ac:dyDescent="0.3"/>
  <cols>
    <col min="1" max="1" width="34.33203125" style="1" customWidth="1"/>
    <col min="2" max="5" width="16" style="1" customWidth="1"/>
    <col min="6" max="6" width="19" style="1" customWidth="1"/>
    <col min="7" max="7" width="16" style="1" customWidth="1"/>
  </cols>
  <sheetData>
    <row r="1" spans="1:7" ht="39.75" customHeight="1" x14ac:dyDescent="0.3">
      <c r="A1" s="83" t="s">
        <v>279</v>
      </c>
      <c r="B1" s="83"/>
      <c r="C1" s="83"/>
      <c r="D1" s="83"/>
      <c r="E1" s="83"/>
      <c r="F1" s="83"/>
      <c r="G1" s="83"/>
    </row>
    <row r="2" spans="1:7" ht="15" customHeight="1" x14ac:dyDescent="0.3">
      <c r="A2" s="78" t="s">
        <v>280</v>
      </c>
      <c r="B2" s="78"/>
      <c r="C2" s="78"/>
      <c r="D2" s="78"/>
      <c r="E2" s="78"/>
      <c r="F2" s="78"/>
      <c r="G2" s="78"/>
    </row>
    <row r="3" spans="1:7" ht="15" customHeight="1" x14ac:dyDescent="0.3">
      <c r="A3" s="28" t="s">
        <v>281</v>
      </c>
      <c r="B3" s="28" t="s">
        <v>282</v>
      </c>
      <c r="C3" s="28" t="s">
        <v>283</v>
      </c>
      <c r="D3" s="28" t="s">
        <v>284</v>
      </c>
      <c r="E3" s="28" t="s">
        <v>285</v>
      </c>
      <c r="F3" s="28" t="s">
        <v>26</v>
      </c>
      <c r="G3" s="28" t="s">
        <v>286</v>
      </c>
    </row>
    <row r="4" spans="1:7" ht="19.5" customHeight="1" x14ac:dyDescent="0.3">
      <c r="A4" s="6" t="s">
        <v>287</v>
      </c>
      <c r="B4" s="49">
        <v>4000</v>
      </c>
      <c r="C4" s="49">
        <v>16000</v>
      </c>
      <c r="D4" s="50">
        <f t="shared" ref="D4:D13" si="0">IF(B4=0,1,MIN(1,C4/B4))</f>
        <v>1</v>
      </c>
      <c r="E4" s="51" t="s">
        <v>288</v>
      </c>
      <c r="F4" s="42" t="str">
        <f t="shared" ref="F4:F12" si="1">IF(C4&gt;=B4,"✅ SECURED",IF(D4&gt;=0.5,"🔄 IN PROGRESS","🎯 MISSION START"))</f>
        <v>✅ SECURED</v>
      </c>
      <c r="G4" s="51" t="s">
        <v>289</v>
      </c>
    </row>
    <row r="5" spans="1:7" ht="19.5" customHeight="1" x14ac:dyDescent="0.3">
      <c r="A5" s="10" t="s">
        <v>290</v>
      </c>
      <c r="B5" s="49">
        <v>251</v>
      </c>
      <c r="C5" s="49">
        <v>251</v>
      </c>
      <c r="D5" s="52">
        <f t="shared" si="0"/>
        <v>1</v>
      </c>
      <c r="E5" s="51" t="s">
        <v>291</v>
      </c>
      <c r="F5" s="43" t="str">
        <f t="shared" si="1"/>
        <v>✅ SECURED</v>
      </c>
      <c r="G5" s="51" t="s">
        <v>289</v>
      </c>
    </row>
    <row r="6" spans="1:7" ht="19.5" customHeight="1" x14ac:dyDescent="0.3">
      <c r="A6" s="6" t="s">
        <v>292</v>
      </c>
      <c r="B6" s="49">
        <v>52000</v>
      </c>
      <c r="C6" s="49">
        <v>34000</v>
      </c>
      <c r="D6" s="50">
        <f t="shared" si="0"/>
        <v>0.65384615384615385</v>
      </c>
      <c r="E6" s="51" t="s">
        <v>293</v>
      </c>
      <c r="F6" s="42" t="str">
        <f t="shared" si="1"/>
        <v>🔄 IN PROGRESS</v>
      </c>
      <c r="G6" s="51" t="s">
        <v>135</v>
      </c>
    </row>
    <row r="7" spans="1:7" ht="19.5" customHeight="1" x14ac:dyDescent="0.3">
      <c r="A7" s="10" t="s">
        <v>342</v>
      </c>
      <c r="B7" s="49">
        <v>7000</v>
      </c>
      <c r="C7" s="49">
        <v>7000</v>
      </c>
      <c r="D7" s="52">
        <f t="shared" si="0"/>
        <v>1</v>
      </c>
      <c r="E7" s="51" t="s">
        <v>291</v>
      </c>
      <c r="F7" s="43" t="str">
        <f t="shared" si="1"/>
        <v>✅ SECURED</v>
      </c>
      <c r="G7" s="51" t="s">
        <v>289</v>
      </c>
    </row>
    <row r="8" spans="1:7" ht="19.5" customHeight="1" x14ac:dyDescent="0.3">
      <c r="A8" s="6" t="s">
        <v>341</v>
      </c>
      <c r="B8" s="49">
        <v>50000</v>
      </c>
      <c r="C8" s="49">
        <v>45000</v>
      </c>
      <c r="D8" s="50">
        <f t="shared" si="0"/>
        <v>0.9</v>
      </c>
      <c r="E8" s="51" t="s">
        <v>294</v>
      </c>
      <c r="F8" s="42" t="str">
        <f t="shared" si="1"/>
        <v>🔄 IN PROGRESS</v>
      </c>
      <c r="G8" s="51" t="s">
        <v>289</v>
      </c>
    </row>
    <row r="9" spans="1:7" ht="19.5" customHeight="1" x14ac:dyDescent="0.3">
      <c r="A9" s="10" t="s">
        <v>295</v>
      </c>
      <c r="B9" s="49">
        <v>56000</v>
      </c>
      <c r="C9" s="49">
        <v>40000</v>
      </c>
      <c r="D9" s="52">
        <f t="shared" si="0"/>
        <v>0.7142857142857143</v>
      </c>
      <c r="E9" s="51" t="s">
        <v>296</v>
      </c>
      <c r="F9" s="43" t="str">
        <f t="shared" si="1"/>
        <v>🔄 IN PROGRESS</v>
      </c>
      <c r="G9" s="51" t="s">
        <v>135</v>
      </c>
    </row>
    <row r="10" spans="1:7" ht="19.5" customHeight="1" x14ac:dyDescent="0.3">
      <c r="A10" s="6" t="s">
        <v>297</v>
      </c>
      <c r="B10" s="49">
        <v>25000</v>
      </c>
      <c r="C10" s="49">
        <v>1000</v>
      </c>
      <c r="D10" s="50">
        <f t="shared" si="0"/>
        <v>0.04</v>
      </c>
      <c r="E10" s="51" t="s">
        <v>298</v>
      </c>
      <c r="F10" s="42" t="str">
        <f t="shared" si="1"/>
        <v>🎯 MISSION START</v>
      </c>
      <c r="G10" s="51" t="s">
        <v>135</v>
      </c>
    </row>
    <row r="11" spans="1:7" ht="19.5" customHeight="1" x14ac:dyDescent="0.3">
      <c r="A11" s="10" t="s">
        <v>299</v>
      </c>
      <c r="B11" s="49">
        <v>3000000</v>
      </c>
      <c r="C11" s="49">
        <v>326000</v>
      </c>
      <c r="D11" s="52">
        <f t="shared" si="0"/>
        <v>0.10866666666666666</v>
      </c>
      <c r="E11" s="51" t="s">
        <v>300</v>
      </c>
      <c r="F11" s="43" t="str">
        <f t="shared" si="1"/>
        <v>🎯 MISSION START</v>
      </c>
      <c r="G11" s="51" t="s">
        <v>289</v>
      </c>
    </row>
    <row r="12" spans="1:7" ht="19.5" customHeight="1" x14ac:dyDescent="0.3">
      <c r="A12" s="6" t="s">
        <v>343</v>
      </c>
      <c r="B12" s="49">
        <v>20000</v>
      </c>
      <c r="C12" s="49">
        <v>16500</v>
      </c>
      <c r="D12" s="50">
        <f t="shared" si="0"/>
        <v>0.82499999999999996</v>
      </c>
      <c r="E12" s="51" t="s">
        <v>301</v>
      </c>
      <c r="F12" s="43" t="str">
        <f t="shared" si="1"/>
        <v>🔄 IN PROGRESS</v>
      </c>
      <c r="G12" s="51" t="s">
        <v>289</v>
      </c>
    </row>
    <row r="13" spans="1:7" ht="19.5" customHeight="1" x14ac:dyDescent="0.3">
      <c r="A13" s="10" t="s">
        <v>302</v>
      </c>
      <c r="B13" s="49">
        <v>1000000</v>
      </c>
      <c r="C13" s="49">
        <v>326000</v>
      </c>
      <c r="D13" s="52">
        <f t="shared" si="0"/>
        <v>0.32600000000000001</v>
      </c>
      <c r="E13" s="51" t="s">
        <v>303</v>
      </c>
      <c r="F13" s="42" t="str">
        <f>IF(C13&gt;=B13,"✅ '🎯 Goals &amp; Milestones'!G11,IF(D13&gt;=0.5,'🎯 Goals &amp; Milestones'!F11+'🎯 Goals &amp; Milestones'!F14:F15 IN B17PROGRESS","🎯 MISSION START")</f>
        <v>🎯 MISSION START</v>
      </c>
      <c r="G13" s="51" t="s">
        <v>304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🎖️ Command Overview</vt:lpstr>
      <vt:lpstr>📋 LES Breakdown</vt:lpstr>
      <vt:lpstr>💸 FOB Expenses</vt:lpstr>
      <vt:lpstr>📊 Investment Ops</vt:lpstr>
      <vt:lpstr>🏛️RRSP &amp; Retirement</vt:lpstr>
      <vt:lpstr>💳 Debt Elimination</vt:lpstr>
      <vt:lpstr>🛡️ Benefits Intel</vt:lpstr>
      <vt:lpstr>✈️Relocation &amp; Deploy Planner</vt:lpstr>
      <vt:lpstr>🎯 Goals &amp; Milestones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Paulo LoXan Keomanyla</cp:lastModifiedBy>
  <cp:revision>3</cp:revision>
  <dcterms:created xsi:type="dcterms:W3CDTF">2026-04-28T04:55:42Z</dcterms:created>
  <dcterms:modified xsi:type="dcterms:W3CDTF">2026-04-29T02:58:40Z</dcterms:modified>
  <dc:language>en-US</dc:language>
</cp:coreProperties>
</file>