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\Documents\Slide-Rule SDTDC 200423\"/>
    </mc:Choice>
  </mc:AlternateContent>
  <xr:revisionPtr revIDLastSave="0" documentId="13_ncr:1_{42730ABA-BCF2-458B-872C-FEC16BE74B94}" xr6:coauthVersionLast="45" xr6:coauthVersionMax="45" xr10:uidLastSave="{00000000-0000-0000-0000-000000000000}"/>
  <bookViews>
    <workbookView xWindow="768" yWindow="768" windowWidth="18396" windowHeight="9924" xr2:uid="{2646A706-8ECA-4853-AAE6-E032BD11E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B2" i="1" s="1"/>
  <c r="B3" i="1" l="1"/>
  <c r="J3" i="1" l="1"/>
  <c r="J35" i="1" s="1"/>
  <c r="J2" i="1"/>
  <c r="K69" i="1" l="1"/>
  <c r="C69" i="1"/>
  <c r="K37" i="1"/>
  <c r="J6" i="1"/>
  <c r="K3" i="1"/>
  <c r="C37" i="1"/>
  <c r="AB5" i="1"/>
  <c r="X96" i="1" l="1"/>
  <c r="X95" i="1"/>
  <c r="R93" i="1"/>
  <c r="R90" i="1"/>
  <c r="T84" i="1" s="1"/>
  <c r="O87" i="1"/>
  <c r="R86" i="1"/>
  <c r="R87" i="1" s="1"/>
  <c r="R83" i="1"/>
  <c r="T82" i="1" s="1"/>
  <c r="AA81" i="1"/>
  <c r="X80" i="1"/>
  <c r="J80" i="1"/>
  <c r="B80" i="1"/>
  <c r="X79" i="1"/>
  <c r="AA78" i="1"/>
  <c r="B77" i="1"/>
  <c r="C71" i="1" s="1"/>
  <c r="R76" i="1"/>
  <c r="AA74" i="1"/>
  <c r="AA75" i="1" s="1"/>
  <c r="AF73" i="1"/>
  <c r="R73" i="1"/>
  <c r="T69" i="1" s="1"/>
  <c r="B73" i="1"/>
  <c r="B74" i="1" s="1"/>
  <c r="AA71" i="1"/>
  <c r="B70" i="1"/>
  <c r="R69" i="1"/>
  <c r="R70" i="1" s="1"/>
  <c r="AA68" i="1"/>
  <c r="AA67" i="1"/>
  <c r="J67" i="1"/>
  <c r="B67" i="1"/>
  <c r="R66" i="1"/>
  <c r="T65" i="1" s="1"/>
  <c r="U66" i="1" s="1"/>
  <c r="J66" i="1"/>
  <c r="B66" i="1"/>
  <c r="O55" i="1"/>
  <c r="AF52" i="1"/>
  <c r="AA49" i="1"/>
  <c r="R49" i="1"/>
  <c r="J48" i="1"/>
  <c r="B48" i="1"/>
  <c r="C47" i="1"/>
  <c r="AA46" i="1"/>
  <c r="AB44" i="1" s="1"/>
  <c r="R46" i="1"/>
  <c r="S42" i="1" s="1"/>
  <c r="B45" i="1"/>
  <c r="C43" i="1" s="1"/>
  <c r="S44" i="1"/>
  <c r="AA42" i="1"/>
  <c r="AA43" i="1" s="1"/>
  <c r="R42" i="1"/>
  <c r="R43" i="1" s="1"/>
  <c r="B41" i="1"/>
  <c r="B42" i="1" s="1"/>
  <c r="AA39" i="1"/>
  <c r="R39" i="1"/>
  <c r="S40" i="1" s="1"/>
  <c r="AB40" i="1" s="1"/>
  <c r="B38" i="1"/>
  <c r="AA36" i="1"/>
  <c r="R36" i="1"/>
  <c r="V41" i="1" s="1"/>
  <c r="AA35" i="1"/>
  <c r="R35" i="1"/>
  <c r="B35" i="1"/>
  <c r="J34" i="1"/>
  <c r="B34" i="1"/>
  <c r="O22" i="1"/>
  <c r="AF18" i="1"/>
  <c r="C17" i="1"/>
  <c r="K17" i="1" s="1"/>
  <c r="N16" i="1" s="1"/>
  <c r="AA16" i="1"/>
  <c r="R16" i="1"/>
  <c r="J16" i="1"/>
  <c r="C15" i="1"/>
  <c r="F14" i="1" s="1"/>
  <c r="AA13" i="1"/>
  <c r="S13" i="1"/>
  <c r="AB13" i="1" s="1"/>
  <c r="R13" i="1"/>
  <c r="J13" i="1"/>
  <c r="C13" i="1"/>
  <c r="K13" i="1" s="1"/>
  <c r="N12" i="1" s="1"/>
  <c r="F12" i="1"/>
  <c r="S11" i="1"/>
  <c r="AB11" i="1" s="1"/>
  <c r="K11" i="1"/>
  <c r="C11" i="1"/>
  <c r="F10" i="1" s="1"/>
  <c r="B10" i="1"/>
  <c r="AA9" i="1"/>
  <c r="AA10" i="1" s="1"/>
  <c r="S9" i="1"/>
  <c r="AB9" i="1" s="1"/>
  <c r="R9" i="1"/>
  <c r="R10" i="1" s="1"/>
  <c r="J9" i="1"/>
  <c r="J10" i="1" s="1"/>
  <c r="C9" i="1"/>
  <c r="F8" i="1" s="1"/>
  <c r="S7" i="1"/>
  <c r="AB7" i="1" s="1"/>
  <c r="C7" i="1"/>
  <c r="F6" i="1" s="1"/>
  <c r="AA6" i="1"/>
  <c r="R6" i="1"/>
  <c r="S5" i="1" s="1"/>
  <c r="AC6" i="1"/>
  <c r="C5" i="1"/>
  <c r="F4" i="1" s="1"/>
  <c r="AA3" i="1"/>
  <c r="R3" i="1"/>
  <c r="V8" i="1" s="1"/>
  <c r="C3" i="1"/>
  <c r="AA2" i="1"/>
  <c r="R2" i="1"/>
  <c r="V43" i="1" l="1"/>
  <c r="W68" i="1"/>
  <c r="AE10" i="1"/>
  <c r="W83" i="1"/>
  <c r="W87" i="1" s="1"/>
  <c r="AE12" i="1"/>
  <c r="F70" i="1"/>
  <c r="AE6" i="1"/>
  <c r="AE8" i="1"/>
  <c r="F42" i="1"/>
  <c r="AE43" i="1"/>
  <c r="F46" i="1"/>
  <c r="V66" i="1"/>
  <c r="AD6" i="1"/>
  <c r="D14" i="1"/>
  <c r="E14" i="1" s="1"/>
  <c r="AB46" i="1"/>
  <c r="AE45" i="1" s="1"/>
  <c r="AB42" i="1"/>
  <c r="K9" i="1"/>
  <c r="N8" i="1" s="1"/>
  <c r="C41" i="1"/>
  <c r="F40" i="1" s="1"/>
  <c r="K7" i="1"/>
  <c r="N6" i="1" s="1"/>
  <c r="C49" i="1"/>
  <c r="F48" i="1" s="1"/>
  <c r="K15" i="1"/>
  <c r="N14" i="1" s="1"/>
  <c r="C45" i="1"/>
  <c r="F44" i="1" s="1"/>
  <c r="C39" i="1"/>
  <c r="F38" i="1" s="1"/>
  <c r="D72" i="1"/>
  <c r="E72" i="1" s="1"/>
  <c r="C75" i="1"/>
  <c r="K75" i="1" s="1"/>
  <c r="N74" i="1" s="1"/>
  <c r="T88" i="1"/>
  <c r="V92" i="1"/>
  <c r="U92" i="1" s="1"/>
  <c r="AE77" i="1"/>
  <c r="AD77" i="1" s="1"/>
  <c r="AC7" i="1"/>
  <c r="AD7" i="1" s="1"/>
  <c r="AC70" i="1"/>
  <c r="AC74" i="1" s="1"/>
  <c r="D4" i="1"/>
  <c r="E4" i="1" s="1"/>
  <c r="V78" i="1"/>
  <c r="U78" i="1" s="1"/>
  <c r="U83" i="1"/>
  <c r="V83" i="1" s="1"/>
  <c r="D5" i="1"/>
  <c r="E5" i="1" s="1"/>
  <c r="AD72" i="1"/>
  <c r="AE72" i="1" s="1"/>
  <c r="Q17" i="1"/>
  <c r="T10" i="1"/>
  <c r="U10" i="1" s="1"/>
  <c r="T7" i="1"/>
  <c r="T6" i="1"/>
  <c r="U6" i="1" s="1"/>
  <c r="S24" i="1" s="1"/>
  <c r="T11" i="1"/>
  <c r="D6" i="1"/>
  <c r="AC11" i="1"/>
  <c r="V10" i="1"/>
  <c r="J77" i="1"/>
  <c r="J45" i="1"/>
  <c r="F16" i="1"/>
  <c r="F20" i="1" s="1"/>
  <c r="D7" i="1"/>
  <c r="V6" i="1"/>
  <c r="V12" i="1"/>
  <c r="D71" i="1"/>
  <c r="E71" i="1" s="1"/>
  <c r="D73" i="1"/>
  <c r="E73" i="1" s="1"/>
  <c r="D70" i="1"/>
  <c r="E70" i="1" s="1"/>
  <c r="K5" i="1"/>
  <c r="N4" i="1" s="1"/>
  <c r="AC8" i="1"/>
  <c r="AD8" i="1" s="1"/>
  <c r="AC9" i="1"/>
  <c r="AD9" i="1" s="1"/>
  <c r="AD24" i="1"/>
  <c r="AC24" i="1" s="1"/>
  <c r="T42" i="1"/>
  <c r="T41" i="1"/>
  <c r="U41" i="1" s="1"/>
  <c r="T43" i="1"/>
  <c r="U43" i="1" s="1"/>
  <c r="T44" i="1"/>
  <c r="AC10" i="1"/>
  <c r="AD10" i="1" s="1"/>
  <c r="N10" i="1"/>
  <c r="AC43" i="1"/>
  <c r="AD43" i="1" s="1"/>
  <c r="AB51" i="1"/>
  <c r="AC44" i="1"/>
  <c r="AC42" i="1"/>
  <c r="AD42" i="1" s="1"/>
  <c r="AC41" i="1"/>
  <c r="AD41" i="1" s="1"/>
  <c r="U84" i="1"/>
  <c r="J73" i="1"/>
  <c r="J74" i="1" s="1"/>
  <c r="J41" i="1"/>
  <c r="J42" i="1" s="1"/>
  <c r="J70" i="1"/>
  <c r="J38" i="1"/>
  <c r="A21" i="1"/>
  <c r="K71" i="1"/>
  <c r="N70" i="1" s="1"/>
  <c r="AB17" i="1"/>
  <c r="D10" i="1"/>
  <c r="E10" i="1" s="1"/>
  <c r="D11" i="1"/>
  <c r="D13" i="1" s="1"/>
  <c r="E13" i="1" s="1"/>
  <c r="D15" i="1"/>
  <c r="AD57" i="1"/>
  <c r="AE41" i="1"/>
  <c r="S46" i="1"/>
  <c r="V45" i="1" s="1"/>
  <c r="V49" i="1" s="1"/>
  <c r="D47" i="1"/>
  <c r="T67" i="1"/>
  <c r="W66" i="1" s="1"/>
  <c r="W72" i="1" s="1"/>
  <c r="C73" i="1"/>
  <c r="C77" i="1"/>
  <c r="C79" i="1"/>
  <c r="D46" i="1"/>
  <c r="E46" i="1" s="1"/>
  <c r="U67" i="1"/>
  <c r="D42" i="1"/>
  <c r="E42" i="1" s="1"/>
  <c r="D43" i="1"/>
  <c r="AD71" i="1"/>
  <c r="AE71" i="1" s="1"/>
  <c r="D38" i="1"/>
  <c r="E38" i="1" s="1"/>
  <c r="D39" i="1"/>
  <c r="AE16" i="1" l="1"/>
  <c r="A54" i="1"/>
  <c r="F52" i="1"/>
  <c r="AE49" i="1"/>
  <c r="F74" i="1"/>
  <c r="V16" i="1"/>
  <c r="D76" i="1"/>
  <c r="E76" i="1" s="1"/>
  <c r="T73" i="1"/>
  <c r="A86" i="1"/>
  <c r="C31" i="1"/>
  <c r="B31" i="1" s="1"/>
  <c r="C94" i="1"/>
  <c r="B94" i="1" s="1"/>
  <c r="AD23" i="1"/>
  <c r="AC23" i="1" s="1"/>
  <c r="W78" i="1"/>
  <c r="X78" i="1" s="1"/>
  <c r="C93" i="1"/>
  <c r="D93" i="1" s="1"/>
  <c r="E93" i="1" s="1"/>
  <c r="AE73" i="1"/>
  <c r="AD81" i="1" s="1"/>
  <c r="AC81" i="1" s="1"/>
  <c r="AE24" i="1"/>
  <c r="AF24" i="1" s="1"/>
  <c r="AG24" i="1" s="1"/>
  <c r="U42" i="1"/>
  <c r="S57" i="1" s="1"/>
  <c r="D40" i="1"/>
  <c r="E40" i="1" s="1"/>
  <c r="E39" i="1"/>
  <c r="D41" i="1"/>
  <c r="E41" i="1" s="1"/>
  <c r="K77" i="1"/>
  <c r="N76" i="1" s="1"/>
  <c r="F76" i="1"/>
  <c r="D16" i="1"/>
  <c r="E16" i="1" s="1"/>
  <c r="D17" i="1"/>
  <c r="E15" i="1"/>
  <c r="U86" i="1"/>
  <c r="V86" i="1" s="1"/>
  <c r="U85" i="1"/>
  <c r="V85" i="1" s="1"/>
  <c r="V84" i="1"/>
  <c r="D74" i="1"/>
  <c r="E74" i="1" s="1"/>
  <c r="K73" i="1"/>
  <c r="L77" i="1" s="1"/>
  <c r="F72" i="1"/>
  <c r="D75" i="1"/>
  <c r="E75" i="1" s="1"/>
  <c r="L38" i="1"/>
  <c r="M38" i="1" s="1"/>
  <c r="L39" i="1"/>
  <c r="T13" i="1"/>
  <c r="U11" i="1"/>
  <c r="T12" i="1"/>
  <c r="U12" i="1" s="1"/>
  <c r="R24" i="1"/>
  <c r="T24" i="1"/>
  <c r="U24" i="1" s="1"/>
  <c r="L70" i="1"/>
  <c r="M70" i="1" s="1"/>
  <c r="L72" i="1"/>
  <c r="M72" i="1" s="1"/>
  <c r="L71" i="1"/>
  <c r="L73" i="1"/>
  <c r="M73" i="1" s="1"/>
  <c r="T45" i="1"/>
  <c r="U45" i="1" s="1"/>
  <c r="T46" i="1"/>
  <c r="U44" i="1"/>
  <c r="N20" i="1"/>
  <c r="U7" i="1"/>
  <c r="T9" i="1"/>
  <c r="U9" i="1" s="1"/>
  <c r="T8" i="1"/>
  <c r="U8" i="1" s="1"/>
  <c r="E43" i="1"/>
  <c r="D44" i="1"/>
  <c r="E44" i="1" s="1"/>
  <c r="D45" i="1"/>
  <c r="E45" i="1" s="1"/>
  <c r="K43" i="1"/>
  <c r="K47" i="1"/>
  <c r="N46" i="1" s="1"/>
  <c r="K49" i="1"/>
  <c r="N48" i="1" s="1"/>
  <c r="K45" i="1"/>
  <c r="N44" i="1" s="1"/>
  <c r="K41" i="1"/>
  <c r="N40" i="1" s="1"/>
  <c r="K39" i="1"/>
  <c r="N38" i="1" s="1"/>
  <c r="AD44" i="1"/>
  <c r="AD56" i="1" s="1"/>
  <c r="AC45" i="1"/>
  <c r="AD45" i="1" s="1"/>
  <c r="AC46" i="1"/>
  <c r="AF57" i="1"/>
  <c r="AG57" i="1" s="1"/>
  <c r="AE57" i="1"/>
  <c r="AC57" i="1"/>
  <c r="Q51" i="1"/>
  <c r="D8" i="1"/>
  <c r="E8" i="1" s="1"/>
  <c r="E7" i="1"/>
  <c r="D9" i="1"/>
  <c r="E9" i="1" s="1"/>
  <c r="D12" i="1"/>
  <c r="E12" i="1" s="1"/>
  <c r="E11" i="1"/>
  <c r="AC12" i="1"/>
  <c r="AD12" i="1" s="1"/>
  <c r="AC13" i="1"/>
  <c r="AD11" i="1"/>
  <c r="D48" i="1"/>
  <c r="E48" i="1" s="1"/>
  <c r="E47" i="1"/>
  <c r="D49" i="1"/>
  <c r="C30" i="1"/>
  <c r="E6" i="1"/>
  <c r="K21" i="1"/>
  <c r="L4" i="1"/>
  <c r="M4" i="1" s="1"/>
  <c r="L6" i="1"/>
  <c r="M6" i="1" s="1"/>
  <c r="L5" i="1"/>
  <c r="M5" i="1" s="1"/>
  <c r="M31" i="1" s="1"/>
  <c r="L10" i="1"/>
  <c r="M10" i="1" s="1"/>
  <c r="L7" i="1"/>
  <c r="L15" i="1"/>
  <c r="L11" i="1"/>
  <c r="L14" i="1"/>
  <c r="M14" i="1" s="1"/>
  <c r="U69" i="1"/>
  <c r="U68" i="1"/>
  <c r="V68" i="1" s="1"/>
  <c r="V67" i="1"/>
  <c r="K79" i="1"/>
  <c r="N78" i="1" s="1"/>
  <c r="F78" i="1"/>
  <c r="D77" i="1"/>
  <c r="V87" i="1" l="1"/>
  <c r="C62" i="1"/>
  <c r="S56" i="1"/>
  <c r="L47" i="1"/>
  <c r="AE23" i="1"/>
  <c r="AF23" i="1" s="1"/>
  <c r="AG23" i="1" s="1"/>
  <c r="D94" i="1"/>
  <c r="E94" i="1" s="1"/>
  <c r="F94" i="1" s="1"/>
  <c r="L42" i="1"/>
  <c r="M42" i="1" s="1"/>
  <c r="B93" i="1"/>
  <c r="C92" i="1"/>
  <c r="B92" i="1" s="1"/>
  <c r="C60" i="1"/>
  <c r="B60" i="1" s="1"/>
  <c r="C59" i="1"/>
  <c r="D59" i="1" s="1"/>
  <c r="E59" i="1" s="1"/>
  <c r="C28" i="1"/>
  <c r="D28" i="1" s="1"/>
  <c r="E28" i="1" s="1"/>
  <c r="C63" i="1"/>
  <c r="B63" i="1" s="1"/>
  <c r="D62" i="1"/>
  <c r="E62" i="1" s="1"/>
  <c r="B62" i="1"/>
  <c r="M47" i="1"/>
  <c r="L49" i="1"/>
  <c r="L48" i="1"/>
  <c r="M48" i="1" s="1"/>
  <c r="M11" i="1"/>
  <c r="L13" i="1"/>
  <c r="M13" i="1" s="1"/>
  <c r="L12" i="1"/>
  <c r="M12" i="1" s="1"/>
  <c r="U46" i="1"/>
  <c r="T48" i="1"/>
  <c r="U48" i="1" s="1"/>
  <c r="T47" i="1"/>
  <c r="U47" i="1" s="1"/>
  <c r="K54" i="1"/>
  <c r="N72" i="1"/>
  <c r="N82" i="1" s="1"/>
  <c r="L75" i="1"/>
  <c r="M75" i="1" s="1"/>
  <c r="L74" i="1"/>
  <c r="M74" i="1" s="1"/>
  <c r="C25" i="1"/>
  <c r="M15" i="1"/>
  <c r="L17" i="1"/>
  <c r="L16" i="1"/>
  <c r="M16" i="1" s="1"/>
  <c r="D30" i="1"/>
  <c r="E30" i="1" s="1"/>
  <c r="B30" i="1"/>
  <c r="W24" i="1"/>
  <c r="V24" i="1"/>
  <c r="X24" i="1" s="1"/>
  <c r="D50" i="1"/>
  <c r="E50" i="1" s="1"/>
  <c r="E49" i="1"/>
  <c r="D51" i="1"/>
  <c r="E51" i="1" s="1"/>
  <c r="AC48" i="1"/>
  <c r="AD48" i="1" s="1"/>
  <c r="AC47" i="1"/>
  <c r="AD47" i="1" s="1"/>
  <c r="AD46" i="1"/>
  <c r="AD55" i="1" s="1"/>
  <c r="L41" i="1"/>
  <c r="M41" i="1" s="1"/>
  <c r="M39" i="1"/>
  <c r="M63" i="1" s="1"/>
  <c r="L40" i="1"/>
  <c r="M40" i="1" s="1"/>
  <c r="L31" i="1"/>
  <c r="O31" i="1"/>
  <c r="P31" i="1" s="1"/>
  <c r="C61" i="1"/>
  <c r="C26" i="1"/>
  <c r="C27" i="1"/>
  <c r="L79" i="1"/>
  <c r="L78" i="1"/>
  <c r="M78" i="1" s="1"/>
  <c r="M77" i="1"/>
  <c r="N42" i="1"/>
  <c r="N52" i="1" s="1"/>
  <c r="AF56" i="1"/>
  <c r="AG56" i="1" s="1"/>
  <c r="AE56" i="1"/>
  <c r="AC56" i="1"/>
  <c r="U71" i="1"/>
  <c r="V71" i="1" s="1"/>
  <c r="U70" i="1"/>
  <c r="V70" i="1" s="1"/>
  <c r="V69" i="1"/>
  <c r="V77" i="1" s="1"/>
  <c r="AD22" i="1"/>
  <c r="L76" i="1"/>
  <c r="M76" i="1" s="1"/>
  <c r="S22" i="1"/>
  <c r="L46" i="1"/>
  <c r="M46" i="1" s="1"/>
  <c r="AC15" i="1"/>
  <c r="AD15" i="1" s="1"/>
  <c r="AC14" i="1"/>
  <c r="AD14" i="1" s="1"/>
  <c r="AD13" i="1"/>
  <c r="AD21" i="1" s="1"/>
  <c r="T15" i="1"/>
  <c r="U15" i="1" s="1"/>
  <c r="T14" i="1"/>
  <c r="U14" i="1" s="1"/>
  <c r="U13" i="1"/>
  <c r="S21" i="1" s="1"/>
  <c r="U57" i="1"/>
  <c r="T57" i="1"/>
  <c r="R57" i="1"/>
  <c r="F93" i="1"/>
  <c r="L8" i="1"/>
  <c r="M8" i="1" s="1"/>
  <c r="L9" i="1"/>
  <c r="M9" i="1" s="1"/>
  <c r="M7" i="1"/>
  <c r="M30" i="1" s="1"/>
  <c r="S23" i="1"/>
  <c r="D63" i="1"/>
  <c r="E63" i="1" s="1"/>
  <c r="U96" i="1"/>
  <c r="T96" i="1" s="1"/>
  <c r="V91" i="1"/>
  <c r="U91" i="1" s="1"/>
  <c r="C29" i="1"/>
  <c r="M71" i="1"/>
  <c r="M94" i="1" s="1"/>
  <c r="E77" i="1"/>
  <c r="D79" i="1"/>
  <c r="D78" i="1"/>
  <c r="E78" i="1" s="1"/>
  <c r="U56" i="1"/>
  <c r="T56" i="1"/>
  <c r="R56" i="1"/>
  <c r="K86" i="1"/>
  <c r="L43" i="1"/>
  <c r="M43" i="1" s="1"/>
  <c r="F82" i="1"/>
  <c r="D19" i="1"/>
  <c r="E19" i="1" s="1"/>
  <c r="E17" i="1"/>
  <c r="D18" i="1"/>
  <c r="E18" i="1" s="1"/>
  <c r="D92" i="1" l="1"/>
  <c r="E92" i="1" s="1"/>
  <c r="B59" i="1"/>
  <c r="D60" i="1"/>
  <c r="E60" i="1" s="1"/>
  <c r="F60" i="1" s="1"/>
  <c r="M62" i="1"/>
  <c r="L62" i="1" s="1"/>
  <c r="U16" i="1"/>
  <c r="U28" i="1" s="1"/>
  <c r="T28" i="1" s="1"/>
  <c r="B28" i="1"/>
  <c r="C24" i="1"/>
  <c r="D24" i="1" s="1"/>
  <c r="E24" i="1" s="1"/>
  <c r="M92" i="1"/>
  <c r="O92" i="1" s="1"/>
  <c r="P92" i="1" s="1"/>
  <c r="M29" i="1"/>
  <c r="L29" i="1" s="1"/>
  <c r="M91" i="1"/>
  <c r="O91" i="1" s="1"/>
  <c r="P91" i="1" s="1"/>
  <c r="V72" i="1"/>
  <c r="S80" i="1" s="1"/>
  <c r="R80" i="1" s="1"/>
  <c r="E20" i="1"/>
  <c r="B20" i="1" s="1"/>
  <c r="A20" i="1" s="1"/>
  <c r="M28" i="1"/>
  <c r="L28" i="1" s="1"/>
  <c r="M61" i="1"/>
  <c r="L61" i="1" s="1"/>
  <c r="AE55" i="1"/>
  <c r="AC55" i="1"/>
  <c r="AF55" i="1"/>
  <c r="AG55" i="1" s="1"/>
  <c r="T22" i="1"/>
  <c r="U22" i="1" s="1"/>
  <c r="R22" i="1"/>
  <c r="F59" i="1"/>
  <c r="D61" i="1"/>
  <c r="E61" i="1" s="1"/>
  <c r="B61" i="1"/>
  <c r="F92" i="1"/>
  <c r="E79" i="1"/>
  <c r="C90" i="1" s="1"/>
  <c r="D81" i="1"/>
  <c r="E81" i="1" s="1"/>
  <c r="D80" i="1"/>
  <c r="E80" i="1" s="1"/>
  <c r="AC22" i="1"/>
  <c r="AE22" i="1"/>
  <c r="AF22" i="1" s="1"/>
  <c r="AG22" i="1" s="1"/>
  <c r="M27" i="1"/>
  <c r="L19" i="1"/>
  <c r="M19" i="1" s="1"/>
  <c r="M17" i="1"/>
  <c r="L18" i="1"/>
  <c r="M18" i="1" s="1"/>
  <c r="M26" i="1"/>
  <c r="D25" i="1"/>
  <c r="E25" i="1" s="1"/>
  <c r="B25" i="1"/>
  <c r="C91" i="1"/>
  <c r="AD16" i="1"/>
  <c r="L80" i="1"/>
  <c r="M80" i="1" s="1"/>
  <c r="L81" i="1"/>
  <c r="M81" i="1" s="1"/>
  <c r="M79" i="1"/>
  <c r="M90" i="1" s="1"/>
  <c r="C58" i="1"/>
  <c r="E52" i="1"/>
  <c r="L50" i="1"/>
  <c r="M50" i="1" s="1"/>
  <c r="M49" i="1"/>
  <c r="L51" i="1"/>
  <c r="M51" i="1" s="1"/>
  <c r="W56" i="1"/>
  <c r="V56" i="1"/>
  <c r="X56" i="1" s="1"/>
  <c r="AC21" i="1"/>
  <c r="AE21" i="1"/>
  <c r="AF21" i="1" s="1"/>
  <c r="AG21" i="1" s="1"/>
  <c r="O30" i="1"/>
  <c r="P30" i="1" s="1"/>
  <c r="L30" i="1"/>
  <c r="N30" i="1"/>
  <c r="D27" i="1"/>
  <c r="E27" i="1" s="1"/>
  <c r="B27" i="1"/>
  <c r="O62" i="1"/>
  <c r="P62" i="1" s="1"/>
  <c r="S55" i="1"/>
  <c r="U49" i="1"/>
  <c r="L94" i="1"/>
  <c r="O94" i="1"/>
  <c r="N94" i="1"/>
  <c r="T23" i="1"/>
  <c r="U23" i="1" s="1"/>
  <c r="R23" i="1"/>
  <c r="W57" i="1"/>
  <c r="V57" i="1"/>
  <c r="X57" i="1" s="1"/>
  <c r="R21" i="1"/>
  <c r="T21" i="1"/>
  <c r="U21" i="1" s="1"/>
  <c r="AD49" i="1"/>
  <c r="W77" i="1"/>
  <c r="X77" i="1" s="1"/>
  <c r="U77" i="1"/>
  <c r="L45" i="1"/>
  <c r="M45" i="1" s="1"/>
  <c r="L63" i="1"/>
  <c r="O63" i="1"/>
  <c r="P63" i="1" s="1"/>
  <c r="N63" i="1"/>
  <c r="G63" i="1" s="1"/>
  <c r="F30" i="1"/>
  <c r="F63" i="1"/>
  <c r="D29" i="1"/>
  <c r="E29" i="1" s="1"/>
  <c r="B29" i="1"/>
  <c r="M93" i="1"/>
  <c r="L44" i="1"/>
  <c r="M44" i="1" s="1"/>
  <c r="D26" i="1"/>
  <c r="E26" i="1" s="1"/>
  <c r="B26" i="1"/>
  <c r="F28" i="1"/>
  <c r="F62" i="1"/>
  <c r="S20" i="1" l="1"/>
  <c r="R20" i="1" s="1"/>
  <c r="N62" i="1"/>
  <c r="G62" i="1" s="1"/>
  <c r="L92" i="1"/>
  <c r="N28" i="1"/>
  <c r="N92" i="1"/>
  <c r="B24" i="1"/>
  <c r="O61" i="1"/>
  <c r="P61" i="1" s="1"/>
  <c r="L91" i="1"/>
  <c r="M60" i="1"/>
  <c r="L60" i="1" s="1"/>
  <c r="H63" i="1"/>
  <c r="N29" i="1"/>
  <c r="M20" i="1"/>
  <c r="J20" i="1" s="1"/>
  <c r="I20" i="1" s="1"/>
  <c r="V76" i="1"/>
  <c r="W76" i="1" s="1"/>
  <c r="X76" i="1" s="1"/>
  <c r="O29" i="1"/>
  <c r="P29" i="1" s="1"/>
  <c r="H30" i="1"/>
  <c r="N91" i="1"/>
  <c r="M25" i="1"/>
  <c r="O25" i="1" s="1"/>
  <c r="P25" i="1" s="1"/>
  <c r="H92" i="1"/>
  <c r="E82" i="1"/>
  <c r="B84" i="1" s="1"/>
  <c r="A84" i="1" s="1"/>
  <c r="G30" i="1"/>
  <c r="O28" i="1"/>
  <c r="N61" i="1"/>
  <c r="G61" i="1" s="1"/>
  <c r="AD61" i="1"/>
  <c r="AC61" i="1" s="1"/>
  <c r="AD54" i="1"/>
  <c r="B58" i="1"/>
  <c r="D58" i="1"/>
  <c r="E58" i="1" s="1"/>
  <c r="F25" i="1"/>
  <c r="W21" i="1"/>
  <c r="V21" i="1"/>
  <c r="X21" i="1" s="1"/>
  <c r="P94" i="1"/>
  <c r="H94" i="1" s="1"/>
  <c r="G94" i="1"/>
  <c r="O90" i="1"/>
  <c r="P90" i="1" s="1"/>
  <c r="L90" i="1"/>
  <c r="N90" i="1"/>
  <c r="W22" i="1"/>
  <c r="V22" i="1"/>
  <c r="X22" i="1" s="1"/>
  <c r="F26" i="1"/>
  <c r="D31" i="1"/>
  <c r="E31" i="1" s="1"/>
  <c r="M24" i="1"/>
  <c r="U61" i="1"/>
  <c r="T61" i="1" s="1"/>
  <c r="S54" i="1"/>
  <c r="G92" i="1"/>
  <c r="H62" i="1"/>
  <c r="O93" i="1"/>
  <c r="L93" i="1"/>
  <c r="N93" i="1"/>
  <c r="R55" i="1"/>
  <c r="U55" i="1"/>
  <c r="T55" i="1"/>
  <c r="F27" i="1"/>
  <c r="AD28" i="1"/>
  <c r="AC28" i="1" s="1"/>
  <c r="AD20" i="1"/>
  <c r="D90" i="1"/>
  <c r="E90" i="1" s="1"/>
  <c r="B90" i="1"/>
  <c r="M58" i="1"/>
  <c r="F61" i="1"/>
  <c r="T20" i="1"/>
  <c r="U20" i="1" s="1"/>
  <c r="M52" i="1"/>
  <c r="G29" i="1"/>
  <c r="F29" i="1"/>
  <c r="B91" i="1"/>
  <c r="D91" i="1"/>
  <c r="E91" i="1" s="1"/>
  <c r="M59" i="1"/>
  <c r="L26" i="1"/>
  <c r="O26" i="1"/>
  <c r="N26" i="1"/>
  <c r="W23" i="1"/>
  <c r="V23" i="1"/>
  <c r="X23" i="1" s="1"/>
  <c r="B52" i="1"/>
  <c r="A52" i="1" s="1"/>
  <c r="C57" i="1"/>
  <c r="O27" i="1"/>
  <c r="P27" i="1" s="1"/>
  <c r="L27" i="1"/>
  <c r="N27" i="1"/>
  <c r="M82" i="1"/>
  <c r="F24" i="1"/>
  <c r="H29" i="1" l="1"/>
  <c r="H61" i="1"/>
  <c r="O60" i="1"/>
  <c r="P60" i="1" s="1"/>
  <c r="H60" i="1" s="1"/>
  <c r="L25" i="1"/>
  <c r="N60" i="1"/>
  <c r="G60" i="1" s="1"/>
  <c r="U76" i="1"/>
  <c r="N25" i="1"/>
  <c r="C89" i="1"/>
  <c r="B89" i="1" s="1"/>
  <c r="P28" i="1"/>
  <c r="H28" i="1" s="1"/>
  <c r="G28" i="1"/>
  <c r="H25" i="1"/>
  <c r="L58" i="1"/>
  <c r="O58" i="1"/>
  <c r="P58" i="1" s="1"/>
  <c r="N58" i="1"/>
  <c r="G58" i="1" s="1"/>
  <c r="W55" i="1"/>
  <c r="V55" i="1"/>
  <c r="X55" i="1" s="1"/>
  <c r="G31" i="1"/>
  <c r="F31" i="1"/>
  <c r="H31" i="1" s="1"/>
  <c r="AF54" i="1"/>
  <c r="AG54" i="1" s="1"/>
  <c r="AE54" i="1"/>
  <c r="AC54" i="1"/>
  <c r="J84" i="1"/>
  <c r="I84" i="1" s="1"/>
  <c r="M89" i="1"/>
  <c r="P26" i="1"/>
  <c r="H26" i="1" s="1"/>
  <c r="N31" i="1"/>
  <c r="J52" i="1"/>
  <c r="I52" i="1" s="1"/>
  <c r="M57" i="1"/>
  <c r="G90" i="1"/>
  <c r="F90" i="1"/>
  <c r="H90" i="1" s="1"/>
  <c r="G26" i="1"/>
  <c r="U54" i="1"/>
  <c r="T54" i="1"/>
  <c r="R54" i="1"/>
  <c r="V20" i="1"/>
  <c r="AE20" i="1"/>
  <c r="AF20" i="1" s="1"/>
  <c r="AG20" i="1" s="1"/>
  <c r="AC20" i="1"/>
  <c r="O24" i="1"/>
  <c r="L24" i="1"/>
  <c r="N24" i="1"/>
  <c r="P93" i="1"/>
  <c r="H93" i="1" s="1"/>
  <c r="G93" i="1"/>
  <c r="B57" i="1"/>
  <c r="D57" i="1"/>
  <c r="E57" i="1" s="1"/>
  <c r="O59" i="1"/>
  <c r="P59" i="1" s="1"/>
  <c r="H59" i="1" s="1"/>
  <c r="L59" i="1"/>
  <c r="N59" i="1"/>
  <c r="G59" i="1" s="1"/>
  <c r="H27" i="1"/>
  <c r="G25" i="1"/>
  <c r="G91" i="1"/>
  <c r="F91" i="1"/>
  <c r="H91" i="1" s="1"/>
  <c r="G27" i="1"/>
  <c r="F58" i="1"/>
  <c r="H58" i="1" l="1"/>
  <c r="D89" i="1"/>
  <c r="E89" i="1" s="1"/>
  <c r="F89" i="1" s="1"/>
  <c r="X20" i="1"/>
  <c r="W20" i="1"/>
  <c r="P24" i="1"/>
  <c r="H24" i="1" s="1"/>
  <c r="G24" i="1"/>
  <c r="L89" i="1"/>
  <c r="O89" i="1"/>
  <c r="P89" i="1" s="1"/>
  <c r="N89" i="1"/>
  <c r="F57" i="1"/>
  <c r="W54" i="1"/>
  <c r="V54" i="1"/>
  <c r="X54" i="1" s="1"/>
  <c r="L57" i="1"/>
  <c r="O57" i="1"/>
  <c r="P57" i="1" s="1"/>
  <c r="N57" i="1"/>
  <c r="G57" i="1" s="1"/>
  <c r="H57" i="1" l="1"/>
  <c r="H89" i="1"/>
  <c r="G89" i="1"/>
</calcChain>
</file>

<file path=xl/sharedStrings.xml><?xml version="1.0" encoding="utf-8"?>
<sst xmlns="http://schemas.openxmlformats.org/spreadsheetml/2006/main" count="455" uniqueCount="65">
  <si>
    <t>SDTDC Coeff.</t>
  </si>
  <si>
    <r>
      <t>'</t>
    </r>
    <r>
      <rPr>
        <b/>
        <i/>
        <u/>
        <sz val="10.5"/>
        <color theme="1"/>
        <rFont val="Calibri"/>
        <family val="2"/>
        <scheme val="minor"/>
      </rPr>
      <t>H</t>
    </r>
    <r>
      <rPr>
        <b/>
        <i/>
        <sz val="10.5"/>
        <color rgb="FFC00000"/>
        <rFont val="Calibri"/>
        <family val="2"/>
        <scheme val="minor"/>
      </rPr>
      <t>offmann's</t>
    </r>
    <r>
      <rPr>
        <b/>
        <i/>
        <sz val="10.5"/>
        <color theme="1"/>
        <rFont val="Calibri"/>
        <family val="2"/>
        <scheme val="minor"/>
      </rPr>
      <t xml:space="preserve"> </t>
    </r>
    <r>
      <rPr>
        <b/>
        <i/>
        <u/>
        <sz val="10.5"/>
        <color theme="1"/>
        <rFont val="Calibri"/>
        <family val="2"/>
        <scheme val="minor"/>
      </rPr>
      <t>E</t>
    </r>
    <r>
      <rPr>
        <b/>
        <i/>
        <sz val="10.5"/>
        <color rgb="FFC00000"/>
        <rFont val="Calibri"/>
        <family val="2"/>
        <scheme val="minor"/>
      </rPr>
      <t>xtraordinary</t>
    </r>
    <r>
      <rPr>
        <b/>
        <i/>
        <sz val="10.5"/>
        <color theme="1"/>
        <rFont val="Calibri"/>
        <family val="2"/>
        <scheme val="minor"/>
      </rPr>
      <t xml:space="preserve"> </t>
    </r>
    <r>
      <rPr>
        <b/>
        <i/>
        <u/>
        <sz val="10.5"/>
        <color theme="1"/>
        <rFont val="Calibri"/>
        <family val="2"/>
        <scheme val="minor"/>
      </rPr>
      <t>N</t>
    </r>
    <r>
      <rPr>
        <b/>
        <i/>
        <sz val="10.5"/>
        <color rgb="FFC00000"/>
        <rFont val="Calibri"/>
        <family val="2"/>
        <scheme val="minor"/>
      </rPr>
      <t>ew</t>
    </r>
    <r>
      <rPr>
        <b/>
        <i/>
        <sz val="10.5"/>
        <color theme="1"/>
        <rFont val="Calibri"/>
        <family val="2"/>
        <scheme val="minor"/>
      </rPr>
      <t>-</t>
    </r>
    <r>
      <rPr>
        <b/>
        <i/>
        <u/>
        <sz val="10.5"/>
        <color theme="1"/>
        <rFont val="Calibri"/>
        <family val="2"/>
        <scheme val="minor"/>
      </rPr>
      <t>WAY</t>
    </r>
    <r>
      <rPr>
        <b/>
        <i/>
        <sz val="10.5"/>
        <color theme="1"/>
        <rFont val="Calibri"/>
        <family val="2"/>
        <scheme val="minor"/>
      </rPr>
      <t>'</t>
    </r>
  </si>
  <si>
    <r>
      <t>'</t>
    </r>
    <r>
      <rPr>
        <b/>
        <i/>
        <u/>
        <sz val="11"/>
        <color theme="1"/>
        <rFont val="Calibri"/>
        <family val="2"/>
        <scheme val="minor"/>
      </rPr>
      <t>Standard</t>
    </r>
    <r>
      <rPr>
        <b/>
        <i/>
        <sz val="11"/>
        <color theme="1"/>
        <rFont val="Calibri"/>
        <family val="2"/>
        <scheme val="minor"/>
      </rPr>
      <t>'</t>
    </r>
    <r>
      <rPr>
        <b/>
        <sz val="11"/>
        <color theme="1"/>
        <rFont val="Calibri"/>
        <family val="2"/>
        <scheme val="minor"/>
      </rPr>
      <t xml:space="preserve"> Deployment Method</t>
    </r>
  </si>
  <si>
    <t>1.5"</t>
  </si>
  <si>
    <r>
      <t xml:space="preserve">ENTER CHANGES ON THIS CHART </t>
    </r>
    <r>
      <rPr>
        <b/>
        <u/>
        <sz val="11"/>
        <color rgb="FFFF0000"/>
        <rFont val="Calibri"/>
        <family val="2"/>
        <scheme val="minor"/>
      </rPr>
      <t>ONLY</t>
    </r>
  </si>
  <si>
    <t>1"</t>
  </si>
  <si>
    <t>GPM</t>
  </si>
  <si>
    <t>FL</t>
  </si>
  <si>
    <t>Lat (FL)</t>
  </si>
  <si>
    <t>1600'</t>
  </si>
  <si>
    <t>Attack</t>
  </si>
  <si>
    <t>1400'</t>
  </si>
  <si>
    <t>1000'</t>
  </si>
  <si>
    <t>GPM:</t>
  </si>
  <si>
    <t>1200'</t>
  </si>
  <si>
    <t>800'</t>
  </si>
  <si>
    <t>HEAD</t>
  </si>
  <si>
    <t>ft.:</t>
  </si>
  <si>
    <t>600'</t>
  </si>
  <si>
    <t>PSI:</t>
  </si>
  <si>
    <t>400'</t>
  </si>
  <si>
    <t>Lateral</t>
  </si>
  <si>
    <t>Lat. GPM</t>
  </si>
  <si>
    <t>200'</t>
  </si>
  <si>
    <t>(NP) T/C</t>
  </si>
  <si>
    <t>Eng-1</t>
  </si>
  <si>
    <t>Total:</t>
  </si>
  <si>
    <t>Eng-2</t>
  </si>
  <si>
    <t>REAL - TIME</t>
  </si>
  <si>
    <t>REAL-TIME</t>
  </si>
  <si>
    <t xml:space="preserve"> to</t>
  </si>
  <si>
    <t>@400 PSI</t>
  </si>
  <si>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Dist.</t>
    </r>
  </si>
  <si>
    <t>Tip</t>
  </si>
  <si>
    <t>Comb</t>
  </si>
  <si>
    <t>Laterals</t>
  </si>
  <si>
    <t>PSI</t>
  </si>
  <si>
    <t>400 PSI</t>
  </si>
  <si>
    <t>Ft. Elev.</t>
  </si>
  <si>
    <t>% Grd.</t>
  </si>
  <si>
    <t xml:space="preserve"> Elev.</t>
  </si>
  <si>
    <t>Grd</t>
  </si>
  <si>
    <t>@ 1,000'</t>
  </si>
  <si>
    <t>300'@41%</t>
  </si>
  <si>
    <r>
      <rPr>
        <b/>
        <sz val="11"/>
        <color theme="1"/>
        <rFont val="Calibri"/>
        <family val="2"/>
        <scheme val="minor"/>
      </rPr>
      <t xml:space="preserve">  </t>
    </r>
    <r>
      <rPr>
        <b/>
        <u/>
        <sz val="11"/>
        <color theme="1"/>
        <rFont val="Calibri"/>
        <family val="2"/>
        <scheme val="minor"/>
      </rPr>
      <t>Dist.</t>
    </r>
  </si>
  <si>
    <t>% Grade</t>
  </si>
  <si>
    <t>Grd.</t>
  </si>
  <si>
    <t>@ 1,600'</t>
  </si>
  <si>
    <t>700'@15%</t>
  </si>
  <si>
    <t>Ft:</t>
  </si>
  <si>
    <t>@ 700'</t>
  </si>
  <si>
    <t>100'@73%</t>
  </si>
  <si>
    <t>@ 1,400'</t>
  </si>
  <si>
    <t>600'@19%</t>
  </si>
  <si>
    <t>0'</t>
  </si>
  <si>
    <t>Eng-1/2</t>
  </si>
  <si>
    <t>100 ft</t>
  </si>
  <si>
    <t>200 ft</t>
  </si>
  <si>
    <r>
      <t>'</t>
    </r>
    <r>
      <rPr>
        <b/>
        <i/>
        <u/>
        <sz val="17"/>
        <color theme="1"/>
        <rFont val="Calibri"/>
        <family val="2"/>
        <scheme val="minor"/>
      </rPr>
      <t>Standard</t>
    </r>
    <r>
      <rPr>
        <b/>
        <i/>
        <sz val="17"/>
        <color theme="1"/>
        <rFont val="Calibri"/>
        <family val="2"/>
        <scheme val="minor"/>
      </rPr>
      <t>' vs. '</t>
    </r>
    <r>
      <rPr>
        <b/>
        <i/>
        <u/>
        <sz val="17"/>
        <color theme="1"/>
        <rFont val="Calibri"/>
        <family val="2"/>
        <scheme val="minor"/>
      </rPr>
      <t>H</t>
    </r>
    <r>
      <rPr>
        <b/>
        <i/>
        <sz val="17"/>
        <color rgb="FFC00000"/>
        <rFont val="Calibri"/>
        <family val="2"/>
        <scheme val="minor"/>
      </rPr>
      <t>offmann's</t>
    </r>
    <r>
      <rPr>
        <b/>
        <i/>
        <sz val="17"/>
        <color theme="1"/>
        <rFont val="Calibri"/>
        <family val="2"/>
        <scheme val="minor"/>
      </rPr>
      <t xml:space="preserve"> </t>
    </r>
    <r>
      <rPr>
        <b/>
        <i/>
        <u/>
        <sz val="17"/>
        <color theme="1"/>
        <rFont val="Calibri"/>
        <family val="2"/>
        <scheme val="minor"/>
      </rPr>
      <t>E</t>
    </r>
    <r>
      <rPr>
        <b/>
        <i/>
        <sz val="17"/>
        <color rgb="FFC00000"/>
        <rFont val="Calibri"/>
        <family val="2"/>
        <scheme val="minor"/>
      </rPr>
      <t>xtraordinary</t>
    </r>
    <r>
      <rPr>
        <b/>
        <i/>
        <sz val="17"/>
        <color theme="1"/>
        <rFont val="Calibri"/>
        <family val="2"/>
        <scheme val="minor"/>
      </rPr>
      <t xml:space="preserve"> </t>
    </r>
    <r>
      <rPr>
        <b/>
        <i/>
        <u/>
        <sz val="17"/>
        <color theme="1"/>
        <rFont val="Calibri"/>
        <family val="2"/>
        <scheme val="minor"/>
      </rPr>
      <t>N</t>
    </r>
    <r>
      <rPr>
        <b/>
        <i/>
        <sz val="17"/>
        <color rgb="FFC00000"/>
        <rFont val="Calibri"/>
        <family val="2"/>
        <scheme val="minor"/>
      </rPr>
      <t>ew</t>
    </r>
    <r>
      <rPr>
        <b/>
        <i/>
        <sz val="17"/>
        <color theme="1"/>
        <rFont val="Calibri"/>
        <family val="2"/>
        <scheme val="minor"/>
      </rPr>
      <t>-</t>
    </r>
    <r>
      <rPr>
        <b/>
        <i/>
        <u/>
        <sz val="17"/>
        <color theme="1"/>
        <rFont val="Calibri"/>
        <family val="2"/>
        <scheme val="minor"/>
      </rPr>
      <t>WAY</t>
    </r>
    <r>
      <rPr>
        <b/>
        <i/>
        <sz val="17"/>
        <color theme="1"/>
        <rFont val="Calibri"/>
        <family val="2"/>
        <scheme val="minor"/>
      </rPr>
      <t>' methodology</t>
    </r>
  </si>
  <si>
    <t>@ 1,200'</t>
  </si>
  <si>
    <t>400' @33%</t>
  </si>
  <si>
    <t>300 ft.</t>
  </si>
  <si>
    <t>400 ft.</t>
  </si>
  <si>
    <t>HFT Fire and Rescue Technologies and Equipment, LLC  Copyright © 2016-2020 - ALL RIGHTS RESERVED</t>
  </si>
  <si>
    <t>Expires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</si>
</sst>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4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i/>
      <u/>
      <sz val="10.5"/>
      <color theme="1"/>
      <name val="Calibri"/>
      <family val="2"/>
      <scheme val="minor"/>
    </font>
    <font>
      <b/>
      <i/>
      <sz val="10.5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7"/>
      <color theme="1"/>
      <name val="Calibri"/>
      <family val="2"/>
      <scheme val="minor"/>
    </font>
    <font>
      <b/>
      <i/>
      <u/>
      <sz val="17"/>
      <color theme="1"/>
      <name val="Calibri"/>
      <family val="2"/>
      <scheme val="minor"/>
    </font>
    <font>
      <b/>
      <i/>
      <sz val="17"/>
      <color rgb="FFC0000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1"/>
      <color rgb="FF96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i/>
      <u/>
      <sz val="12"/>
      <color rgb="FF96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FBF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96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thick">
        <color rgb="FFFF0000"/>
      </bottom>
      <diagonal/>
    </border>
    <border>
      <left/>
      <right style="slantDashDot">
        <color rgb="FFC00000"/>
      </right>
      <top style="medium">
        <color rgb="FFC00000"/>
      </top>
      <bottom style="thick">
        <color rgb="FFFF0000"/>
      </bottom>
      <diagonal/>
    </border>
    <border>
      <left/>
      <right/>
      <top style="medium">
        <color rgb="FFC00000"/>
      </top>
      <bottom/>
      <diagonal/>
    </border>
    <border>
      <left style="slantDashDot">
        <color indexed="64"/>
      </left>
      <right/>
      <top style="medium">
        <color rgb="FFC00000"/>
      </top>
      <bottom style="slantDashDot">
        <color indexed="64"/>
      </bottom>
      <diagonal/>
    </border>
    <border>
      <left/>
      <right/>
      <top style="medium">
        <color rgb="FFC00000"/>
      </top>
      <bottom style="slantDashDot">
        <color indexed="64"/>
      </bottom>
      <diagonal/>
    </border>
    <border>
      <left/>
      <right style="medium">
        <color rgb="FFC00000"/>
      </right>
      <top style="medium">
        <color rgb="FFC00000"/>
      </top>
      <bottom style="slantDashDot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 style="slantDashDot">
        <color rgb="FFC00000"/>
      </bottom>
      <diagonal/>
    </border>
    <border>
      <left/>
      <right style="medium">
        <color rgb="FFC00000"/>
      </right>
      <top style="medium">
        <color rgb="FFC00000"/>
      </top>
      <bottom style="slantDashDot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medium">
        <color rgb="FFC00000"/>
      </right>
      <top style="slantDashDot">
        <color indexed="64"/>
      </top>
      <bottom/>
      <diagonal/>
    </border>
    <border>
      <left style="medium">
        <color rgb="FFC00000"/>
      </left>
      <right style="slantDashDot">
        <color rgb="FFC00000"/>
      </right>
      <top style="slantDashDot">
        <color rgb="FFC00000"/>
      </top>
      <bottom style="thin">
        <color indexed="64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/>
      <right/>
      <top/>
      <bottom style="slantDashDot">
        <color rgb="FF0070C0"/>
      </bottom>
      <diagonal/>
    </border>
    <border>
      <left style="medium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thick">
        <color rgb="FFFF0000"/>
      </right>
      <top style="thin">
        <color indexed="64"/>
      </top>
      <bottom style="slantDashDot">
        <color rgb="FFC0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rgb="FFC00000"/>
      </right>
      <top style="slantDashDot">
        <color indexed="64"/>
      </top>
      <bottom/>
      <diagonal/>
    </border>
    <border>
      <left style="medium">
        <color rgb="FFC00000"/>
      </left>
      <right style="slantDashDot">
        <color rgb="FFC00000"/>
      </right>
      <top style="thin">
        <color indexed="64"/>
      </top>
      <bottom style="slantDashDot">
        <color rgb="FFC00000"/>
      </bottom>
      <diagonal/>
    </border>
    <border>
      <left/>
      <right style="medium">
        <color rgb="FFC00000"/>
      </right>
      <top style="thin">
        <color indexed="64"/>
      </top>
      <bottom style="slantDashDot">
        <color rgb="FFC00000"/>
      </bottom>
      <diagonal/>
    </border>
    <border>
      <left style="slantDashDot">
        <color rgb="FF0070C0"/>
      </left>
      <right/>
      <top style="slantDashDot">
        <color rgb="FF0070C0"/>
      </top>
      <bottom/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medium">
        <color rgb="FFC00000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rgb="FFC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slantDashDot">
        <color indexed="64"/>
      </left>
      <right style="medium">
        <color rgb="FFC00000"/>
      </right>
      <top/>
      <bottom/>
      <diagonal/>
    </border>
    <border>
      <left style="slantDashDot">
        <color rgb="FFC00000"/>
      </left>
      <right/>
      <top style="slantDashDot">
        <color rgb="FFC00000"/>
      </top>
      <bottom style="thin">
        <color indexed="64"/>
      </bottom>
      <diagonal/>
    </border>
    <border>
      <left style="slantDashDot">
        <color rgb="FF0070C0"/>
      </left>
      <right/>
      <top/>
      <bottom style="slantDashDot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 style="slantDashDot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slantDashDot">
        <color rgb="FFC00000"/>
      </bottom>
      <diagonal/>
    </border>
    <border>
      <left/>
      <right/>
      <top/>
      <bottom style="slantDashDot">
        <color rgb="FFC00000"/>
      </bottom>
      <diagonal/>
    </border>
    <border>
      <left style="medium">
        <color indexed="64"/>
      </left>
      <right style="slantDashDot">
        <color rgb="FFC00000"/>
      </right>
      <top/>
      <bottom/>
      <diagonal/>
    </border>
    <border>
      <left style="slantDashDot">
        <color rgb="FFC00000"/>
      </left>
      <right/>
      <top style="thin">
        <color indexed="64"/>
      </top>
      <bottom style="slantDashDot">
        <color rgb="FFC00000"/>
      </bottom>
      <diagonal/>
    </border>
    <border>
      <left style="slantDashDot">
        <color rgb="FFC00000"/>
      </left>
      <right/>
      <top style="slantDashDot">
        <color rgb="FF0070C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indexed="64"/>
      </left>
      <right style="medium">
        <color indexed="64"/>
      </right>
      <top style="medium">
        <color rgb="FFC00000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slantDashDot">
        <color rgb="FFC00000"/>
      </top>
      <bottom/>
      <diagonal/>
    </border>
    <border>
      <left style="slantDashDot">
        <color indexed="64"/>
      </left>
      <right style="medium">
        <color rgb="FFC00000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C00000"/>
      </right>
      <top style="slantDashDot">
        <color rgb="FFC00000"/>
      </top>
      <bottom/>
      <diagonal/>
    </border>
    <border>
      <left style="slantDashDot">
        <color rgb="FFC00000"/>
      </left>
      <right/>
      <top/>
      <bottom/>
      <diagonal/>
    </border>
    <border>
      <left style="slantDashDot">
        <color rgb="FFC00000"/>
      </left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slantDashDot">
        <color rgb="FF0070C0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/>
      <diagonal/>
    </border>
    <border>
      <left/>
      <right style="medium">
        <color rgb="FFC00000"/>
      </right>
      <top/>
      <bottom style="slantDashDot">
        <color rgb="FF0070C0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C00000"/>
      </right>
      <top/>
      <bottom style="slantDashDot">
        <color indexed="64"/>
      </bottom>
      <diagonal/>
    </border>
    <border>
      <left style="slantDashDot">
        <color rgb="FFC00000"/>
      </left>
      <right style="medium">
        <color rgb="FFC00000"/>
      </right>
      <top style="slantDashDot">
        <color indexed="64"/>
      </top>
      <bottom/>
      <diagonal/>
    </border>
    <border>
      <left style="slantDashDot">
        <color rgb="FFC00000"/>
      </left>
      <right/>
      <top style="thin">
        <color indexed="64"/>
      </top>
      <bottom style="thin">
        <color indexed="64"/>
      </bottom>
      <diagonal/>
    </border>
    <border>
      <left style="slantDashDot">
        <color rgb="FFC00000"/>
      </left>
      <right/>
      <top style="slantDashDot">
        <color indexed="64"/>
      </top>
      <bottom/>
      <diagonal/>
    </border>
    <border>
      <left style="slantDashDot">
        <color rgb="FFC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indexed="64"/>
      </left>
      <right style="slantDashDot">
        <color indexed="64"/>
      </right>
      <top/>
      <bottom style="slantDashDot">
        <color indexed="64"/>
      </bottom>
      <diagonal/>
    </border>
    <border>
      <left/>
      <right style="medium">
        <color rgb="FFC00000"/>
      </right>
      <top style="slantDashDot">
        <color rgb="FF0070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slantDashDot">
        <color rgb="FFC00000"/>
      </right>
      <top/>
      <bottom/>
      <diagonal/>
    </border>
    <border>
      <left style="slantDashDot">
        <color rgb="FFC00000"/>
      </left>
      <right style="medium">
        <color rgb="FFC00000"/>
      </right>
      <top/>
      <bottom style="slantDashDot">
        <color indexed="64"/>
      </bottom>
      <diagonal/>
    </border>
    <border>
      <left style="slantDashDot">
        <color rgb="FFC00000"/>
      </left>
      <right/>
      <top/>
      <bottom style="slantDashDot">
        <color indexed="64"/>
      </bottom>
      <diagonal/>
    </border>
    <border>
      <left style="medium">
        <color indexed="64"/>
      </left>
      <right style="medium">
        <color rgb="FFC00000"/>
      </right>
      <top style="slantDashDot">
        <color indexed="64"/>
      </top>
      <bottom/>
      <diagonal/>
    </border>
    <border>
      <left style="medium">
        <color rgb="FFC00000"/>
      </left>
      <right style="medium">
        <color rgb="FFC00000"/>
      </right>
      <top/>
      <bottom style="slantDashDot">
        <color indexed="64"/>
      </bottom>
      <diagonal/>
    </border>
    <border>
      <left/>
      <right style="slantDashDot">
        <color rgb="FFC00000"/>
      </right>
      <top/>
      <bottom style="slantDashDot">
        <color rgb="FFC00000"/>
      </bottom>
      <diagonal/>
    </border>
    <border>
      <left style="slantDashDot">
        <color rgb="FFC00000"/>
      </left>
      <right style="medium">
        <color indexed="64"/>
      </right>
      <top style="thin">
        <color indexed="64"/>
      </top>
      <bottom style="slantDashDot">
        <color rgb="FFC00000"/>
      </bottom>
      <diagonal/>
    </border>
    <border>
      <left style="medium">
        <color indexed="64"/>
      </left>
      <right style="medium">
        <color rgb="FFC00000"/>
      </right>
      <top/>
      <bottom style="slantDashDot">
        <color rgb="FFC00000"/>
      </bottom>
      <diagonal/>
    </border>
    <border>
      <left style="medium">
        <color rgb="FFC00000"/>
      </left>
      <right style="medium">
        <color rgb="FFC00000"/>
      </right>
      <top style="slantDashDot">
        <color indexed="64"/>
      </top>
      <bottom/>
      <diagonal/>
    </border>
    <border>
      <left style="medium">
        <color indexed="64"/>
      </left>
      <right/>
      <top/>
      <bottom style="slantDashDot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/>
      <right style="slantDashDot">
        <color rgb="FFC00000"/>
      </right>
      <top style="slantDashDot">
        <color rgb="FFC00000"/>
      </top>
      <bottom/>
      <diagonal/>
    </border>
    <border>
      <left style="slantDashDot">
        <color rgb="FFC00000"/>
      </left>
      <right style="medium">
        <color rgb="FFC00000"/>
      </right>
      <top/>
      <bottom/>
      <diagonal/>
    </border>
    <border>
      <left style="slantDashDot">
        <color rgb="FFC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C00000"/>
      </right>
      <top style="slantDashDot">
        <color rgb="FFC00000"/>
      </top>
      <bottom/>
      <diagonal/>
    </border>
    <border>
      <left style="medium">
        <color indexed="64"/>
      </left>
      <right style="medium">
        <color rgb="FFC00000"/>
      </right>
      <top/>
      <bottom style="slantDashDot">
        <color indexed="64"/>
      </bottom>
      <diagonal/>
    </border>
    <border>
      <left style="medium">
        <color indexed="64"/>
      </left>
      <right style="slantDashDot">
        <color rgb="FFC00000"/>
      </right>
      <top style="slantDashDot">
        <color indexed="64"/>
      </top>
      <bottom/>
      <diagonal/>
    </border>
    <border>
      <left style="medium">
        <color indexed="64"/>
      </left>
      <right style="medium">
        <color rgb="FFC00000"/>
      </right>
      <top/>
      <bottom/>
      <diagonal/>
    </border>
    <border>
      <left style="medium">
        <color indexed="64"/>
      </left>
      <right style="slantDashDot">
        <color rgb="FFC00000"/>
      </right>
      <top/>
      <bottom style="slantDashDot">
        <color rgb="FFC00000"/>
      </bottom>
      <diagonal/>
    </border>
    <border>
      <left style="slantDashDot">
        <color rgb="FFC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slantDashDot">
        <color rgb="FFC00000"/>
      </top>
      <bottom style="thin">
        <color indexed="64"/>
      </bottom>
      <diagonal/>
    </border>
    <border>
      <left style="medium">
        <color indexed="64"/>
      </left>
      <right style="slantDashDot">
        <color rgb="FFC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thick">
        <color indexed="64"/>
      </right>
      <top/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medium">
        <color indexed="64"/>
      </top>
      <bottom style="medium">
        <color rgb="FFC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C00000"/>
      </bottom>
      <diagonal/>
    </border>
    <border>
      <left/>
      <right/>
      <top style="medium">
        <color indexed="64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rgb="FFC00000"/>
      </left>
      <right/>
      <top style="thin">
        <color indexed="64"/>
      </top>
      <bottom/>
      <diagonal/>
    </border>
    <border>
      <left style="medium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rgb="FFC0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medium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rgb="FFC00000"/>
      </right>
      <top style="slantDashDot">
        <color indexed="64"/>
      </top>
      <bottom style="slantDashDot">
        <color rgb="FFC00000"/>
      </bottom>
      <diagonal/>
    </border>
    <border>
      <left style="medium">
        <color rgb="FFC00000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ck">
        <color indexed="64"/>
      </left>
      <right style="slantDashDot">
        <color rgb="FFC00000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C00000"/>
      </right>
      <top style="slantDashDot">
        <color rgb="FFC00000"/>
      </top>
      <bottom style="medium">
        <color indexed="64"/>
      </bottom>
      <diagonal/>
    </border>
    <border>
      <left style="medium">
        <color rgb="FFC00000"/>
      </left>
      <right style="slantDashDot">
        <color rgb="FFC00000"/>
      </right>
      <top style="medium">
        <color indexed="64"/>
      </top>
      <bottom style="thin">
        <color indexed="64"/>
      </bottom>
      <diagonal/>
    </border>
    <border>
      <left/>
      <right style="slantDashDot">
        <color rgb="FFC00000"/>
      </right>
      <top style="slantDashDot">
        <color rgb="FFC0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slantDashDot">
        <color rgb="FFC00000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slantDashDot">
        <color indexed="64"/>
      </left>
      <right style="thick">
        <color rgb="FFFF0000"/>
      </right>
      <top style="medium">
        <color indexed="64"/>
      </top>
      <bottom style="slantDashDot">
        <color indexed="64"/>
      </bottom>
      <diagonal/>
    </border>
    <border>
      <left/>
      <right style="thick">
        <color rgb="FFFF0000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/>
      <right style="medium">
        <color rgb="FFC00000"/>
      </right>
      <top/>
      <bottom style="slantDashDot">
        <color indexed="64"/>
      </bottom>
      <diagonal/>
    </border>
    <border>
      <left style="medium">
        <color rgb="FFC00000"/>
      </left>
      <right style="slantDashDot">
        <color rgb="FFC00000"/>
      </right>
      <top style="thin">
        <color indexed="64"/>
      </top>
      <bottom style="medium">
        <color rgb="FFC00000"/>
      </bottom>
      <diagonal/>
    </border>
    <border>
      <left/>
      <right style="thick">
        <color indexed="64"/>
      </right>
      <top style="thin">
        <color indexed="64"/>
      </top>
      <bottom style="medium">
        <color rgb="FFC00000"/>
      </bottom>
      <diagonal/>
    </border>
    <border>
      <left/>
      <right style="thick">
        <color indexed="64"/>
      </right>
      <top style="thick">
        <color indexed="64"/>
      </top>
      <bottom style="medium">
        <color rgb="FFC00000"/>
      </bottom>
      <diagonal/>
    </border>
    <border>
      <left style="thick">
        <color indexed="64"/>
      </left>
      <right style="thick">
        <color indexed="64"/>
      </right>
      <top/>
      <bottom style="medium">
        <color rgb="FFC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/>
      <right style="slantDashDot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/>
      <top style="slantDashDot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rgb="FFC0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slantDashDot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 style="thick">
        <color rgb="FFFF0000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thick">
        <color rgb="FFFF0000"/>
      </left>
      <right style="slantDashDot">
        <color rgb="FFC00000"/>
      </right>
      <top style="thin">
        <color indexed="64"/>
      </top>
      <bottom style="thick">
        <color rgb="FFFF0000"/>
      </bottom>
      <diagonal/>
    </border>
    <border>
      <left style="slantDashDot">
        <color rgb="FFC00000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/>
      <top style="thin">
        <color rgb="FFC00000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slantDashDot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ck">
        <color rgb="FFFF0000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 style="thin">
        <color rgb="FFC00000"/>
      </top>
      <bottom style="thick">
        <color indexed="64"/>
      </bottom>
      <diagonal/>
    </border>
    <border>
      <left style="medium">
        <color rgb="FFC00000"/>
      </left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/>
      <top/>
      <bottom style="medium">
        <color rgb="FFC00000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rgb="FF0070C0"/>
      </left>
      <right style="medium">
        <color rgb="FFC00000"/>
      </right>
      <top style="slantDashDot">
        <color rgb="FF0070C0"/>
      </top>
      <bottom/>
      <diagonal/>
    </border>
    <border>
      <left style="medium">
        <color indexed="64"/>
      </left>
      <right style="slantDashDot">
        <color rgb="FFC00000"/>
      </right>
      <top style="medium">
        <color indexed="64"/>
      </top>
      <bottom/>
      <diagonal/>
    </border>
    <border>
      <left style="slantDashDot">
        <color rgb="FF0070C0"/>
      </left>
      <right style="medium">
        <color rgb="FFC00000"/>
      </right>
      <top/>
      <bottom style="slantDashDot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slantDashDot">
        <color rgb="FF0070C0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slantDashDot">
        <color indexed="64"/>
      </top>
      <bottom style="slantDashDot">
        <color rgb="FFC0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rgb="FFC00000"/>
      </right>
      <top style="slantDashDot">
        <color rgb="FFC00000"/>
      </top>
      <bottom style="medium">
        <color indexed="64"/>
      </bottom>
      <diagonal/>
    </border>
    <border>
      <left/>
      <right style="slantDashDot">
        <color rgb="FFC00000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rgb="FFC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 style="slantDashDot">
        <color rgb="FFC00000"/>
      </right>
      <top/>
      <bottom style="medium">
        <color indexed="64"/>
      </bottom>
      <diagonal/>
    </border>
    <border>
      <left style="medium">
        <color rgb="FFC00000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medium">
        <color rgb="FFC00000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thick">
        <color rgb="FFFF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ck">
        <color rgb="FFC00000"/>
      </left>
      <right/>
      <top/>
      <bottom style="thick">
        <color rgb="FFFF0000"/>
      </bottom>
      <diagonal/>
    </border>
    <border>
      <left/>
      <right style="thick">
        <color rgb="FFC00000"/>
      </right>
      <top/>
      <bottom/>
      <diagonal/>
    </border>
    <border>
      <left style="thick">
        <color rgb="FFFF0000"/>
      </left>
      <right style="medium">
        <color rgb="FFC00000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ck">
        <color rgb="FFFF0000"/>
      </right>
      <top/>
      <bottom style="medium">
        <color rgb="FFC00000"/>
      </bottom>
      <diagonal/>
    </border>
    <border>
      <left style="thick">
        <color rgb="FFFF0000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/>
      <right style="slantDashDot">
        <color rgb="FFC00000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C00000"/>
      </bottom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  <border>
      <left style="medium">
        <color indexed="64"/>
      </left>
      <right style="thick">
        <color indexed="64"/>
      </right>
      <top style="thick">
        <color rgb="FFFF0000"/>
      </top>
      <bottom style="medium">
        <color rgb="FFC00000"/>
      </bottom>
      <diagonal/>
    </border>
    <border>
      <left style="medium">
        <color rgb="FFC00000"/>
      </left>
      <right style="thick">
        <color rgb="FFFF0000"/>
      </right>
      <top style="medium">
        <color rgb="FFC00000"/>
      </top>
      <bottom style="medium">
        <color rgb="FFC00000"/>
      </bottom>
      <diagonal/>
    </border>
    <border>
      <left style="thick">
        <color rgb="FFFF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 style="thick">
        <color rgb="FFFF0000"/>
      </right>
      <top/>
      <bottom style="medium">
        <color rgb="FFC00000"/>
      </bottom>
      <diagonal/>
    </border>
    <border>
      <left style="thick">
        <color rgb="FFFF0000"/>
      </left>
      <right style="medium">
        <color rgb="FFC00000"/>
      </right>
      <top style="thin">
        <color indexed="64"/>
      </top>
      <bottom/>
      <diagonal/>
    </border>
    <border>
      <left style="thick">
        <color rgb="FFC00000"/>
      </left>
      <right style="slantDashDot">
        <color rgb="FFC00000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rgb="FFC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rgb="FFC00000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 style="slantDashDot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slantDashDot">
        <color rgb="FFC00000"/>
      </top>
      <bottom style="thin">
        <color indexed="64"/>
      </bottom>
      <diagonal/>
    </border>
    <border>
      <left/>
      <right style="slantDashDot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 style="slantDashDot">
        <color rgb="FFC00000"/>
      </right>
      <top style="thin">
        <color indexed="64"/>
      </top>
      <bottom style="thick">
        <color rgb="FFC00000"/>
      </bottom>
      <diagonal/>
    </border>
    <border>
      <left/>
      <right style="medium">
        <color indexed="64"/>
      </right>
      <top style="thin">
        <color indexed="64"/>
      </top>
      <bottom style="thick">
        <color rgb="FFC00000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rgb="FFC00000"/>
      </bottom>
      <diagonal/>
    </border>
    <border>
      <left/>
      <right style="thick">
        <color indexed="64"/>
      </right>
      <top style="thin">
        <color rgb="FFC00000"/>
      </top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 style="medium">
        <color indexed="64"/>
      </top>
      <bottom style="thick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ck">
        <color rgb="FFC00000"/>
      </bottom>
      <diagonal/>
    </border>
    <border>
      <left style="thin">
        <color rgb="FFC00000"/>
      </left>
      <right/>
      <top style="thin">
        <color rgb="FFC00000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slantDashDot">
        <color rgb="FFC00000"/>
      </right>
      <top style="medium">
        <color rgb="FFC00000"/>
      </top>
      <bottom/>
      <diagonal/>
    </border>
    <border>
      <left style="medium">
        <color indexed="64"/>
      </left>
      <right/>
      <top style="medium">
        <color rgb="FFC00000"/>
      </top>
      <bottom style="medium">
        <color indexed="64"/>
      </bottom>
      <diagonal/>
    </border>
    <border>
      <left style="medium">
        <color rgb="FFFF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 style="medium">
        <color rgb="FFC00000"/>
      </right>
      <top/>
      <bottom style="slantDashDot">
        <color rgb="FF0070C0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slantDashDot">
        <color rgb="FFC0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rgb="FFFF0000"/>
      </right>
      <top/>
      <bottom style="slantDashDot">
        <color indexed="64"/>
      </bottom>
      <diagonal/>
    </border>
    <border>
      <left style="medium">
        <color rgb="FFFF0000"/>
      </left>
      <right style="medium">
        <color rgb="FFC00000"/>
      </right>
      <top style="slantDashDot">
        <color rgb="FF0070C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FF0000"/>
      </left>
      <right style="medium">
        <color rgb="FFC00000"/>
      </right>
      <top/>
      <bottom style="slantDashDot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indexed="64"/>
      </bottom>
      <diagonal/>
    </border>
    <border>
      <left style="medium">
        <color rgb="FFFF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 style="medium">
        <color rgb="FFC00000"/>
      </bottom>
      <diagonal/>
    </border>
    <border>
      <left style="medium">
        <color indexed="64"/>
      </left>
      <right style="medium">
        <color rgb="FFFF0000"/>
      </right>
      <top style="slantDashDot">
        <color indexed="64"/>
      </top>
      <bottom style="slantDashDot">
        <color rgb="FFC00000"/>
      </bottom>
      <diagonal/>
    </border>
    <border>
      <left style="slantDashDot">
        <color rgb="FF0070C0"/>
      </left>
      <right style="medium">
        <color rgb="FFC00000"/>
      </right>
      <top style="medium">
        <color indexed="64"/>
      </top>
      <bottom/>
      <diagonal/>
    </border>
    <border>
      <left style="slantDashDot">
        <color rgb="FFC00000"/>
      </left>
      <right style="medium">
        <color rgb="FFC00000"/>
      </right>
      <top style="slantDashDot">
        <color rgb="FF0070C0"/>
      </top>
      <bottom/>
      <diagonal/>
    </border>
    <border>
      <left style="medium">
        <color indexed="64"/>
      </left>
      <right style="medium">
        <color rgb="FFFF0000"/>
      </right>
      <top style="slantDashDot">
        <color rgb="FFC00000"/>
      </top>
      <bottom style="medium">
        <color indexed="64"/>
      </bottom>
      <diagonal/>
    </border>
    <border>
      <left style="medium">
        <color rgb="FFFF0000"/>
      </left>
      <right style="medium">
        <color rgb="FFC00000"/>
      </right>
      <top style="slantDashDot">
        <color indexed="64"/>
      </top>
      <bottom/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C00000"/>
      </right>
      <top style="slantDashDot">
        <color rgb="FFC00000"/>
      </top>
      <bottom style="thin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rgb="FFC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slantDashDot">
        <color rgb="FFC00000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00000"/>
      </bottom>
      <diagonal/>
    </border>
    <border>
      <left/>
      <right style="medium">
        <color rgb="FFC00000"/>
      </right>
      <top style="medium">
        <color indexed="64"/>
      </top>
      <bottom style="medium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thin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C00000"/>
      </bottom>
      <diagonal/>
    </border>
    <border>
      <left/>
      <right style="thick">
        <color indexed="64"/>
      </right>
      <top/>
      <bottom style="medium">
        <color rgb="FFC00000"/>
      </bottom>
      <diagonal/>
    </border>
    <border>
      <left style="medium">
        <color indexed="64"/>
      </left>
      <right style="medium">
        <color rgb="FFC00000"/>
      </right>
      <top/>
      <bottom style="medium">
        <color rgb="FFC00000"/>
      </bottom>
      <diagonal/>
    </border>
    <border>
      <left style="slantDashDot">
        <color indexed="64"/>
      </left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rgb="FFC00000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rgb="FFC00000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C00000"/>
      </left>
      <right style="slantDashDot">
        <color rgb="FFC00000"/>
      </right>
      <top style="thin">
        <color indexed="64"/>
      </top>
      <bottom style="thick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/>
      <top style="thick">
        <color indexed="64"/>
      </top>
      <bottom style="thick">
        <color rgb="FFFF0000"/>
      </bottom>
      <diagonal/>
    </border>
    <border>
      <left/>
      <right style="thick">
        <color rgb="FFC00000"/>
      </right>
      <top style="thick">
        <color indexed="64"/>
      </top>
      <bottom/>
      <diagonal/>
    </border>
    <border>
      <left style="slantDashDot">
        <color indexed="64"/>
      </left>
      <right style="medium">
        <color rgb="FFC00000"/>
      </right>
      <top style="slantDashDot">
        <color indexed="64"/>
      </top>
      <bottom style="slantDashDot">
        <color rgb="FFC00000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ck">
        <color rgb="FFFF0000"/>
      </bottom>
      <diagonal/>
    </border>
    <border>
      <left style="slantDashDot">
        <color indexed="64"/>
      </left>
      <right style="medium">
        <color rgb="FFC00000"/>
      </right>
      <top style="slantDashDot">
        <color rgb="FFC00000"/>
      </top>
      <bottom style="medium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rgb="FFC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C00000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thick">
        <color rgb="FFFF0000"/>
      </left>
      <right style="slantDashDot">
        <color rgb="FFC00000"/>
      </right>
      <top style="thin">
        <color indexed="64"/>
      </top>
      <bottom style="medium">
        <color rgb="FFC00000"/>
      </bottom>
      <diagonal/>
    </border>
    <border>
      <left style="slantDashDot">
        <color rgb="FFC00000"/>
      </left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/>
      <top style="thin">
        <color indexed="64"/>
      </top>
      <bottom style="medium">
        <color rgb="FFC00000"/>
      </bottom>
      <diagonal/>
    </border>
    <border>
      <left style="thick">
        <color indexed="64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slantDashDot">
        <color rgb="FFC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C00000"/>
      </right>
      <top style="thin">
        <color indexed="64"/>
      </top>
      <bottom style="medium">
        <color rgb="FFC00000"/>
      </bottom>
      <diagonal/>
    </border>
    <border>
      <left style="thick">
        <color indexed="64"/>
      </left>
      <right/>
      <top/>
      <bottom style="medium">
        <color rgb="FFC00000"/>
      </bottom>
      <diagonal/>
    </border>
  </borders>
  <cellStyleXfs count="1">
    <xf numFmtId="0" fontId="0" fillId="0" borderId="0"/>
  </cellStyleXfs>
  <cellXfs count="847">
    <xf numFmtId="0" fontId="0" fillId="0" borderId="0" xfId="0"/>
    <xf numFmtId="0" fontId="2" fillId="0" borderId="7" xfId="0" applyFont="1" applyBorder="1"/>
    <xf numFmtId="0" fontId="2" fillId="0" borderId="10" xfId="0" applyFont="1" applyBorder="1"/>
    <xf numFmtId="0" fontId="9" fillId="0" borderId="3" xfId="0" quotePrefix="1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2" fillId="0" borderId="17" xfId="0" applyFont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6" fillId="5" borderId="26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2" fillId="6" borderId="37" xfId="0" applyNumberFormat="1" applyFont="1" applyFill="1" applyBorder="1" applyAlignment="1">
      <alignment horizontal="center"/>
    </xf>
    <xf numFmtId="164" fontId="10" fillId="2" borderId="38" xfId="0" applyNumberFormat="1" applyFont="1" applyFill="1" applyBorder="1" applyAlignment="1">
      <alignment horizontal="center"/>
    </xf>
    <xf numFmtId="164" fontId="2" fillId="7" borderId="4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64" fontId="2" fillId="6" borderId="45" xfId="0" applyNumberFormat="1" applyFont="1" applyFill="1" applyBorder="1" applyAlignment="1">
      <alignment horizontal="center"/>
    </xf>
    <xf numFmtId="164" fontId="10" fillId="2" borderId="46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164" fontId="2" fillId="7" borderId="49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8" fillId="2" borderId="52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6" fillId="4" borderId="53" xfId="0" applyFont="1" applyFill="1" applyBorder="1" applyAlignment="1" applyProtection="1">
      <alignment horizontal="center"/>
      <protection locked="0"/>
    </xf>
    <xf numFmtId="164" fontId="2" fillId="7" borderId="3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6" fillId="5" borderId="57" xfId="0" applyFont="1" applyFill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0" fontId="16" fillId="4" borderId="57" xfId="0" applyFont="1" applyFill="1" applyBorder="1" applyAlignment="1">
      <alignment horizontal="center"/>
    </xf>
    <xf numFmtId="0" fontId="12" fillId="0" borderId="48" xfId="0" applyFont="1" applyBorder="1" applyAlignment="1">
      <alignment vertical="center"/>
    </xf>
    <xf numFmtId="164" fontId="2" fillId="8" borderId="60" xfId="0" applyNumberFormat="1" applyFont="1" applyFill="1" applyBorder="1" applyAlignment="1">
      <alignment horizontal="center"/>
    </xf>
    <xf numFmtId="164" fontId="2" fillId="7" borderId="64" xfId="0" applyNumberFormat="1" applyFont="1" applyFill="1" applyBorder="1" applyAlignment="1">
      <alignment horizontal="center"/>
    </xf>
    <xf numFmtId="164" fontId="10" fillId="2" borderId="65" xfId="0" applyNumberFormat="1" applyFont="1" applyFill="1" applyBorder="1" applyAlignment="1">
      <alignment horizontal="center"/>
    </xf>
    <xf numFmtId="164" fontId="2" fillId="0" borderId="68" xfId="0" applyNumberFormat="1" applyFont="1" applyBorder="1" applyAlignment="1">
      <alignment horizontal="center"/>
    </xf>
    <xf numFmtId="164" fontId="2" fillId="8" borderId="70" xfId="0" applyNumberFormat="1" applyFont="1" applyFill="1" applyBorder="1" applyAlignment="1">
      <alignment horizontal="center"/>
    </xf>
    <xf numFmtId="0" fontId="8" fillId="2" borderId="74" xfId="0" applyFont="1" applyFill="1" applyBorder="1" applyAlignment="1">
      <alignment horizontal="center"/>
    </xf>
    <xf numFmtId="164" fontId="2" fillId="8" borderId="68" xfId="0" applyNumberFormat="1" applyFont="1" applyFill="1" applyBorder="1" applyAlignment="1">
      <alignment horizontal="center"/>
    </xf>
    <xf numFmtId="164" fontId="2" fillId="0" borderId="70" xfId="0" applyNumberFormat="1" applyFont="1" applyBorder="1" applyAlignment="1">
      <alignment horizontal="center"/>
    </xf>
    <xf numFmtId="0" fontId="16" fillId="10" borderId="53" xfId="0" applyFont="1" applyFill="1" applyBorder="1" applyAlignment="1" applyProtection="1">
      <alignment horizontal="center"/>
      <protection locked="0"/>
    </xf>
    <xf numFmtId="164" fontId="2" fillId="7" borderId="45" xfId="0" applyNumberFormat="1" applyFont="1" applyFill="1" applyBorder="1" applyAlignment="1">
      <alignment horizontal="center"/>
    </xf>
    <xf numFmtId="0" fontId="16" fillId="10" borderId="26" xfId="0" applyFont="1" applyFill="1" applyBorder="1" applyAlignment="1">
      <alignment horizontal="center"/>
    </xf>
    <xf numFmtId="164" fontId="2" fillId="8" borderId="49" xfId="0" applyNumberFormat="1" applyFont="1" applyFill="1" applyBorder="1" applyAlignment="1">
      <alignment horizontal="center"/>
    </xf>
    <xf numFmtId="164" fontId="2" fillId="8" borderId="81" xfId="0" applyNumberFormat="1" applyFont="1" applyFill="1" applyBorder="1" applyAlignment="1">
      <alignment horizontal="center"/>
    </xf>
    <xf numFmtId="164" fontId="2" fillId="0" borderId="81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1" fontId="16" fillId="11" borderId="85" xfId="0" applyNumberFormat="1" applyFont="1" applyFill="1" applyBorder="1" applyAlignment="1">
      <alignment horizontal="center"/>
    </xf>
    <xf numFmtId="164" fontId="2" fillId="8" borderId="86" xfId="0" applyNumberFormat="1" applyFont="1" applyFill="1" applyBorder="1" applyAlignment="1">
      <alignment horizontal="center"/>
    </xf>
    <xf numFmtId="1" fontId="16" fillId="11" borderId="26" xfId="0" applyNumberFormat="1" applyFont="1" applyFill="1" applyBorder="1" applyAlignment="1">
      <alignment horizontal="center"/>
    </xf>
    <xf numFmtId="164" fontId="2" fillId="0" borderId="89" xfId="0" applyNumberFormat="1" applyFont="1" applyBorder="1" applyAlignment="1">
      <alignment horizontal="center"/>
    </xf>
    <xf numFmtId="164" fontId="2" fillId="9" borderId="60" xfId="0" applyNumberFormat="1" applyFont="1" applyFill="1" applyBorder="1" applyAlignment="1">
      <alignment horizontal="center"/>
    </xf>
    <xf numFmtId="164" fontId="2" fillId="8" borderId="64" xfId="0" applyNumberFormat="1" applyFont="1" applyFill="1" applyBorder="1" applyAlignment="1">
      <alignment horizontal="center"/>
    </xf>
    <xf numFmtId="164" fontId="2" fillId="9" borderId="70" xfId="0" applyNumberFormat="1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16" fillId="12" borderId="53" xfId="0" applyFont="1" applyFill="1" applyBorder="1" applyAlignment="1" applyProtection="1">
      <alignment horizontal="center"/>
      <protection locked="0"/>
    </xf>
    <xf numFmtId="164" fontId="2" fillId="8" borderId="45" xfId="0" applyNumberFormat="1" applyFont="1" applyFill="1" applyBorder="1" applyAlignment="1">
      <alignment horizontal="center"/>
    </xf>
    <xf numFmtId="0" fontId="16" fillId="12" borderId="26" xfId="0" applyFont="1" applyFill="1" applyBorder="1" applyAlignment="1">
      <alignment horizontal="center"/>
    </xf>
    <xf numFmtId="164" fontId="2" fillId="0" borderId="95" xfId="0" applyNumberFormat="1" applyFont="1" applyBorder="1" applyAlignment="1">
      <alignment horizontal="center"/>
    </xf>
    <xf numFmtId="164" fontId="10" fillId="2" borderId="96" xfId="0" applyNumberFormat="1" applyFont="1" applyFill="1" applyBorder="1" applyAlignment="1">
      <alignment horizontal="center"/>
    </xf>
    <xf numFmtId="164" fontId="2" fillId="9" borderId="86" xfId="0" applyNumberFormat="1" applyFont="1" applyFill="1" applyBorder="1" applyAlignment="1">
      <alignment horizontal="center"/>
    </xf>
    <xf numFmtId="164" fontId="18" fillId="2" borderId="70" xfId="0" applyNumberFormat="1" applyFont="1" applyFill="1" applyBorder="1" applyAlignment="1">
      <alignment horizontal="center"/>
    </xf>
    <xf numFmtId="164" fontId="11" fillId="2" borderId="65" xfId="0" applyNumberFormat="1" applyFont="1" applyFill="1" applyBorder="1" applyAlignment="1">
      <alignment horizontal="center"/>
    </xf>
    <xf numFmtId="0" fontId="16" fillId="0" borderId="43" xfId="0" applyFont="1" applyBorder="1" applyAlignment="1">
      <alignment horizontal="center" shrinkToFit="1"/>
    </xf>
    <xf numFmtId="164" fontId="2" fillId="9" borderId="64" xfId="0" applyNumberFormat="1" applyFont="1" applyFill="1" applyBorder="1" applyAlignment="1">
      <alignment horizontal="center"/>
    </xf>
    <xf numFmtId="0" fontId="16" fillId="0" borderId="74" xfId="0" applyFont="1" applyBorder="1" applyAlignment="1">
      <alignment horizontal="center" shrinkToFit="1"/>
    </xf>
    <xf numFmtId="0" fontId="2" fillId="0" borderId="97" xfId="0" applyFont="1" applyBorder="1"/>
    <xf numFmtId="0" fontId="16" fillId="0" borderId="98" xfId="0" applyFont="1" applyBorder="1" applyAlignment="1">
      <alignment horizontal="center" shrinkToFit="1"/>
    </xf>
    <xf numFmtId="164" fontId="18" fillId="2" borderId="60" xfId="0" applyNumberFormat="1" applyFont="1" applyFill="1" applyBorder="1" applyAlignment="1">
      <alignment horizontal="center"/>
    </xf>
    <xf numFmtId="164" fontId="11" fillId="2" borderId="99" xfId="0" applyNumberFormat="1" applyFont="1" applyFill="1" applyBorder="1" applyAlignment="1">
      <alignment horizontal="center"/>
    </xf>
    <xf numFmtId="0" fontId="2" fillId="0" borderId="101" xfId="0" applyFont="1" applyBorder="1"/>
    <xf numFmtId="164" fontId="11" fillId="2" borderId="102" xfId="0" applyNumberFormat="1" applyFont="1" applyFill="1" applyBorder="1" applyAlignment="1">
      <alignment horizontal="center"/>
    </xf>
    <xf numFmtId="0" fontId="16" fillId="13" borderId="53" xfId="0" applyFont="1" applyFill="1" applyBorder="1" applyAlignment="1">
      <alignment horizontal="center"/>
    </xf>
    <xf numFmtId="0" fontId="16" fillId="13" borderId="57" xfId="0" applyFont="1" applyFill="1" applyBorder="1" applyAlignment="1">
      <alignment horizontal="center"/>
    </xf>
    <xf numFmtId="0" fontId="2" fillId="0" borderId="104" xfId="0" applyFont="1" applyBorder="1" applyAlignment="1">
      <alignment horizontal="right"/>
    </xf>
    <xf numFmtId="0" fontId="16" fillId="13" borderId="105" xfId="0" applyFont="1" applyFill="1" applyBorder="1" applyAlignment="1">
      <alignment horizontal="center"/>
    </xf>
    <xf numFmtId="0" fontId="19" fillId="14" borderId="106" xfId="0" applyFont="1" applyFill="1" applyBorder="1" applyAlignment="1">
      <alignment horizontal="center"/>
    </xf>
    <xf numFmtId="0" fontId="20" fillId="0" borderId="107" xfId="0" applyFont="1" applyBorder="1" applyAlignment="1">
      <alignment horizontal="right"/>
    </xf>
    <xf numFmtId="164" fontId="21" fillId="2" borderId="108" xfId="0" applyNumberFormat="1" applyFont="1" applyFill="1" applyBorder="1" applyAlignment="1">
      <alignment horizontal="center"/>
    </xf>
    <xf numFmtId="164" fontId="2" fillId="0" borderId="109" xfId="0" applyNumberFormat="1" applyFont="1" applyBorder="1" applyAlignment="1">
      <alignment horizontal="center"/>
    </xf>
    <xf numFmtId="0" fontId="2" fillId="0" borderId="111" xfId="0" applyFont="1" applyBorder="1" applyAlignment="1">
      <alignment horizontal="right"/>
    </xf>
    <xf numFmtId="0" fontId="16" fillId="13" borderId="112" xfId="0" applyFont="1" applyFill="1" applyBorder="1" applyAlignment="1">
      <alignment horizontal="center"/>
    </xf>
    <xf numFmtId="0" fontId="22" fillId="11" borderId="113" xfId="0" applyFont="1" applyFill="1" applyBorder="1" applyAlignment="1">
      <alignment horizontal="center"/>
    </xf>
    <xf numFmtId="0" fontId="20" fillId="0" borderId="114" xfId="0" applyFont="1" applyBorder="1" applyAlignment="1">
      <alignment horizontal="right"/>
    </xf>
    <xf numFmtId="164" fontId="23" fillId="2" borderId="53" xfId="0" applyNumberFormat="1" applyFont="1" applyFill="1" applyBorder="1" applyAlignment="1">
      <alignment horizontal="center"/>
    </xf>
    <xf numFmtId="164" fontId="2" fillId="0" borderId="115" xfId="0" applyNumberFormat="1" applyFont="1" applyBorder="1" applyAlignment="1">
      <alignment horizontal="center"/>
    </xf>
    <xf numFmtId="0" fontId="2" fillId="0" borderId="116" xfId="0" applyFont="1" applyBorder="1"/>
    <xf numFmtId="0" fontId="2" fillId="0" borderId="117" xfId="0" applyFont="1" applyBorder="1"/>
    <xf numFmtId="164" fontId="2" fillId="9" borderId="118" xfId="0" applyNumberFormat="1" applyFont="1" applyFill="1" applyBorder="1" applyAlignment="1">
      <alignment horizontal="center"/>
    </xf>
    <xf numFmtId="164" fontId="2" fillId="8" borderId="119" xfId="0" applyNumberFormat="1" applyFont="1" applyFill="1" applyBorder="1" applyAlignment="1">
      <alignment horizontal="center"/>
    </xf>
    <xf numFmtId="1" fontId="24" fillId="0" borderId="121" xfId="0" applyNumberFormat="1" applyFont="1" applyBorder="1" applyAlignment="1">
      <alignment horizontal="right"/>
    </xf>
    <xf numFmtId="1" fontId="2" fillId="0" borderId="122" xfId="0" applyNumberFormat="1" applyFont="1" applyBorder="1" applyAlignment="1">
      <alignment horizontal="right"/>
    </xf>
    <xf numFmtId="1" fontId="2" fillId="0" borderId="117" xfId="0" applyNumberFormat="1" applyFont="1" applyBorder="1" applyAlignment="1">
      <alignment horizontal="center"/>
    </xf>
    <xf numFmtId="0" fontId="2" fillId="0" borderId="123" xfId="0" applyFont="1" applyBorder="1"/>
    <xf numFmtId="0" fontId="2" fillId="0" borderId="124" xfId="0" applyFont="1" applyBorder="1"/>
    <xf numFmtId="1" fontId="24" fillId="0" borderId="125" xfId="0" applyNumberFormat="1" applyFont="1" applyBorder="1" applyAlignment="1">
      <alignment horizontal="right"/>
    </xf>
    <xf numFmtId="1" fontId="2" fillId="0" borderId="126" xfId="0" applyNumberFormat="1" applyFont="1" applyBorder="1" applyAlignment="1">
      <alignment horizontal="right"/>
    </xf>
    <xf numFmtId="1" fontId="2" fillId="0" borderId="39" xfId="0" applyNumberFormat="1" applyFont="1" applyBorder="1" applyAlignment="1">
      <alignment horizontal="center"/>
    </xf>
    <xf numFmtId="164" fontId="18" fillId="2" borderId="64" xfId="0" applyNumberFormat="1" applyFont="1" applyFill="1" applyBorder="1" applyAlignment="1">
      <alignment horizontal="center"/>
    </xf>
    <xf numFmtId="164" fontId="18" fillId="2" borderId="68" xfId="0" applyNumberFormat="1" applyFont="1" applyFill="1" applyBorder="1" applyAlignment="1">
      <alignment horizontal="center"/>
    </xf>
    <xf numFmtId="0" fontId="17" fillId="15" borderId="132" xfId="0" applyFont="1" applyFill="1" applyBorder="1" applyAlignment="1">
      <alignment horizontal="center" vertical="center"/>
    </xf>
    <xf numFmtId="0" fontId="17" fillId="5" borderId="133" xfId="0" applyFont="1" applyFill="1" applyBorder="1" applyAlignment="1">
      <alignment horizontal="center" vertical="center"/>
    </xf>
    <xf numFmtId="0" fontId="2" fillId="12" borderId="134" xfId="0" applyFont="1" applyFill="1" applyBorder="1" applyAlignment="1">
      <alignment horizontal="center"/>
    </xf>
    <xf numFmtId="0" fontId="25" fillId="5" borderId="135" xfId="0" applyFont="1" applyFill="1" applyBorder="1" applyAlignment="1" applyProtection="1">
      <alignment horizontal="center"/>
      <protection locked="0"/>
    </xf>
    <xf numFmtId="0" fontId="10" fillId="2" borderId="136" xfId="0" quotePrefix="1" applyFont="1" applyFill="1" applyBorder="1" applyAlignment="1">
      <alignment shrinkToFit="1"/>
    </xf>
    <xf numFmtId="0" fontId="16" fillId="0" borderId="74" xfId="0" applyFont="1" applyBorder="1" applyAlignment="1">
      <alignment horizontal="left"/>
    </xf>
    <xf numFmtId="0" fontId="17" fillId="5" borderId="138" xfId="0" applyFont="1" applyFill="1" applyBorder="1" applyAlignment="1">
      <alignment horizontal="center" vertical="center"/>
    </xf>
    <xf numFmtId="0" fontId="2" fillId="12" borderId="139" xfId="0" applyFont="1" applyFill="1" applyBorder="1" applyAlignment="1">
      <alignment horizontal="center"/>
    </xf>
    <xf numFmtId="0" fontId="10" fillId="0" borderId="140" xfId="0" applyFont="1" applyBorder="1"/>
    <xf numFmtId="0" fontId="10" fillId="2" borderId="141" xfId="0" quotePrefix="1" applyFont="1" applyFill="1" applyBorder="1" applyAlignment="1">
      <alignment horizontal="center" shrinkToFit="1"/>
    </xf>
    <xf numFmtId="0" fontId="2" fillId="13" borderId="142" xfId="0" applyFont="1" applyFill="1" applyBorder="1" applyAlignment="1">
      <alignment horizontal="center"/>
    </xf>
    <xf numFmtId="0" fontId="26" fillId="2" borderId="143" xfId="0" applyFont="1" applyFill="1" applyBorder="1" applyAlignment="1">
      <alignment horizontal="center"/>
    </xf>
    <xf numFmtId="0" fontId="2" fillId="0" borderId="117" xfId="0" applyFont="1" applyBorder="1" applyProtection="1">
      <protection locked="0"/>
    </xf>
    <xf numFmtId="164" fontId="18" fillId="2" borderId="86" xfId="0" applyNumberFormat="1" applyFont="1" applyFill="1" applyBorder="1" applyAlignment="1">
      <alignment horizontal="center"/>
    </xf>
    <xf numFmtId="0" fontId="2" fillId="13" borderId="145" xfId="0" applyFont="1" applyFill="1" applyBorder="1" applyAlignment="1">
      <alignment horizontal="center"/>
    </xf>
    <xf numFmtId="0" fontId="2" fillId="2" borderId="143" xfId="0" applyFont="1" applyFill="1" applyBorder="1" applyAlignment="1">
      <alignment horizontal="center"/>
    </xf>
    <xf numFmtId="164" fontId="18" fillId="2" borderId="89" xfId="0" applyNumberFormat="1" applyFont="1" applyFill="1" applyBorder="1" applyAlignment="1">
      <alignment horizontal="center"/>
    </xf>
    <xf numFmtId="164" fontId="11" fillId="2" borderId="85" xfId="0" applyNumberFormat="1" applyFont="1" applyFill="1" applyBorder="1" applyAlignment="1">
      <alignment horizontal="center"/>
    </xf>
    <xf numFmtId="0" fontId="8" fillId="0" borderId="147" xfId="0" applyFont="1" applyBorder="1" applyAlignment="1">
      <alignment horizontal="center"/>
    </xf>
    <xf numFmtId="0" fontId="8" fillId="0" borderId="148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2" fillId="12" borderId="150" xfId="0" applyFont="1" applyFill="1" applyBorder="1" applyAlignment="1">
      <alignment horizontal="center"/>
    </xf>
    <xf numFmtId="0" fontId="10" fillId="13" borderId="137" xfId="0" applyFont="1" applyFill="1" applyBorder="1" applyAlignment="1">
      <alignment horizontal="center" shrinkToFit="1"/>
    </xf>
    <xf numFmtId="0" fontId="10" fillId="13" borderId="26" xfId="0" applyFont="1" applyFill="1" applyBorder="1" applyAlignment="1">
      <alignment horizontal="center" shrinkToFit="1"/>
    </xf>
    <xf numFmtId="0" fontId="16" fillId="0" borderId="151" xfId="0" applyFont="1" applyBorder="1" applyAlignment="1">
      <alignment horizontal="left"/>
    </xf>
    <xf numFmtId="0" fontId="16" fillId="0" borderId="152" xfId="0" applyFont="1" applyBorder="1"/>
    <xf numFmtId="0" fontId="2" fillId="0" borderId="85" xfId="0" quotePrefix="1" applyFont="1" applyBorder="1" applyAlignment="1">
      <alignment horizontal="center"/>
    </xf>
    <xf numFmtId="0" fontId="8" fillId="0" borderId="153" xfId="0" applyFont="1" applyBorder="1" applyAlignment="1">
      <alignment horizontal="center"/>
    </xf>
    <xf numFmtId="0" fontId="2" fillId="12" borderId="113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1" fontId="2" fillId="13" borderId="154" xfId="0" applyNumberFormat="1" applyFont="1" applyFill="1" applyBorder="1" applyAlignment="1">
      <alignment horizontal="center"/>
    </xf>
    <xf numFmtId="1" fontId="27" fillId="2" borderId="155" xfId="0" applyNumberFormat="1" applyFont="1" applyFill="1" applyBorder="1" applyAlignment="1">
      <alignment horizontal="center"/>
    </xf>
    <xf numFmtId="0" fontId="19" fillId="14" borderId="156" xfId="0" applyFont="1" applyFill="1" applyBorder="1" applyAlignment="1">
      <alignment horizontal="center"/>
    </xf>
    <xf numFmtId="0" fontId="20" fillId="0" borderId="157" xfId="0" applyFont="1" applyBorder="1" applyAlignment="1">
      <alignment horizontal="right"/>
    </xf>
    <xf numFmtId="164" fontId="28" fillId="2" borderId="158" xfId="0" applyNumberFormat="1" applyFont="1" applyFill="1" applyBorder="1" applyAlignment="1">
      <alignment horizontal="center"/>
    </xf>
    <xf numFmtId="164" fontId="16" fillId="0" borderId="159" xfId="0" applyNumberFormat="1" applyFont="1" applyBorder="1" applyAlignment="1">
      <alignment horizontal="center"/>
    </xf>
    <xf numFmtId="1" fontId="2" fillId="13" borderId="161" xfId="0" applyNumberFormat="1" applyFont="1" applyFill="1" applyBorder="1" applyAlignment="1">
      <alignment horizontal="center"/>
    </xf>
    <xf numFmtId="1" fontId="27" fillId="2" borderId="162" xfId="0" applyNumberFormat="1" applyFont="1" applyFill="1" applyBorder="1" applyAlignment="1">
      <alignment horizontal="center"/>
    </xf>
    <xf numFmtId="0" fontId="22" fillId="11" borderId="163" xfId="0" applyFont="1" applyFill="1" applyBorder="1" applyAlignment="1">
      <alignment horizontal="center"/>
    </xf>
    <xf numFmtId="0" fontId="20" fillId="0" borderId="109" xfId="0" applyFont="1" applyBorder="1" applyAlignment="1">
      <alignment horizontal="right"/>
    </xf>
    <xf numFmtId="164" fontId="29" fillId="14" borderId="164" xfId="0" applyNumberFormat="1" applyFont="1" applyFill="1" applyBorder="1" applyAlignment="1">
      <alignment horizontal="center"/>
    </xf>
    <xf numFmtId="164" fontId="16" fillId="0" borderId="165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3" fontId="16" fillId="0" borderId="167" xfId="0" applyNumberFormat="1" applyFont="1" applyBorder="1" applyAlignment="1">
      <alignment horizontal="center"/>
    </xf>
    <xf numFmtId="1" fontId="16" fillId="0" borderId="168" xfId="0" applyNumberFormat="1" applyFont="1" applyBorder="1" applyAlignment="1">
      <alignment horizontal="center"/>
    </xf>
    <xf numFmtId="1" fontId="26" fillId="0" borderId="169" xfId="0" applyNumberFormat="1" applyFont="1" applyBorder="1" applyAlignment="1">
      <alignment horizontal="center"/>
    </xf>
    <xf numFmtId="1" fontId="10" fillId="0" borderId="170" xfId="0" applyNumberFormat="1" applyFont="1" applyBorder="1"/>
    <xf numFmtId="165" fontId="10" fillId="0" borderId="171" xfId="0" applyNumberFormat="1" applyFont="1" applyBorder="1"/>
    <xf numFmtId="1" fontId="30" fillId="0" borderId="172" xfId="0" applyNumberFormat="1" applyFont="1" applyBorder="1"/>
    <xf numFmtId="165" fontId="30" fillId="0" borderId="173" xfId="0" applyNumberFormat="1" applyFont="1" applyBorder="1"/>
    <xf numFmtId="0" fontId="10" fillId="11" borderId="54" xfId="0" applyFont="1" applyFill="1" applyBorder="1" applyAlignment="1">
      <alignment horizontal="center" shrinkToFit="1"/>
    </xf>
    <xf numFmtId="0" fontId="2" fillId="0" borderId="174" xfId="0" applyFont="1" applyBorder="1" applyAlignment="1">
      <alignment horizontal="center"/>
    </xf>
    <xf numFmtId="3" fontId="8" fillId="2" borderId="167" xfId="0" applyNumberFormat="1" applyFont="1" applyFill="1" applyBorder="1" applyAlignment="1">
      <alignment horizontal="center"/>
    </xf>
    <xf numFmtId="1" fontId="8" fillId="2" borderId="175" xfId="0" applyNumberFormat="1" applyFont="1" applyFill="1" applyBorder="1" applyAlignment="1">
      <alignment horizontal="center"/>
    </xf>
    <xf numFmtId="1" fontId="26" fillId="12" borderId="176" xfId="0" applyNumberFormat="1" applyFont="1" applyFill="1" applyBorder="1" applyAlignment="1">
      <alignment horizontal="center"/>
    </xf>
    <xf numFmtId="1" fontId="30" fillId="2" borderId="177" xfId="0" applyNumberFormat="1" applyFont="1" applyFill="1" applyBorder="1"/>
    <xf numFmtId="165" fontId="30" fillId="2" borderId="171" xfId="0" applyNumberFormat="1" applyFont="1" applyFill="1" applyBorder="1"/>
    <xf numFmtId="0" fontId="2" fillId="0" borderId="121" xfId="0" applyFont="1" applyBorder="1"/>
    <xf numFmtId="0" fontId="2" fillId="0" borderId="122" xfId="0" applyFont="1" applyBorder="1"/>
    <xf numFmtId="0" fontId="2" fillId="0" borderId="179" xfId="0" applyFont="1" applyBorder="1"/>
    <xf numFmtId="0" fontId="3" fillId="0" borderId="22" xfId="0" applyFont="1" applyBorder="1" applyAlignment="1">
      <alignment vertical="center" wrapText="1"/>
    </xf>
    <xf numFmtId="0" fontId="2" fillId="0" borderId="132" xfId="0" applyFont="1" applyBorder="1"/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9" borderId="65" xfId="0" applyFont="1" applyFill="1" applyBorder="1" applyAlignment="1">
      <alignment horizontal="center"/>
    </xf>
    <xf numFmtId="3" fontId="16" fillId="15" borderId="180" xfId="0" applyNumberFormat="1" applyFont="1" applyFill="1" applyBorder="1" applyAlignment="1">
      <alignment horizontal="center"/>
    </xf>
    <xf numFmtId="1" fontId="16" fillId="5" borderId="181" xfId="0" applyNumberFormat="1" applyFont="1" applyFill="1" applyBorder="1" applyAlignment="1">
      <alignment horizontal="center"/>
    </xf>
    <xf numFmtId="1" fontId="26" fillId="12" borderId="150" xfId="0" applyNumberFormat="1" applyFont="1" applyFill="1" applyBorder="1" applyAlignment="1">
      <alignment horizontal="center"/>
    </xf>
    <xf numFmtId="1" fontId="10" fillId="13" borderId="170" xfId="0" applyNumberFormat="1" applyFont="1" applyFill="1" applyBorder="1"/>
    <xf numFmtId="165" fontId="10" fillId="13" borderId="171" xfId="0" applyNumberFormat="1" applyFont="1" applyFill="1" applyBorder="1"/>
    <xf numFmtId="0" fontId="2" fillId="0" borderId="65" xfId="0" applyFont="1" applyBorder="1"/>
    <xf numFmtId="0" fontId="2" fillId="9" borderId="174" xfId="0" applyFont="1" applyFill="1" applyBorder="1" applyAlignment="1">
      <alignment horizontal="center"/>
    </xf>
    <xf numFmtId="3" fontId="8" fillId="2" borderId="180" xfId="0" applyNumberFormat="1" applyFont="1" applyFill="1" applyBorder="1" applyAlignment="1">
      <alignment horizontal="center"/>
    </xf>
    <xf numFmtId="1" fontId="8" fillId="2" borderId="182" xfId="0" applyNumberFormat="1" applyFont="1" applyFill="1" applyBorder="1" applyAlignment="1">
      <alignment horizontal="center"/>
    </xf>
    <xf numFmtId="0" fontId="2" fillId="15" borderId="184" xfId="0" applyFont="1" applyFill="1" applyBorder="1" applyAlignment="1">
      <alignment horizontal="center"/>
    </xf>
    <xf numFmtId="0" fontId="2" fillId="5" borderId="138" xfId="0" applyFont="1" applyFill="1" applyBorder="1" applyAlignment="1">
      <alignment horizontal="center"/>
    </xf>
    <xf numFmtId="0" fontId="2" fillId="12" borderId="185" xfId="0" applyFont="1" applyFill="1" applyBorder="1" applyAlignment="1">
      <alignment horizontal="center"/>
    </xf>
    <xf numFmtId="0" fontId="30" fillId="2" borderId="115" xfId="0" quotePrefix="1" applyFont="1" applyFill="1" applyBorder="1"/>
    <xf numFmtId="0" fontId="2" fillId="0" borderId="186" xfId="0" applyFont="1" applyBorder="1"/>
    <xf numFmtId="0" fontId="2" fillId="0" borderId="187" xfId="0" applyFont="1" applyBorder="1"/>
    <xf numFmtId="0" fontId="2" fillId="15" borderId="137" xfId="0" applyFont="1" applyFill="1" applyBorder="1" applyAlignment="1">
      <alignment horizontal="center"/>
    </xf>
    <xf numFmtId="0" fontId="2" fillId="4" borderId="138" xfId="0" applyFont="1" applyFill="1" applyBorder="1" applyAlignment="1">
      <alignment horizontal="center"/>
    </xf>
    <xf numFmtId="0" fontId="30" fillId="2" borderId="26" xfId="0" quotePrefix="1" applyFont="1" applyFill="1" applyBorder="1" applyAlignment="1">
      <alignment horizontal="center" shrinkToFit="1"/>
    </xf>
    <xf numFmtId="0" fontId="2" fillId="0" borderId="65" xfId="0" applyFont="1" applyBorder="1" applyAlignment="1">
      <alignment horizontal="center"/>
    </xf>
    <xf numFmtId="3" fontId="16" fillId="0" borderId="180" xfId="0" applyNumberFormat="1" applyFont="1" applyBorder="1" applyAlignment="1">
      <alignment horizontal="center"/>
    </xf>
    <xf numFmtId="1" fontId="16" fillId="0" borderId="181" xfId="0" applyNumberFormat="1" applyFont="1" applyBorder="1" applyAlignment="1">
      <alignment horizontal="center"/>
    </xf>
    <xf numFmtId="1" fontId="26" fillId="0" borderId="188" xfId="0" applyNumberFormat="1" applyFont="1" applyBorder="1" applyAlignment="1">
      <alignment horizontal="center"/>
    </xf>
    <xf numFmtId="3" fontId="3" fillId="0" borderId="180" xfId="0" applyNumberFormat="1" applyFont="1" applyBorder="1" applyAlignment="1">
      <alignment horizontal="center"/>
    </xf>
    <xf numFmtId="1" fontId="3" fillId="0" borderId="182" xfId="0" applyNumberFormat="1" applyFont="1" applyBorder="1" applyAlignment="1">
      <alignment horizontal="center"/>
    </xf>
    <xf numFmtId="1" fontId="10" fillId="0" borderId="177" xfId="0" applyNumberFormat="1" applyFont="1" applyBorder="1"/>
    <xf numFmtId="0" fontId="8" fillId="0" borderId="189" xfId="0" applyFont="1" applyBorder="1" applyAlignment="1">
      <alignment horizontal="center"/>
    </xf>
    <xf numFmtId="0" fontId="2" fillId="12" borderId="190" xfId="0" applyFont="1" applyFill="1" applyBorder="1" applyAlignment="1">
      <alignment horizontal="center"/>
    </xf>
    <xf numFmtId="0" fontId="10" fillId="13" borderId="137" xfId="0" applyFont="1" applyFill="1" applyBorder="1" applyAlignment="1">
      <alignment horizontal="center"/>
    </xf>
    <xf numFmtId="0" fontId="10" fillId="13" borderId="27" xfId="0" applyFont="1" applyFill="1" applyBorder="1" applyAlignment="1">
      <alignment horizontal="center"/>
    </xf>
    <xf numFmtId="0" fontId="8" fillId="0" borderId="191" xfId="0" applyFont="1" applyBorder="1" applyAlignment="1">
      <alignment horizontal="left"/>
    </xf>
    <xf numFmtId="0" fontId="8" fillId="0" borderId="192" xfId="0" applyFont="1" applyBorder="1"/>
    <xf numFmtId="0" fontId="2" fillId="0" borderId="85" xfId="0" quotePrefix="1" applyFont="1" applyBorder="1"/>
    <xf numFmtId="0" fontId="10" fillId="13" borderId="26" xfId="0" applyFont="1" applyFill="1" applyBorder="1" applyAlignment="1">
      <alignment horizontal="center"/>
    </xf>
    <xf numFmtId="3" fontId="3" fillId="15" borderId="180" xfId="0" applyNumberFormat="1" applyFont="1" applyFill="1" applyBorder="1" applyAlignment="1">
      <alignment horizontal="center"/>
    </xf>
    <xf numFmtId="1" fontId="3" fillId="5" borderId="182" xfId="0" applyNumberFormat="1" applyFont="1" applyFill="1" applyBorder="1" applyAlignment="1">
      <alignment horizontal="center"/>
    </xf>
    <xf numFmtId="1" fontId="10" fillId="13" borderId="177" xfId="0" applyNumberFormat="1" applyFont="1" applyFill="1" applyBorder="1"/>
    <xf numFmtId="165" fontId="10" fillId="13" borderId="193" xfId="0" applyNumberFormat="1" applyFont="1" applyFill="1" applyBorder="1"/>
    <xf numFmtId="0" fontId="2" fillId="9" borderId="194" xfId="0" applyFont="1" applyFill="1" applyBorder="1" applyAlignment="1">
      <alignment horizontal="center"/>
    </xf>
    <xf numFmtId="1" fontId="3" fillId="8" borderId="21" xfId="0" applyNumberFormat="1" applyFont="1" applyFill="1" applyBorder="1" applyAlignment="1">
      <alignment horizontal="center"/>
    </xf>
    <xf numFmtId="1" fontId="3" fillId="8" borderId="195" xfId="0" applyNumberFormat="1" applyFont="1" applyFill="1" applyBorder="1" applyAlignment="1">
      <alignment horizontal="center"/>
    </xf>
    <xf numFmtId="1" fontId="26" fillId="0" borderId="196" xfId="0" applyNumberFormat="1" applyFont="1" applyBorder="1" applyAlignment="1">
      <alignment horizontal="center"/>
    </xf>
    <xf numFmtId="165" fontId="10" fillId="0" borderId="197" xfId="0" applyNumberFormat="1" applyFont="1" applyBorder="1"/>
    <xf numFmtId="1" fontId="30" fillId="0" borderId="198" xfId="0" applyNumberFormat="1" applyFont="1" applyBorder="1"/>
    <xf numFmtId="165" fontId="30" fillId="0" borderId="199" xfId="0" applyNumberFormat="1" applyFont="1" applyBorder="1"/>
    <xf numFmtId="0" fontId="2" fillId="9" borderId="200" xfId="0" applyFont="1" applyFill="1" applyBorder="1" applyAlignment="1">
      <alignment horizontal="center"/>
    </xf>
    <xf numFmtId="1" fontId="31" fillId="14" borderId="21" xfId="0" applyNumberFormat="1" applyFont="1" applyFill="1" applyBorder="1" applyAlignment="1">
      <alignment horizontal="center"/>
    </xf>
    <xf numFmtId="1" fontId="31" fillId="14" borderId="175" xfId="0" applyNumberFormat="1" applyFont="1" applyFill="1" applyBorder="1" applyAlignment="1">
      <alignment horizontal="center"/>
    </xf>
    <xf numFmtId="1" fontId="32" fillId="14" borderId="201" xfId="0" applyNumberFormat="1" applyFont="1" applyFill="1" applyBorder="1" applyAlignment="1">
      <alignment horizontal="center"/>
    </xf>
    <xf numFmtId="1" fontId="32" fillId="14" borderId="202" xfId="0" applyNumberFormat="1" applyFont="1" applyFill="1" applyBorder="1"/>
    <xf numFmtId="165" fontId="32" fillId="14" borderId="203" xfId="0" applyNumberFormat="1" applyFont="1" applyFill="1" applyBorder="1"/>
    <xf numFmtId="0" fontId="2" fillId="0" borderId="57" xfId="0" applyFont="1" applyBorder="1" applyAlignment="1">
      <alignment horizontal="center"/>
    </xf>
    <xf numFmtId="3" fontId="16" fillId="0" borderId="204" xfId="0" applyNumberFormat="1" applyFont="1" applyBorder="1" applyAlignment="1">
      <alignment horizontal="center"/>
    </xf>
    <xf numFmtId="1" fontId="16" fillId="0" borderId="205" xfId="0" applyNumberFormat="1" applyFont="1" applyBorder="1" applyAlignment="1">
      <alignment horizontal="center"/>
    </xf>
    <xf numFmtId="1" fontId="26" fillId="0" borderId="162" xfId="0" applyNumberFormat="1" applyFont="1" applyBorder="1" applyAlignment="1">
      <alignment horizontal="center"/>
    </xf>
    <xf numFmtId="1" fontId="10" fillId="0" borderId="206" xfId="0" applyNumberFormat="1" applyFont="1" applyBorder="1"/>
    <xf numFmtId="165" fontId="10" fillId="0" borderId="207" xfId="0" applyNumberFormat="1" applyFont="1" applyBorder="1"/>
    <xf numFmtId="1" fontId="30" fillId="0" borderId="151" xfId="0" applyNumberFormat="1" applyFont="1" applyBorder="1"/>
    <xf numFmtId="165" fontId="30" fillId="0" borderId="152" xfId="0" applyNumberFormat="1" applyFont="1" applyBorder="1"/>
    <xf numFmtId="0" fontId="2" fillId="0" borderId="57" xfId="0" applyFont="1" applyBorder="1"/>
    <xf numFmtId="0" fontId="2" fillId="0" borderId="208" xfId="0" applyFont="1" applyBorder="1" applyAlignment="1">
      <alignment horizontal="center"/>
    </xf>
    <xf numFmtId="3" fontId="16" fillId="0" borderId="209" xfId="0" applyNumberFormat="1" applyFont="1" applyBorder="1" applyAlignment="1">
      <alignment horizontal="center"/>
    </xf>
    <xf numFmtId="1" fontId="16" fillId="0" borderId="210" xfId="0" applyNumberFormat="1" applyFont="1" applyBorder="1" applyAlignment="1">
      <alignment horizontal="center"/>
    </xf>
    <xf numFmtId="1" fontId="26" fillId="12" borderId="211" xfId="0" applyNumberFormat="1" applyFont="1" applyFill="1" applyBorder="1" applyAlignment="1">
      <alignment horizontal="center"/>
    </xf>
    <xf numFmtId="1" fontId="10" fillId="0" borderId="212" xfId="0" applyNumberFormat="1" applyFont="1" applyBorder="1"/>
    <xf numFmtId="165" fontId="10" fillId="0" borderId="193" xfId="0" applyNumberFormat="1" applyFont="1" applyBorder="1"/>
    <xf numFmtId="0" fontId="12" fillId="0" borderId="0" xfId="0" applyFont="1" applyAlignment="1">
      <alignment horizontal="center"/>
    </xf>
    <xf numFmtId="0" fontId="2" fillId="0" borderId="213" xfId="0" applyFont="1" applyBorder="1" applyAlignment="1">
      <alignment horizontal="center"/>
    </xf>
    <xf numFmtId="1" fontId="3" fillId="0" borderId="180" xfId="0" applyNumberFormat="1" applyFont="1" applyBorder="1" applyAlignment="1">
      <alignment horizontal="center"/>
    </xf>
    <xf numFmtId="1" fontId="3" fillId="0" borderId="214" xfId="0" applyNumberFormat="1" applyFont="1" applyBorder="1" applyAlignment="1">
      <alignment horizontal="center"/>
    </xf>
    <xf numFmtId="1" fontId="26" fillId="12" borderId="196" xfId="0" applyNumberFormat="1" applyFont="1" applyFill="1" applyBorder="1" applyAlignment="1">
      <alignment horizontal="center"/>
    </xf>
    <xf numFmtId="165" fontId="10" fillId="13" borderId="197" xfId="0" applyNumberFormat="1" applyFont="1" applyFill="1" applyBorder="1"/>
    <xf numFmtId="1" fontId="30" fillId="0" borderId="215" xfId="0" applyNumberFormat="1" applyFont="1" applyBorder="1"/>
    <xf numFmtId="165" fontId="30" fillId="0" borderId="216" xfId="0" applyNumberFormat="1" applyFont="1" applyBorder="1"/>
    <xf numFmtId="1" fontId="16" fillId="0" borderId="124" xfId="0" applyNumberFormat="1" applyFont="1" applyBorder="1" applyAlignment="1">
      <alignment horizontal="center"/>
    </xf>
    <xf numFmtId="0" fontId="2" fillId="0" borderId="217" xfId="0" applyFont="1" applyBorder="1" applyAlignment="1">
      <alignment horizontal="center"/>
    </xf>
    <xf numFmtId="1" fontId="31" fillId="14" borderId="180" xfId="0" applyNumberFormat="1" applyFont="1" applyFill="1" applyBorder="1" applyAlignment="1">
      <alignment horizontal="center"/>
    </xf>
    <xf numFmtId="1" fontId="31" fillId="14" borderId="182" xfId="0" applyNumberFormat="1" applyFont="1" applyFill="1" applyBorder="1" applyAlignment="1">
      <alignment horizontal="center"/>
    </xf>
    <xf numFmtId="1" fontId="32" fillId="14" borderId="218" xfId="0" applyNumberFormat="1" applyFont="1" applyFill="1" applyBorder="1" applyAlignment="1">
      <alignment horizontal="center"/>
    </xf>
    <xf numFmtId="1" fontId="32" fillId="14" borderId="177" xfId="0" applyNumberFormat="1" applyFont="1" applyFill="1" applyBorder="1"/>
    <xf numFmtId="165" fontId="32" fillId="14" borderId="219" xfId="0" applyNumberFormat="1" applyFont="1" applyFill="1" applyBorder="1"/>
    <xf numFmtId="1" fontId="30" fillId="0" borderId="0" xfId="0" applyNumberFormat="1" applyFont="1"/>
    <xf numFmtId="165" fontId="30" fillId="0" borderId="0" xfId="0" applyNumberFormat="1" applyFont="1"/>
    <xf numFmtId="1" fontId="17" fillId="0" borderId="0" xfId="0" applyNumberFormat="1" applyFont="1" applyAlignment="1">
      <alignment horizontal="center"/>
    </xf>
    <xf numFmtId="0" fontId="2" fillId="9" borderId="213" xfId="0" applyFont="1" applyFill="1" applyBorder="1" applyAlignment="1">
      <alignment horizontal="center"/>
    </xf>
    <xf numFmtId="1" fontId="3" fillId="8" borderId="180" xfId="0" applyNumberFormat="1" applyFont="1" applyFill="1" applyBorder="1" applyAlignment="1">
      <alignment horizontal="center"/>
    </xf>
    <xf numFmtId="1" fontId="3" fillId="8" borderId="220" xfId="0" applyNumberFormat="1" applyFont="1" applyFill="1" applyBorder="1" applyAlignment="1">
      <alignment horizontal="center"/>
    </xf>
    <xf numFmtId="0" fontId="2" fillId="9" borderId="217" xfId="0" applyFont="1" applyFill="1" applyBorder="1" applyAlignment="1">
      <alignment horizontal="center"/>
    </xf>
    <xf numFmtId="165" fontId="32" fillId="14" borderId="221" xfId="0" applyNumberFormat="1" applyFont="1" applyFill="1" applyBorder="1"/>
    <xf numFmtId="1" fontId="2" fillId="0" borderId="0" xfId="0" applyNumberFormat="1" applyFont="1" applyAlignment="1">
      <alignment horizontal="center"/>
    </xf>
    <xf numFmtId="1" fontId="16" fillId="0" borderId="180" xfId="0" applyNumberFormat="1" applyFont="1" applyBorder="1" applyAlignment="1">
      <alignment horizontal="center"/>
    </xf>
    <xf numFmtId="1" fontId="16" fillId="0" borderId="182" xfId="0" applyNumberFormat="1" applyFont="1" applyBorder="1" applyAlignment="1">
      <alignment horizontal="center"/>
    </xf>
    <xf numFmtId="0" fontId="2" fillId="13" borderId="225" xfId="0" applyFont="1" applyFill="1" applyBorder="1" applyAlignment="1">
      <alignment horizontal="center"/>
    </xf>
    <xf numFmtId="0" fontId="2" fillId="2" borderId="226" xfId="0" applyFont="1" applyFill="1" applyBorder="1" applyAlignment="1">
      <alignment horizontal="center"/>
    </xf>
    <xf numFmtId="0" fontId="2" fillId="13" borderId="22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16" fillId="8" borderId="180" xfId="0" applyNumberFormat="1" applyFont="1" applyFill="1" applyBorder="1" applyAlignment="1">
      <alignment horizontal="center"/>
    </xf>
    <xf numFmtId="1" fontId="16" fillId="8" borderId="182" xfId="0" applyNumberFormat="1" applyFont="1" applyFill="1" applyBorder="1" applyAlignment="1">
      <alignment horizontal="center"/>
    </xf>
    <xf numFmtId="1" fontId="2" fillId="13" borderId="228" xfId="0" applyNumberFormat="1" applyFont="1" applyFill="1" applyBorder="1" applyAlignment="1">
      <alignment horizontal="center"/>
    </xf>
    <xf numFmtId="1" fontId="27" fillId="2" borderId="46" xfId="0" applyNumberFormat="1" applyFont="1" applyFill="1" applyBorder="1" applyAlignment="1">
      <alignment horizontal="center"/>
    </xf>
    <xf numFmtId="1" fontId="27" fillId="2" borderId="57" xfId="0" applyNumberFormat="1" applyFont="1" applyFill="1" applyBorder="1" applyAlignment="1">
      <alignment horizontal="center"/>
    </xf>
    <xf numFmtId="1" fontId="10" fillId="13" borderId="229" xfId="0" applyNumberFormat="1" applyFont="1" applyFill="1" applyBorder="1"/>
    <xf numFmtId="1" fontId="26" fillId="0" borderId="230" xfId="0" applyNumberFormat="1" applyFont="1" applyBorder="1" applyAlignment="1">
      <alignment horizontal="center"/>
    </xf>
    <xf numFmtId="1" fontId="10" fillId="0" borderId="231" xfId="0" applyNumberFormat="1" applyFont="1" applyBorder="1"/>
    <xf numFmtId="165" fontId="10" fillId="0" borderId="232" xfId="0" applyNumberFormat="1" applyFont="1" applyBorder="1"/>
    <xf numFmtId="1" fontId="8" fillId="2" borderId="180" xfId="0" applyNumberFormat="1" applyFont="1" applyFill="1" applyBorder="1" applyAlignment="1">
      <alignment horizontal="center"/>
    </xf>
    <xf numFmtId="1" fontId="26" fillId="0" borderId="23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" fontId="16" fillId="0" borderId="234" xfId="0" applyNumberFormat="1" applyFont="1" applyBorder="1" applyAlignment="1">
      <alignment horizontal="center"/>
    </xf>
    <xf numFmtId="1" fontId="26" fillId="12" borderId="235" xfId="0" applyNumberFormat="1" applyFont="1" applyFill="1" applyBorder="1" applyAlignment="1">
      <alignment horizontal="center"/>
    </xf>
    <xf numFmtId="1" fontId="30" fillId="0" borderId="236" xfId="0" applyNumberFormat="1" applyFont="1" applyBorder="1"/>
    <xf numFmtId="165" fontId="30" fillId="0" borderId="237" xfId="0" applyNumberFormat="1" applyFont="1" applyBorder="1"/>
    <xf numFmtId="1" fontId="3" fillId="0" borderId="234" xfId="0" applyNumberFormat="1" applyFont="1" applyBorder="1" applyAlignment="1">
      <alignment horizontal="center"/>
    </xf>
    <xf numFmtId="1" fontId="8" fillId="2" borderId="210" xfId="0" applyNumberFormat="1" applyFont="1" applyFill="1" applyBorder="1" applyAlignment="1">
      <alignment horizontal="center"/>
    </xf>
    <xf numFmtId="1" fontId="26" fillId="12" borderId="0" xfId="0" applyNumberFormat="1" applyFont="1" applyFill="1" applyAlignment="1">
      <alignment horizontal="center"/>
    </xf>
    <xf numFmtId="1" fontId="30" fillId="2" borderId="212" xfId="0" applyNumberFormat="1" applyFont="1" applyFill="1" applyBorder="1"/>
    <xf numFmtId="165" fontId="30" fillId="2" borderId="219" xfId="0" applyNumberFormat="1" applyFont="1" applyFill="1" applyBorder="1"/>
    <xf numFmtId="0" fontId="2" fillId="0" borderId="0" xfId="0" applyFont="1" applyAlignment="1">
      <alignment vertical="center" wrapText="1"/>
    </xf>
    <xf numFmtId="0" fontId="2" fillId="0" borderId="238" xfId="0" applyFont="1" applyBorder="1"/>
    <xf numFmtId="0" fontId="11" fillId="5" borderId="171" xfId="0" applyFont="1" applyFill="1" applyBorder="1" applyAlignment="1">
      <alignment horizontal="center"/>
    </xf>
    <xf numFmtId="0" fontId="11" fillId="5" borderId="239" xfId="0" applyFont="1" applyFill="1" applyBorder="1" applyAlignment="1">
      <alignment horizontal="center"/>
    </xf>
    <xf numFmtId="0" fontId="9" fillId="0" borderId="22" xfId="0" quotePrefix="1" applyFont="1" applyBorder="1" applyAlignment="1">
      <alignment horizontal="center" shrinkToFit="1"/>
    </xf>
    <xf numFmtId="0" fontId="11" fillId="4" borderId="167" xfId="0" applyFont="1" applyFill="1" applyBorder="1" applyAlignment="1">
      <alignment horizontal="center"/>
    </xf>
    <xf numFmtId="0" fontId="2" fillId="0" borderId="22" xfId="0" applyFont="1" applyBorder="1" applyAlignment="1">
      <alignment vertical="center"/>
    </xf>
    <xf numFmtId="0" fontId="2" fillId="0" borderId="19" xfId="0" applyFont="1" applyBorder="1"/>
    <xf numFmtId="0" fontId="15" fillId="0" borderId="48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/>
    </xf>
    <xf numFmtId="0" fontId="16" fillId="0" borderId="71" xfId="0" applyFont="1" applyBorder="1" applyAlignment="1">
      <alignment horizontal="center" vertical="center"/>
    </xf>
    <xf numFmtId="164" fontId="2" fillId="2" borderId="38" xfId="0" applyNumberFormat="1" applyFont="1" applyFill="1" applyBorder="1" applyAlignment="1">
      <alignment horizontal="center"/>
    </xf>
    <xf numFmtId="164" fontId="2" fillId="7" borderId="68" xfId="0" applyNumberFormat="1" applyFont="1" applyFill="1" applyBorder="1" applyAlignment="1">
      <alignment horizontal="center"/>
    </xf>
    <xf numFmtId="164" fontId="2" fillId="2" borderId="65" xfId="0" applyNumberFormat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0" fontId="4" fillId="0" borderId="243" xfId="0" applyFont="1" applyBorder="1" applyAlignment="1">
      <alignment horizontal="center" vertical="center"/>
    </xf>
    <xf numFmtId="164" fontId="2" fillId="2" borderId="46" xfId="0" applyNumberFormat="1" applyFont="1" applyFill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2" fillId="8" borderId="89" xfId="0" applyNumberFormat="1" applyFont="1" applyFill="1" applyBorder="1" applyAlignment="1">
      <alignment horizontal="center"/>
    </xf>
    <xf numFmtId="164" fontId="2" fillId="2" borderId="54" xfId="0" applyNumberFormat="1" applyFont="1" applyFill="1" applyBorder="1" applyAlignment="1">
      <alignment horizontal="center"/>
    </xf>
    <xf numFmtId="164" fontId="2" fillId="9" borderId="81" xfId="0" applyNumberFormat="1" applyFont="1" applyFill="1" applyBorder="1" applyAlignment="1">
      <alignment horizontal="center"/>
    </xf>
    <xf numFmtId="1" fontId="16" fillId="16" borderId="26" xfId="0" applyNumberFormat="1" applyFont="1" applyFill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2" fillId="9" borderId="89" xfId="0" applyNumberFormat="1" applyFont="1" applyFill="1" applyBorder="1" applyAlignment="1">
      <alignment horizontal="center"/>
    </xf>
    <xf numFmtId="164" fontId="2" fillId="8" borderId="95" xfId="0" applyNumberFormat="1" applyFont="1" applyFill="1" applyBorder="1" applyAlignment="1">
      <alignment horizontal="center"/>
    </xf>
    <xf numFmtId="164" fontId="2" fillId="9" borderId="68" xfId="0" applyNumberFormat="1" applyFont="1" applyFill="1" applyBorder="1" applyAlignment="1">
      <alignment horizontal="center"/>
    </xf>
    <xf numFmtId="0" fontId="2" fillId="0" borderId="246" xfId="0" applyFont="1" applyBorder="1"/>
    <xf numFmtId="164" fontId="18" fillId="2" borderId="70" xfId="0" applyNumberFormat="1" applyFont="1" applyFill="1" applyBorder="1" applyAlignment="1">
      <alignment horizontal="center" vertical="center"/>
    </xf>
    <xf numFmtId="164" fontId="11" fillId="2" borderId="65" xfId="0" applyNumberFormat="1" applyFont="1" applyFill="1" applyBorder="1" applyAlignment="1">
      <alignment horizontal="center" vertical="center"/>
    </xf>
    <xf numFmtId="164" fontId="34" fillId="2" borderId="70" xfId="0" applyNumberFormat="1" applyFont="1" applyFill="1" applyBorder="1" applyAlignment="1">
      <alignment horizontal="center" vertical="center"/>
    </xf>
    <xf numFmtId="0" fontId="16" fillId="0" borderId="248" xfId="0" applyFont="1" applyBorder="1" applyAlignment="1">
      <alignment horizontal="center" shrinkToFit="1"/>
    </xf>
    <xf numFmtId="164" fontId="18" fillId="2" borderId="60" xfId="0" applyNumberFormat="1" applyFont="1" applyFill="1" applyBorder="1" applyAlignment="1">
      <alignment horizontal="center" vertical="center"/>
    </xf>
    <xf numFmtId="164" fontId="11" fillId="2" borderId="102" xfId="0" applyNumberFormat="1" applyFont="1" applyFill="1" applyBorder="1" applyAlignment="1">
      <alignment horizontal="center" vertical="center"/>
    </xf>
    <xf numFmtId="0" fontId="2" fillId="0" borderId="250" xfId="0" applyFont="1" applyBorder="1"/>
    <xf numFmtId="164" fontId="34" fillId="2" borderId="60" xfId="0" applyNumberFormat="1" applyFont="1" applyFill="1" applyBorder="1" applyAlignment="1">
      <alignment horizontal="center" vertical="center"/>
    </xf>
    <xf numFmtId="164" fontId="2" fillId="9" borderId="119" xfId="0" applyNumberFormat="1" applyFont="1" applyFill="1" applyBorder="1" applyAlignment="1">
      <alignment horizontal="center"/>
    </xf>
    <xf numFmtId="164" fontId="2" fillId="2" borderId="96" xfId="0" applyNumberFormat="1" applyFont="1" applyFill="1" applyBorder="1" applyAlignment="1">
      <alignment horizontal="center"/>
    </xf>
    <xf numFmtId="0" fontId="2" fillId="0" borderId="251" xfId="0" applyFont="1" applyBorder="1"/>
    <xf numFmtId="164" fontId="2" fillId="0" borderId="119" xfId="0" applyNumberFormat="1" applyFont="1" applyBorder="1" applyAlignment="1">
      <alignment horizontal="center"/>
    </xf>
    <xf numFmtId="0" fontId="2" fillId="0" borderId="252" xfId="0" applyFont="1" applyBorder="1" applyAlignment="1">
      <alignment horizontal="right"/>
    </xf>
    <xf numFmtId="0" fontId="16" fillId="13" borderId="253" xfId="0" applyFont="1" applyFill="1" applyBorder="1" applyAlignment="1">
      <alignment horizontal="center"/>
    </xf>
    <xf numFmtId="0" fontId="19" fillId="14" borderId="254" xfId="0" applyFont="1" applyFill="1" applyBorder="1" applyAlignment="1">
      <alignment horizontal="center"/>
    </xf>
    <xf numFmtId="164" fontId="21" fillId="2" borderId="108" xfId="0" applyNumberFormat="1" applyFont="1" applyFill="1" applyBorder="1" applyAlignment="1">
      <alignment horizontal="center" vertical="center"/>
    </xf>
    <xf numFmtId="0" fontId="2" fillId="0" borderId="252" xfId="0" applyFont="1" applyBorder="1"/>
    <xf numFmtId="0" fontId="22" fillId="11" borderId="238" xfId="0" applyFont="1" applyFill="1" applyBorder="1" applyAlignment="1">
      <alignment horizontal="center"/>
    </xf>
    <xf numFmtId="164" fontId="21" fillId="2" borderId="53" xfId="0" applyNumberFormat="1" applyFont="1" applyFill="1" applyBorder="1" applyAlignment="1">
      <alignment horizontal="center" vertical="center"/>
    </xf>
    <xf numFmtId="164" fontId="2" fillId="0" borderId="255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64" fontId="21" fillId="0" borderId="0" xfId="0" applyNumberFormat="1" applyFont="1" applyAlignment="1">
      <alignment horizontal="center" vertical="center"/>
    </xf>
    <xf numFmtId="0" fontId="22" fillId="0" borderId="238" xfId="0" applyFont="1" applyBorder="1" applyAlignment="1">
      <alignment horizontal="center"/>
    </xf>
    <xf numFmtId="0" fontId="20" fillId="0" borderId="39" xfId="0" applyFont="1" applyBorder="1" applyAlignment="1">
      <alignment horizontal="right"/>
    </xf>
    <xf numFmtId="164" fontId="21" fillId="0" borderId="25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50" xfId="0" applyFont="1" applyBorder="1"/>
    <xf numFmtId="0" fontId="16" fillId="0" borderId="258" xfId="0" applyFont="1" applyBorder="1" applyAlignment="1">
      <alignment horizontal="center" vertical="center"/>
    </xf>
    <xf numFmtId="0" fontId="2" fillId="0" borderId="160" xfId="0" applyFont="1" applyBorder="1"/>
    <xf numFmtId="0" fontId="19" fillId="14" borderId="163" xfId="0" applyFont="1" applyFill="1" applyBorder="1" applyAlignment="1">
      <alignment horizontal="center"/>
    </xf>
    <xf numFmtId="164" fontId="21" fillId="2" borderId="260" xfId="0" applyNumberFormat="1" applyFont="1" applyFill="1" applyBorder="1" applyAlignment="1">
      <alignment horizontal="center"/>
    </xf>
    <xf numFmtId="164" fontId="16" fillId="0" borderId="261" xfId="0" applyNumberFormat="1" applyFont="1" applyBorder="1" applyAlignment="1">
      <alignment horizontal="center"/>
    </xf>
    <xf numFmtId="1" fontId="32" fillId="14" borderId="161" xfId="0" applyNumberFormat="1" applyFont="1" applyFill="1" applyBorder="1" applyAlignment="1">
      <alignment horizontal="center"/>
    </xf>
    <xf numFmtId="1" fontId="32" fillId="14" borderId="162" xfId="0" applyNumberFormat="1" applyFont="1" applyFill="1" applyBorder="1" applyAlignment="1">
      <alignment horizontal="center"/>
    </xf>
    <xf numFmtId="0" fontId="26" fillId="11" borderId="163" xfId="0" applyFont="1" applyFill="1" applyBorder="1" applyAlignment="1">
      <alignment horizontal="center"/>
    </xf>
    <xf numFmtId="164" fontId="16" fillId="0" borderId="263" xfId="0" applyNumberFormat="1" applyFont="1" applyBorder="1" applyAlignment="1">
      <alignment horizontal="center"/>
    </xf>
    <xf numFmtId="0" fontId="2" fillId="15" borderId="265" xfId="0" applyFont="1" applyFill="1" applyBorder="1" applyAlignment="1">
      <alignment horizontal="center"/>
    </xf>
    <xf numFmtId="0" fontId="10" fillId="2" borderId="266" xfId="0" quotePrefix="1" applyFont="1" applyFill="1" applyBorder="1" applyAlignment="1">
      <alignment shrinkToFit="1"/>
    </xf>
    <xf numFmtId="0" fontId="2" fillId="15" borderId="267" xfId="0" applyFont="1" applyFill="1" applyBorder="1" applyAlignment="1">
      <alignment horizontal="center"/>
    </xf>
    <xf numFmtId="0" fontId="2" fillId="12" borderId="268" xfId="0" applyFont="1" applyFill="1" applyBorder="1" applyAlignment="1">
      <alignment horizontal="center"/>
    </xf>
    <xf numFmtId="0" fontId="10" fillId="0" borderId="269" xfId="0" applyFont="1" applyBorder="1"/>
    <xf numFmtId="0" fontId="10" fillId="0" borderId="269" xfId="0" quotePrefix="1" applyFont="1" applyBorder="1" applyAlignment="1">
      <alignment shrinkToFit="1"/>
    </xf>
    <xf numFmtId="1" fontId="2" fillId="0" borderId="270" xfId="0" applyNumberFormat="1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" fontId="32" fillId="0" borderId="3" xfId="0" applyNumberFormat="1" applyFont="1" applyBorder="1" applyAlignment="1">
      <alignment horizontal="center"/>
    </xf>
    <xf numFmtId="1" fontId="32" fillId="0" borderId="271" xfId="0" applyNumberFormat="1" applyFont="1" applyBorder="1" applyAlignment="1">
      <alignment horizontal="center"/>
    </xf>
    <xf numFmtId="0" fontId="26" fillId="0" borderId="122" xfId="0" applyFont="1" applyBorder="1" applyAlignment="1">
      <alignment horizontal="center"/>
    </xf>
    <xf numFmtId="0" fontId="16" fillId="0" borderId="124" xfId="0" applyFont="1" applyBorder="1" applyAlignment="1">
      <alignment horizontal="center" vertical="center"/>
    </xf>
    <xf numFmtId="0" fontId="8" fillId="0" borderId="272" xfId="0" applyFont="1" applyBorder="1" applyAlignment="1">
      <alignment horizontal="center"/>
    </xf>
    <xf numFmtId="0" fontId="10" fillId="13" borderId="85" xfId="0" applyFont="1" applyFill="1" applyBorder="1" applyAlignment="1">
      <alignment horizontal="center" shrinkToFit="1"/>
    </xf>
    <xf numFmtId="0" fontId="10" fillId="13" borderId="103" xfId="0" applyFont="1" applyFill="1" applyBorder="1" applyAlignment="1">
      <alignment horizontal="center" shrinkToFit="1"/>
    </xf>
    <xf numFmtId="0" fontId="16" fillId="0" borderId="191" xfId="0" applyFont="1" applyBorder="1" applyAlignment="1">
      <alignment horizontal="left"/>
    </xf>
    <xf numFmtId="0" fontId="16" fillId="0" borderId="273" xfId="0" applyFont="1" applyBorder="1"/>
    <xf numFmtId="0" fontId="8" fillId="0" borderId="11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13" borderId="148" xfId="0" applyFont="1" applyFill="1" applyBorder="1" applyAlignment="1">
      <alignment horizontal="center" shrinkToFit="1"/>
    </xf>
    <xf numFmtId="0" fontId="3" fillId="0" borderId="274" xfId="0" applyFont="1" applyBorder="1" applyAlignment="1">
      <alignment vertical="center" wrapText="1"/>
    </xf>
    <xf numFmtId="0" fontId="2" fillId="9" borderId="275" xfId="0" applyFont="1" applyFill="1" applyBorder="1" applyAlignment="1">
      <alignment horizontal="center"/>
    </xf>
    <xf numFmtId="3" fontId="16" fillId="15" borderId="167" xfId="0" applyNumberFormat="1" applyFont="1" applyFill="1" applyBorder="1" applyAlignment="1">
      <alignment horizontal="center"/>
    </xf>
    <xf numFmtId="1" fontId="16" fillId="4" borderId="175" xfId="0" applyNumberFormat="1" applyFont="1" applyFill="1" applyBorder="1" applyAlignment="1">
      <alignment horizontal="center"/>
    </xf>
    <xf numFmtId="1" fontId="26" fillId="0" borderId="276" xfId="0" applyNumberFormat="1" applyFont="1" applyBorder="1" applyAlignment="1">
      <alignment horizontal="center"/>
    </xf>
    <xf numFmtId="165" fontId="30" fillId="0" borderId="277" xfId="0" applyNumberFormat="1" applyFont="1" applyBorder="1"/>
    <xf numFmtId="0" fontId="2" fillId="9" borderId="278" xfId="0" applyFont="1" applyFill="1" applyBorder="1" applyAlignment="1">
      <alignment horizontal="center"/>
    </xf>
    <xf numFmtId="3" fontId="3" fillId="15" borderId="167" xfId="0" applyNumberFormat="1" applyFont="1" applyFill="1" applyBorder="1" applyAlignment="1">
      <alignment horizontal="center"/>
    </xf>
    <xf numFmtId="1" fontId="3" fillId="5" borderId="175" xfId="0" applyNumberFormat="1" applyFont="1" applyFill="1" applyBorder="1" applyAlignment="1">
      <alignment horizontal="center"/>
    </xf>
    <xf numFmtId="1" fontId="26" fillId="0" borderId="279" xfId="0" applyNumberFormat="1" applyFont="1" applyBorder="1" applyAlignment="1">
      <alignment horizontal="center"/>
    </xf>
    <xf numFmtId="0" fontId="16" fillId="0" borderId="281" xfId="0" applyFont="1" applyBorder="1" applyAlignment="1">
      <alignment horizontal="left"/>
    </xf>
    <xf numFmtId="0" fontId="2" fillId="15" borderId="283" xfId="0" applyFont="1" applyFill="1" applyBorder="1" applyAlignment="1">
      <alignment horizontal="center"/>
    </xf>
    <xf numFmtId="0" fontId="2" fillId="5" borderId="284" xfId="0" applyFont="1" applyFill="1" applyBorder="1" applyAlignment="1">
      <alignment horizontal="center"/>
    </xf>
    <xf numFmtId="0" fontId="2" fillId="12" borderId="163" xfId="0" applyFont="1" applyFill="1" applyBorder="1" applyAlignment="1">
      <alignment horizontal="center"/>
    </xf>
    <xf numFmtId="0" fontId="30" fillId="2" borderId="285" xfId="0" quotePrefix="1" applyFont="1" applyFill="1" applyBorder="1" applyAlignment="1">
      <alignment horizontal="center" shrinkToFit="1"/>
    </xf>
    <xf numFmtId="0" fontId="2" fillId="0" borderId="286" xfId="0" applyFont="1" applyBorder="1" applyAlignment="1">
      <alignment horizontal="center"/>
    </xf>
    <xf numFmtId="1" fontId="26" fillId="12" borderId="279" xfId="0" applyNumberFormat="1" applyFont="1" applyFill="1" applyBorder="1" applyAlignment="1">
      <alignment horizontal="center"/>
    </xf>
    <xf numFmtId="0" fontId="8" fillId="0" borderId="287" xfId="0" applyFont="1" applyBorder="1" applyAlignment="1">
      <alignment horizontal="center"/>
    </xf>
    <xf numFmtId="0" fontId="8" fillId="0" borderId="288" xfId="0" applyFont="1" applyBorder="1" applyAlignment="1">
      <alignment horizontal="left"/>
    </xf>
    <xf numFmtId="0" fontId="8" fillId="0" borderId="289" xfId="0" applyFont="1" applyBorder="1"/>
    <xf numFmtId="0" fontId="8" fillId="0" borderId="137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10" fillId="13" borderId="132" xfId="0" applyFont="1" applyFill="1" applyBorder="1" applyAlignment="1">
      <alignment horizontal="center"/>
    </xf>
    <xf numFmtId="0" fontId="10" fillId="13" borderId="290" xfId="0" applyFont="1" applyFill="1" applyBorder="1" applyAlignment="1">
      <alignment horizontal="center"/>
    </xf>
    <xf numFmtId="0" fontId="2" fillId="9" borderId="291" xfId="0" applyFont="1" applyFill="1" applyBorder="1" applyAlignment="1">
      <alignment horizontal="center"/>
    </xf>
    <xf numFmtId="1" fontId="16" fillId="4" borderId="182" xfId="0" applyNumberFormat="1" applyFont="1" applyFill="1" applyBorder="1" applyAlignment="1">
      <alignment horizontal="center"/>
    </xf>
    <xf numFmtId="0" fontId="2" fillId="0" borderId="292" xfId="0" applyFont="1" applyBorder="1" applyAlignment="1">
      <alignment horizontal="center"/>
    </xf>
    <xf numFmtId="3" fontId="3" fillId="0" borderId="167" xfId="0" applyNumberFormat="1" applyFont="1" applyBorder="1" applyAlignment="1">
      <alignment horizontal="center"/>
    </xf>
    <xf numFmtId="1" fontId="3" fillId="0" borderId="220" xfId="0" applyNumberFormat="1" applyFont="1" applyBorder="1" applyAlignment="1">
      <alignment horizontal="center"/>
    </xf>
    <xf numFmtId="1" fontId="26" fillId="0" borderId="293" xfId="0" applyNumberFormat="1" applyFont="1" applyBorder="1" applyAlignment="1">
      <alignment horizontal="center"/>
    </xf>
    <xf numFmtId="0" fontId="27" fillId="11" borderId="54" xfId="0" applyFont="1" applyFill="1" applyBorder="1" applyAlignment="1">
      <alignment horizontal="center" shrinkToFit="1"/>
    </xf>
    <xf numFmtId="0" fontId="2" fillId="0" borderId="200" xfId="0" applyFont="1" applyBorder="1" applyAlignment="1">
      <alignment horizontal="center"/>
    </xf>
    <xf numFmtId="3" fontId="31" fillId="14" borderId="167" xfId="0" applyNumberFormat="1" applyFont="1" applyFill="1" applyBorder="1" applyAlignment="1">
      <alignment horizontal="center"/>
    </xf>
    <xf numFmtId="1" fontId="32" fillId="14" borderId="294" xfId="0" applyNumberFormat="1" applyFont="1" applyFill="1" applyBorder="1" applyAlignment="1">
      <alignment horizontal="center"/>
    </xf>
    <xf numFmtId="1" fontId="32" fillId="14" borderId="170" xfId="0" applyNumberFormat="1" applyFont="1" applyFill="1" applyBorder="1"/>
    <xf numFmtId="165" fontId="32" fillId="14" borderId="295" xfId="0" applyNumberFormat="1" applyFont="1" applyFill="1" applyBorder="1"/>
    <xf numFmtId="0" fontId="2" fillId="0" borderId="296" xfId="0" applyFont="1" applyBorder="1" applyAlignment="1">
      <alignment horizontal="center"/>
    </xf>
    <xf numFmtId="3" fontId="16" fillId="0" borderId="234" xfId="0" applyNumberFormat="1" applyFont="1" applyBorder="1" applyAlignment="1">
      <alignment horizontal="center"/>
    </xf>
    <xf numFmtId="1" fontId="26" fillId="12" borderId="297" xfId="0" applyNumberFormat="1" applyFont="1" applyFill="1" applyBorder="1" applyAlignment="1">
      <alignment horizontal="center"/>
    </xf>
    <xf numFmtId="1" fontId="10" fillId="0" borderId="298" xfId="0" applyNumberFormat="1" applyFont="1" applyBorder="1"/>
    <xf numFmtId="1" fontId="30" fillId="0" borderId="191" xfId="0" applyNumberFormat="1" applyFont="1" applyBorder="1"/>
    <xf numFmtId="165" fontId="30" fillId="0" borderId="273" xfId="0" applyNumberFormat="1" applyFont="1" applyBorder="1"/>
    <xf numFmtId="1" fontId="10" fillId="0" borderId="229" xfId="0" applyNumberFormat="1" applyFont="1" applyBorder="1"/>
    <xf numFmtId="0" fontId="2" fillId="9" borderId="299" xfId="0" applyFont="1" applyFill="1" applyBorder="1" applyAlignment="1">
      <alignment horizontal="center"/>
    </xf>
    <xf numFmtId="0" fontId="26" fillId="0" borderId="65" xfId="0" applyFont="1" applyBorder="1"/>
    <xf numFmtId="3" fontId="31" fillId="14" borderId="180" xfId="0" applyNumberFormat="1" applyFont="1" applyFill="1" applyBorder="1" applyAlignment="1">
      <alignment horizontal="center"/>
    </xf>
    <xf numFmtId="1" fontId="32" fillId="14" borderId="188" xfId="0" applyNumberFormat="1" applyFont="1" applyFill="1" applyBorder="1" applyAlignment="1">
      <alignment horizontal="center"/>
    </xf>
    <xf numFmtId="165" fontId="32" fillId="14" borderId="171" xfId="0" applyNumberFormat="1" applyFont="1" applyFill="1" applyBorder="1"/>
    <xf numFmtId="0" fontId="2" fillId="0" borderId="299" xfId="0" applyFont="1" applyBorder="1" applyAlignment="1">
      <alignment horizontal="center"/>
    </xf>
    <xf numFmtId="0" fontId="2" fillId="0" borderId="243" xfId="0" applyFont="1" applyBorder="1"/>
    <xf numFmtId="0" fontId="2" fillId="13" borderId="278" xfId="0" applyFont="1" applyFill="1" applyBorder="1" applyAlignment="1">
      <alignment horizontal="center"/>
    </xf>
    <xf numFmtId="0" fontId="2" fillId="2" borderId="300" xfId="0" applyFont="1" applyFill="1" applyBorder="1" applyAlignment="1">
      <alignment horizontal="center"/>
    </xf>
    <xf numFmtId="1" fontId="30" fillId="2" borderId="170" xfId="0" applyNumberFormat="1" applyFont="1" applyFill="1" applyBorder="1"/>
    <xf numFmtId="1" fontId="2" fillId="13" borderId="301" xfId="0" applyNumberFormat="1" applyFont="1" applyFill="1" applyBorder="1" applyAlignment="1">
      <alignment horizontal="center"/>
    </xf>
    <xf numFmtId="1" fontId="27" fillId="2" borderId="33" xfId="0" applyNumberFormat="1" applyFont="1" applyFill="1" applyBorder="1" applyAlignment="1">
      <alignment horizontal="center"/>
    </xf>
    <xf numFmtId="1" fontId="16" fillId="5" borderId="182" xfId="0" applyNumberFormat="1" applyFont="1" applyFill="1" applyBorder="1" applyAlignment="1">
      <alignment horizontal="center"/>
    </xf>
    <xf numFmtId="0" fontId="2" fillId="0" borderId="302" xfId="0" applyFont="1" applyBorder="1" applyAlignment="1">
      <alignment horizontal="center"/>
    </xf>
    <xf numFmtId="3" fontId="16" fillId="0" borderId="303" xfId="0" applyNumberFormat="1" applyFont="1" applyBorder="1" applyAlignment="1">
      <alignment horizontal="center"/>
    </xf>
    <xf numFmtId="1" fontId="16" fillId="0" borderId="304" xfId="0" applyNumberFormat="1" applyFont="1" applyBorder="1" applyAlignment="1">
      <alignment horizontal="center"/>
    </xf>
    <xf numFmtId="1" fontId="26" fillId="0" borderId="305" xfId="0" applyNumberFormat="1" applyFont="1" applyBorder="1" applyAlignment="1">
      <alignment horizontal="center"/>
    </xf>
    <xf numFmtId="1" fontId="10" fillId="0" borderId="306" xfId="0" applyNumberFormat="1" applyFont="1" applyBorder="1"/>
    <xf numFmtId="165" fontId="10" fillId="0" borderId="307" xfId="0" applyNumberFormat="1" applyFont="1" applyBorder="1"/>
    <xf numFmtId="1" fontId="30" fillId="0" borderId="308" xfId="0" applyNumberFormat="1" applyFont="1" applyBorder="1"/>
    <xf numFmtId="165" fontId="30" fillId="0" borderId="309" xfId="0" applyNumberFormat="1" applyFont="1" applyBorder="1"/>
    <xf numFmtId="0" fontId="26" fillId="0" borderId="310" xfId="0" applyFont="1" applyBorder="1"/>
    <xf numFmtId="3" fontId="3" fillId="17" borderId="234" xfId="0" applyNumberFormat="1" applyFont="1" applyFill="1" applyBorder="1" applyAlignment="1">
      <alignment horizontal="center"/>
    </xf>
    <xf numFmtId="1" fontId="3" fillId="17" borderId="210" xfId="0" applyNumberFormat="1" applyFont="1" applyFill="1" applyBorder="1" applyAlignment="1">
      <alignment horizontal="center"/>
    </xf>
    <xf numFmtId="1" fontId="26" fillId="0" borderId="235" xfId="0" applyNumberFormat="1" applyFont="1" applyBorder="1" applyAlignment="1">
      <alignment horizontal="center"/>
    </xf>
    <xf numFmtId="1" fontId="27" fillId="0" borderId="229" xfId="0" applyNumberFormat="1" applyFont="1" applyBorder="1"/>
    <xf numFmtId="165" fontId="27" fillId="0" borderId="193" xfId="0" applyNumberFormat="1" applyFont="1" applyBorder="1"/>
    <xf numFmtId="0" fontId="8" fillId="2" borderId="3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12" xfId="0" applyFont="1" applyBorder="1" applyAlignment="1">
      <alignment horizontal="center" vertical="center"/>
    </xf>
    <xf numFmtId="0" fontId="16" fillId="5" borderId="52" xfId="0" applyFont="1" applyFill="1" applyBorder="1" applyAlignment="1">
      <alignment horizontal="center"/>
    </xf>
    <xf numFmtId="0" fontId="8" fillId="0" borderId="313" xfId="0" applyFont="1" applyBorder="1" applyAlignment="1">
      <alignment horizontal="center"/>
    </xf>
    <xf numFmtId="0" fontId="2" fillId="0" borderId="166" xfId="0" applyFont="1" applyBorder="1"/>
    <xf numFmtId="0" fontId="11" fillId="4" borderId="171" xfId="0" applyFont="1" applyFill="1" applyBorder="1" applyAlignment="1">
      <alignment horizontal="center"/>
    </xf>
    <xf numFmtId="0" fontId="16" fillId="4" borderId="315" xfId="0" applyFont="1" applyFill="1" applyBorder="1" applyAlignment="1">
      <alignment horizontal="center"/>
    </xf>
    <xf numFmtId="0" fontId="12" fillId="0" borderId="75" xfId="0" applyFont="1" applyBorder="1" applyAlignment="1">
      <alignment vertical="center"/>
    </xf>
    <xf numFmtId="0" fontId="11" fillId="4" borderId="239" xfId="0" applyFont="1" applyFill="1" applyBorder="1" applyAlignment="1">
      <alignment horizontal="center"/>
    </xf>
    <xf numFmtId="0" fontId="8" fillId="2" borderId="32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10" borderId="324" xfId="0" applyFont="1" applyFill="1" applyBorder="1" applyAlignment="1">
      <alignment horizontal="center"/>
    </xf>
    <xf numFmtId="1" fontId="16" fillId="11" borderId="326" xfId="0" applyNumberFormat="1" applyFont="1" applyFill="1" applyBorder="1" applyAlignment="1">
      <alignment horizontal="center"/>
    </xf>
    <xf numFmtId="164" fontId="18" fillId="9" borderId="54" xfId="0" applyNumberFormat="1" applyFont="1" applyFill="1" applyBorder="1" applyAlignment="1">
      <alignment horizontal="center"/>
    </xf>
    <xf numFmtId="164" fontId="20" fillId="2" borderId="54" xfId="0" applyNumberFormat="1" applyFont="1" applyFill="1" applyBorder="1" applyAlignment="1">
      <alignment horizontal="center"/>
    </xf>
    <xf numFmtId="0" fontId="2" fillId="9" borderId="94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1" fillId="14" borderId="254" xfId="0" applyFont="1" applyFill="1" applyBorder="1" applyAlignment="1">
      <alignment horizontal="center"/>
    </xf>
    <xf numFmtId="0" fontId="20" fillId="0" borderId="115" xfId="0" applyFont="1" applyBorder="1" applyAlignment="1">
      <alignment horizontal="right"/>
    </xf>
    <xf numFmtId="164" fontId="21" fillId="2" borderId="53" xfId="0" applyNumberFormat="1" applyFont="1" applyFill="1" applyBorder="1" applyAlignment="1">
      <alignment horizontal="center"/>
    </xf>
    <xf numFmtId="164" fontId="2" fillId="0" borderId="332" xfId="0" applyNumberFormat="1" applyFont="1" applyBorder="1" applyAlignment="1">
      <alignment horizontal="center"/>
    </xf>
    <xf numFmtId="164" fontId="20" fillId="2" borderId="102" xfId="0" applyNumberFormat="1" applyFont="1" applyFill="1" applyBorder="1" applyAlignment="1">
      <alignment horizontal="center"/>
    </xf>
    <xf numFmtId="0" fontId="2" fillId="9" borderId="333" xfId="0" applyFont="1" applyFill="1" applyBorder="1" applyAlignment="1">
      <alignment horizontal="center" vertical="center"/>
    </xf>
    <xf numFmtId="0" fontId="16" fillId="10" borderId="85" xfId="0" applyFont="1" applyFill="1" applyBorder="1" applyAlignment="1">
      <alignment horizontal="center"/>
    </xf>
    <xf numFmtId="0" fontId="16" fillId="12" borderId="326" xfId="0" applyFont="1" applyFill="1" applyBorder="1" applyAlignment="1">
      <alignment horizontal="center"/>
    </xf>
    <xf numFmtId="0" fontId="16" fillId="0" borderId="124" xfId="0" applyFont="1" applyBorder="1" applyAlignment="1">
      <alignment horizontal="center"/>
    </xf>
    <xf numFmtId="0" fontId="2" fillId="0" borderId="125" xfId="0" applyFont="1" applyBorder="1"/>
    <xf numFmtId="164" fontId="2" fillId="0" borderId="39" xfId="0" applyNumberFormat="1" applyFont="1" applyBorder="1" applyAlignment="1">
      <alignment horizontal="center"/>
    </xf>
    <xf numFmtId="0" fontId="17" fillId="0" borderId="114" xfId="0" applyFont="1" applyBorder="1" applyAlignment="1">
      <alignment horizontal="right"/>
    </xf>
    <xf numFmtId="1" fontId="2" fillId="0" borderId="189" xfId="0" applyNumberFormat="1" applyFont="1" applyBorder="1" applyAlignment="1">
      <alignment horizontal="center"/>
    </xf>
    <xf numFmtId="0" fontId="2" fillId="15" borderId="132" xfId="0" applyFont="1" applyFill="1" applyBorder="1" applyAlignment="1">
      <alignment horizontal="center"/>
    </xf>
    <xf numFmtId="0" fontId="2" fillId="4" borderId="335" xfId="0" applyFont="1" applyFill="1" applyBorder="1" applyAlignment="1">
      <alignment horizontal="center"/>
    </xf>
    <xf numFmtId="0" fontId="2" fillId="0" borderId="178" xfId="0" applyFont="1" applyBorder="1"/>
    <xf numFmtId="0" fontId="3" fillId="0" borderId="0" xfId="0" applyFont="1" applyAlignment="1">
      <alignment horizontal="center" vertical="center" wrapText="1"/>
    </xf>
    <xf numFmtId="0" fontId="16" fillId="0" borderId="187" xfId="0" applyFont="1" applyBorder="1" applyAlignment="1">
      <alignment horizontal="center"/>
    </xf>
    <xf numFmtId="0" fontId="16" fillId="0" borderId="51" xfId="0" applyFont="1" applyBorder="1" applyAlignment="1">
      <alignment horizontal="center" shrinkToFit="1"/>
    </xf>
    <xf numFmtId="0" fontId="16" fillId="0" borderId="124" xfId="0" applyFont="1" applyBorder="1" applyAlignment="1">
      <alignment horizontal="center" shrinkToFit="1"/>
    </xf>
    <xf numFmtId="0" fontId="8" fillId="0" borderId="336" xfId="0" applyFont="1" applyBorder="1" applyAlignment="1">
      <alignment horizontal="center"/>
    </xf>
    <xf numFmtId="1" fontId="16" fillId="0" borderId="187" xfId="0" applyNumberFormat="1" applyFont="1" applyBorder="1" applyAlignment="1">
      <alignment horizontal="center"/>
    </xf>
    <xf numFmtId="0" fontId="2" fillId="15" borderId="103" xfId="0" applyFont="1" applyFill="1" applyBorder="1" applyAlignment="1">
      <alignment horizontal="center"/>
    </xf>
    <xf numFmtId="0" fontId="2" fillId="4" borderId="149" xfId="0" applyFont="1" applyFill="1" applyBorder="1" applyAlignment="1">
      <alignment horizontal="center"/>
    </xf>
    <xf numFmtId="0" fontId="16" fillId="13" borderId="315" xfId="0" applyFont="1" applyFill="1" applyBorder="1" applyAlignment="1">
      <alignment horizontal="center"/>
    </xf>
    <xf numFmtId="0" fontId="2" fillId="0" borderId="167" xfId="0" applyFont="1" applyBorder="1" applyAlignment="1">
      <alignment horizontal="center"/>
    </xf>
    <xf numFmtId="1" fontId="2" fillId="0" borderId="0" xfId="0" applyNumberFormat="1" applyFont="1"/>
    <xf numFmtId="165" fontId="2" fillId="0" borderId="22" xfId="0" applyNumberFormat="1" applyFont="1" applyBorder="1"/>
    <xf numFmtId="0" fontId="2" fillId="0" borderId="337" xfId="0" applyFont="1" applyBorder="1"/>
    <xf numFmtId="0" fontId="2" fillId="9" borderId="180" xfId="0" applyFont="1" applyFill="1" applyBorder="1" applyAlignment="1">
      <alignment horizontal="center"/>
    </xf>
    <xf numFmtId="1" fontId="16" fillId="4" borderId="181" xfId="0" applyNumberFormat="1" applyFont="1" applyFill="1" applyBorder="1" applyAlignment="1">
      <alignment horizontal="center"/>
    </xf>
    <xf numFmtId="0" fontId="2" fillId="0" borderId="124" xfId="0" applyFont="1" applyBorder="1" applyAlignment="1">
      <alignment horizontal="center"/>
    </xf>
    <xf numFmtId="0" fontId="2" fillId="0" borderId="338" xfId="0" applyFont="1" applyBorder="1" applyAlignment="1">
      <alignment horizontal="center"/>
    </xf>
    <xf numFmtId="3" fontId="16" fillId="15" borderId="43" xfId="0" applyNumberFormat="1" applyFont="1" applyFill="1" applyBorder="1" applyAlignment="1">
      <alignment horizontal="center"/>
    </xf>
    <xf numFmtId="1" fontId="16" fillId="4" borderId="339" xfId="0" applyNumberFormat="1" applyFont="1" applyFill="1" applyBorder="1" applyAlignment="1">
      <alignment horizontal="center"/>
    </xf>
    <xf numFmtId="0" fontId="2" fillId="0" borderId="234" xfId="0" applyFont="1" applyBorder="1" applyAlignment="1">
      <alignment horizontal="center"/>
    </xf>
    <xf numFmtId="0" fontId="16" fillId="13" borderId="342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2" fillId="0" borderId="177" xfId="0" applyFont="1" applyBorder="1" applyAlignment="1">
      <alignment horizontal="center"/>
    </xf>
    <xf numFmtId="0" fontId="11" fillId="5" borderId="343" xfId="0" applyFont="1" applyFill="1" applyBorder="1" applyAlignment="1">
      <alignment horizontal="center"/>
    </xf>
    <xf numFmtId="164" fontId="18" fillId="2" borderId="68" xfId="0" applyNumberFormat="1" applyFont="1" applyFill="1" applyBorder="1" applyAlignment="1">
      <alignment horizontal="center" vertical="center"/>
    </xf>
    <xf numFmtId="1" fontId="27" fillId="2" borderId="344" xfId="0" applyNumberFormat="1" applyFont="1" applyFill="1" applyBorder="1" applyAlignment="1">
      <alignment horizontal="center"/>
    </xf>
    <xf numFmtId="0" fontId="4" fillId="0" borderId="166" xfId="0" applyFont="1" applyBorder="1" applyAlignment="1">
      <alignment horizontal="center" vertical="center"/>
    </xf>
    <xf numFmtId="0" fontId="2" fillId="0" borderId="347" xfId="0" applyFont="1" applyBorder="1" applyAlignment="1">
      <alignment horizontal="center"/>
    </xf>
    <xf numFmtId="0" fontId="11" fillId="5" borderId="34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 shrinkToFit="1"/>
    </xf>
    <xf numFmtId="0" fontId="16" fillId="13" borderId="349" xfId="0" applyFont="1" applyFill="1" applyBorder="1" applyAlignment="1">
      <alignment horizontal="center"/>
    </xf>
    <xf numFmtId="0" fontId="16" fillId="2" borderId="167" xfId="0" applyFont="1" applyFill="1" applyBorder="1" applyAlignment="1">
      <alignment horizontal="center"/>
    </xf>
    <xf numFmtId="164" fontId="18" fillId="2" borderId="89" xfId="0" applyNumberFormat="1" applyFont="1" applyFill="1" applyBorder="1" applyAlignment="1">
      <alignment horizontal="center" vertical="center"/>
    </xf>
    <xf numFmtId="0" fontId="16" fillId="13" borderId="352" xfId="0" applyFont="1" applyFill="1" applyBorder="1" applyAlignment="1">
      <alignment horizontal="center"/>
    </xf>
    <xf numFmtId="0" fontId="16" fillId="0" borderId="166" xfId="0" applyFont="1" applyBorder="1" applyAlignment="1">
      <alignment horizontal="center"/>
    </xf>
    <xf numFmtId="1" fontId="2" fillId="13" borderId="315" xfId="0" applyNumberFormat="1" applyFont="1" applyFill="1" applyBorder="1" applyAlignment="1">
      <alignment horizontal="center"/>
    </xf>
    <xf numFmtId="0" fontId="2" fillId="0" borderId="262" xfId="0" applyFont="1" applyBorder="1"/>
    <xf numFmtId="0" fontId="17" fillId="0" borderId="109" xfId="0" applyFont="1" applyBorder="1" applyAlignment="1">
      <alignment horizontal="right"/>
    </xf>
    <xf numFmtId="164" fontId="15" fillId="2" borderId="108" xfId="0" applyNumberFormat="1" applyFont="1" applyFill="1" applyBorder="1" applyAlignment="1">
      <alignment horizontal="center" vertical="center"/>
    </xf>
    <xf numFmtId="164" fontId="2" fillId="0" borderId="166" xfId="0" applyNumberFormat="1" applyFont="1" applyBorder="1" applyAlignment="1">
      <alignment horizontal="center"/>
    </xf>
    <xf numFmtId="0" fontId="17" fillId="0" borderId="107" xfId="0" applyFont="1" applyBorder="1" applyAlignment="1">
      <alignment horizontal="right"/>
    </xf>
    <xf numFmtId="164" fontId="35" fillId="2" borderId="274" xfId="0" applyNumberFormat="1" applyFont="1" applyFill="1" applyBorder="1" applyAlignment="1">
      <alignment horizontal="center" vertical="center"/>
    </xf>
    <xf numFmtId="0" fontId="8" fillId="2" borderId="356" xfId="0" applyFont="1" applyFill="1" applyBorder="1" applyAlignment="1">
      <alignment horizontal="center"/>
    </xf>
    <xf numFmtId="0" fontId="26" fillId="2" borderId="357" xfId="0" applyFont="1" applyFill="1" applyBorder="1" applyAlignment="1">
      <alignment horizontal="center"/>
    </xf>
    <xf numFmtId="0" fontId="2" fillId="13" borderId="342" xfId="0" applyFont="1" applyFill="1" applyBorder="1" applyAlignment="1">
      <alignment horizontal="center"/>
    </xf>
    <xf numFmtId="164" fontId="10" fillId="2" borderId="358" xfId="0" applyNumberFormat="1" applyFont="1" applyFill="1" applyBorder="1" applyAlignment="1">
      <alignment horizontal="center"/>
    </xf>
    <xf numFmtId="1" fontId="27" fillId="2" borderId="359" xfId="0" applyNumberFormat="1" applyFont="1" applyFill="1" applyBorder="1" applyAlignment="1">
      <alignment horizontal="center"/>
    </xf>
    <xf numFmtId="1" fontId="2" fillId="13" borderId="360" xfId="0" applyNumberFormat="1" applyFont="1" applyFill="1" applyBorder="1" applyAlignment="1">
      <alignment horizontal="center"/>
    </xf>
    <xf numFmtId="164" fontId="2" fillId="9" borderId="95" xfId="0" applyNumberFormat="1" applyFont="1" applyFill="1" applyBorder="1" applyAlignment="1">
      <alignment horizontal="center"/>
    </xf>
    <xf numFmtId="164" fontId="10" fillId="2" borderId="244" xfId="0" applyNumberFormat="1" applyFont="1" applyFill="1" applyBorder="1" applyAlignment="1">
      <alignment horizontal="center"/>
    </xf>
    <xf numFmtId="1" fontId="2" fillId="0" borderId="362" xfId="0" applyNumberFormat="1" applyFont="1" applyBorder="1" applyAlignment="1">
      <alignment horizontal="center"/>
    </xf>
    <xf numFmtId="1" fontId="27" fillId="0" borderId="363" xfId="0" applyNumberFormat="1" applyFont="1" applyBorder="1" applyAlignment="1">
      <alignment horizontal="center"/>
    </xf>
    <xf numFmtId="164" fontId="11" fillId="2" borderId="358" xfId="0" applyNumberFormat="1" applyFont="1" applyFill="1" applyBorder="1" applyAlignment="1">
      <alignment horizontal="center"/>
    </xf>
    <xf numFmtId="164" fontId="11" fillId="2" borderId="365" xfId="0" applyNumberFormat="1" applyFont="1" applyFill="1" applyBorder="1" applyAlignment="1">
      <alignment horizontal="center"/>
    </xf>
    <xf numFmtId="0" fontId="25" fillId="5" borderId="53" xfId="0" applyFont="1" applyFill="1" applyBorder="1" applyAlignment="1" applyProtection="1">
      <alignment horizontal="center"/>
      <protection locked="0"/>
    </xf>
    <xf numFmtId="0" fontId="30" fillId="2" borderId="368" xfId="0" quotePrefix="1" applyFont="1" applyFill="1" applyBorder="1"/>
    <xf numFmtId="0" fontId="30" fillId="2" borderId="322" xfId="0" quotePrefix="1" applyFont="1" applyFill="1" applyBorder="1" applyAlignment="1">
      <alignment shrinkToFit="1"/>
    </xf>
    <xf numFmtId="164" fontId="2" fillId="0" borderId="369" xfId="0" applyNumberFormat="1" applyFont="1" applyBorder="1" applyAlignment="1">
      <alignment horizontal="center"/>
    </xf>
    <xf numFmtId="0" fontId="2" fillId="12" borderId="371" xfId="0" applyFont="1" applyFill="1" applyBorder="1" applyAlignment="1">
      <alignment horizontal="center"/>
    </xf>
    <xf numFmtId="0" fontId="10" fillId="13" borderId="214" xfId="0" applyFont="1" applyFill="1" applyBorder="1" applyAlignment="1">
      <alignment horizontal="center"/>
    </xf>
    <xf numFmtId="0" fontId="8" fillId="0" borderId="152" xfId="0" applyFont="1" applyBorder="1" applyAlignment="1">
      <alignment horizontal="left"/>
    </xf>
    <xf numFmtId="0" fontId="2" fillId="0" borderId="372" xfId="0" quotePrefix="1" applyFont="1" applyBorder="1"/>
    <xf numFmtId="0" fontId="2" fillId="12" borderId="117" xfId="0" applyFont="1" applyFill="1" applyBorder="1" applyAlignment="1">
      <alignment horizontal="center"/>
    </xf>
    <xf numFmtId="0" fontId="10" fillId="13" borderId="373" xfId="0" applyFont="1" applyFill="1" applyBorder="1" applyAlignment="1">
      <alignment horizontal="center"/>
    </xf>
    <xf numFmtId="165" fontId="10" fillId="0" borderId="221" xfId="0" applyNumberFormat="1" applyFont="1" applyBorder="1"/>
    <xf numFmtId="1" fontId="30" fillId="0" borderId="173" xfId="0" applyNumberFormat="1" applyFont="1" applyBorder="1"/>
    <xf numFmtId="0" fontId="39" fillId="11" borderId="225" xfId="0" quotePrefix="1" applyFont="1" applyFill="1" applyBorder="1" applyAlignment="1">
      <alignment horizontal="center" shrinkToFit="1"/>
    </xf>
    <xf numFmtId="1" fontId="32" fillId="14" borderId="374" xfId="0" applyNumberFormat="1" applyFont="1" applyFill="1" applyBorder="1" applyAlignment="1">
      <alignment horizontal="center"/>
    </xf>
    <xf numFmtId="1" fontId="32" fillId="14" borderId="375" xfId="0" applyNumberFormat="1" applyFont="1" applyFill="1" applyBorder="1"/>
    <xf numFmtId="165" fontId="32" fillId="14" borderId="376" xfId="0" applyNumberFormat="1" applyFont="1" applyFill="1" applyBorder="1"/>
    <xf numFmtId="0" fontId="2" fillId="15" borderId="0" xfId="0" applyFont="1" applyFill="1" applyAlignment="1">
      <alignment horizontal="center"/>
    </xf>
    <xf numFmtId="0" fontId="2" fillId="4" borderId="133" xfId="0" applyFont="1" applyFill="1" applyBorder="1" applyAlignment="1">
      <alignment horizontal="center"/>
    </xf>
    <xf numFmtId="165" fontId="10" fillId="13" borderId="221" xfId="0" applyNumberFormat="1" applyFont="1" applyFill="1" applyBorder="1"/>
    <xf numFmtId="1" fontId="30" fillId="0" borderId="377" xfId="0" applyNumberFormat="1" applyFont="1" applyBorder="1"/>
    <xf numFmtId="0" fontId="26" fillId="0" borderId="378" xfId="0" applyFont="1" applyBorder="1"/>
    <xf numFmtId="1" fontId="1" fillId="14" borderId="0" xfId="0" applyNumberFormat="1" applyFont="1" applyFill="1" applyAlignment="1">
      <alignment horizontal="center"/>
    </xf>
    <xf numFmtId="1" fontId="26" fillId="0" borderId="379" xfId="0" applyNumberFormat="1" applyFont="1" applyBorder="1" applyAlignment="1">
      <alignment horizontal="center"/>
    </xf>
    <xf numFmtId="1" fontId="30" fillId="2" borderId="375" xfId="0" applyNumberFormat="1" applyFont="1" applyFill="1" applyBorder="1"/>
    <xf numFmtId="165" fontId="30" fillId="2" borderId="376" xfId="0" applyNumberFormat="1" applyFont="1" applyFill="1" applyBorder="1"/>
    <xf numFmtId="0" fontId="2" fillId="9" borderId="167" xfId="0" applyFont="1" applyFill="1" applyBorder="1" applyAlignment="1">
      <alignment horizontal="center"/>
    </xf>
    <xf numFmtId="1" fontId="16" fillId="4" borderId="168" xfId="0" applyNumberFormat="1" applyFont="1" applyFill="1" applyBorder="1" applyAlignment="1">
      <alignment horizontal="center"/>
    </xf>
    <xf numFmtId="1" fontId="26" fillId="12" borderId="218" xfId="0" applyNumberFormat="1" applyFont="1" applyFill="1" applyBorder="1" applyAlignment="1">
      <alignment horizontal="center"/>
    </xf>
    <xf numFmtId="1" fontId="26" fillId="0" borderId="218" xfId="0" applyNumberFormat="1" applyFont="1" applyBorder="1" applyAlignment="1">
      <alignment horizontal="center"/>
    </xf>
    <xf numFmtId="1" fontId="10" fillId="13" borderId="375" xfId="0" applyNumberFormat="1" applyFont="1" applyFill="1" applyBorder="1"/>
    <xf numFmtId="165" fontId="10" fillId="13" borderId="376" xfId="0" applyNumberFormat="1" applyFont="1" applyFill="1" applyBorder="1"/>
    <xf numFmtId="3" fontId="16" fillId="0" borderId="0" xfId="0" applyNumberFormat="1" applyFont="1" applyAlignment="1">
      <alignment horizontal="center"/>
    </xf>
    <xf numFmtId="1" fontId="26" fillId="12" borderId="371" xfId="0" applyNumberFormat="1" applyFont="1" applyFill="1" applyBorder="1" applyAlignment="1">
      <alignment horizontal="center"/>
    </xf>
    <xf numFmtId="1" fontId="10" fillId="13" borderId="383" xfId="0" applyNumberFormat="1" applyFont="1" applyFill="1" applyBorder="1"/>
    <xf numFmtId="165" fontId="10" fillId="13" borderId="384" xfId="0" applyNumberFormat="1" applyFont="1" applyFill="1" applyBorder="1"/>
    <xf numFmtId="1" fontId="30" fillId="0" borderId="385" xfId="0" applyNumberFormat="1" applyFont="1" applyBorder="1"/>
    <xf numFmtId="165" fontId="30" fillId="0" borderId="386" xfId="0" applyNumberFormat="1" applyFont="1" applyBorder="1"/>
    <xf numFmtId="0" fontId="26" fillId="0" borderId="387" xfId="0" applyFont="1" applyBorder="1"/>
    <xf numFmtId="0" fontId="2" fillId="0" borderId="388" xfId="0" applyFont="1" applyBorder="1" applyAlignment="1">
      <alignment horizontal="center"/>
    </xf>
    <xf numFmtId="3" fontId="3" fillId="17" borderId="389" xfId="0" applyNumberFormat="1" applyFont="1" applyFill="1" applyBorder="1" applyAlignment="1">
      <alignment horizontal="center"/>
    </xf>
    <xf numFmtId="1" fontId="3" fillId="17" borderId="390" xfId="0" applyNumberFormat="1" applyFont="1" applyFill="1" applyBorder="1" applyAlignment="1">
      <alignment horizontal="center"/>
    </xf>
    <xf numFmtId="1" fontId="26" fillId="12" borderId="391" xfId="0" applyNumberFormat="1" applyFont="1" applyFill="1" applyBorder="1" applyAlignment="1">
      <alignment horizontal="center"/>
    </xf>
    <xf numFmtId="1" fontId="10" fillId="0" borderId="345" xfId="0" applyNumberFormat="1" applyFont="1" applyBorder="1"/>
    <xf numFmtId="165" fontId="10" fillId="0" borderId="326" xfId="0" applyNumberFormat="1" applyFont="1" applyBorder="1"/>
    <xf numFmtId="1" fontId="33" fillId="0" borderId="0" xfId="0" applyNumberFormat="1" applyFont="1" applyAlignment="1">
      <alignment horizontal="center"/>
    </xf>
    <xf numFmtId="1" fontId="10" fillId="0" borderId="0" xfId="0" applyNumberFormat="1" applyFont="1"/>
    <xf numFmtId="165" fontId="10" fillId="0" borderId="0" xfId="0" applyNumberFormat="1" applyFont="1"/>
    <xf numFmtId="0" fontId="26" fillId="0" borderId="0" xfId="0" applyFont="1"/>
    <xf numFmtId="0" fontId="16" fillId="13" borderId="393" xfId="0" applyFont="1" applyFill="1" applyBorder="1" applyAlignment="1">
      <alignment horizontal="center"/>
    </xf>
    <xf numFmtId="0" fontId="16" fillId="2" borderId="300" xfId="0" applyFont="1" applyFill="1" applyBorder="1" applyAlignment="1">
      <alignment horizontal="center"/>
    </xf>
    <xf numFmtId="1" fontId="2" fillId="13" borderId="394" xfId="0" applyNumberFormat="1" applyFont="1" applyFill="1" applyBorder="1" applyAlignment="1">
      <alignment horizontal="center"/>
    </xf>
    <xf numFmtId="0" fontId="4" fillId="0" borderId="31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2" fillId="0" borderId="395" xfId="0" applyFont="1" applyBorder="1"/>
    <xf numFmtId="0" fontId="2" fillId="0" borderId="15" xfId="0" applyFont="1" applyBorder="1"/>
    <xf numFmtId="0" fontId="2" fillId="0" borderId="132" xfId="0" applyFont="1" applyBorder="1" applyAlignment="1">
      <alignment vertical="center"/>
    </xf>
    <xf numFmtId="0" fontId="3" fillId="0" borderId="252" xfId="0" applyFont="1" applyBorder="1" applyAlignment="1">
      <alignment horizontal="center" vertical="center" wrapText="1"/>
    </xf>
    <xf numFmtId="0" fontId="3" fillId="0" borderId="353" xfId="0" applyFont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361" xfId="0" applyFont="1" applyBorder="1" applyAlignment="1">
      <alignment horizontal="center" vertical="center"/>
    </xf>
    <xf numFmtId="0" fontId="12" fillId="0" borderId="75" xfId="0" applyFont="1" applyBorder="1" applyAlignment="1">
      <alignment horizontal="right" vertical="center"/>
    </xf>
    <xf numFmtId="0" fontId="2" fillId="0" borderId="24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9" borderId="364" xfId="0" applyFont="1" applyFill="1" applyBorder="1" applyAlignment="1">
      <alignment horizontal="center" vertical="center"/>
    </xf>
    <xf numFmtId="0" fontId="2" fillId="9" borderId="366" xfId="0" applyFont="1" applyFill="1" applyBorder="1" applyAlignment="1">
      <alignment horizontal="center" vertical="center"/>
    </xf>
    <xf numFmtId="0" fontId="15" fillId="5" borderId="178" xfId="0" applyFont="1" applyFill="1" applyBorder="1" applyAlignment="1">
      <alignment horizontal="center" vertical="center"/>
    </xf>
    <xf numFmtId="0" fontId="15" fillId="5" borderId="280" xfId="0" applyFont="1" applyFill="1" applyBorder="1" applyAlignment="1">
      <alignment horizontal="center" vertical="center"/>
    </xf>
    <xf numFmtId="0" fontId="15" fillId="5" borderId="183" xfId="0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/>
    </xf>
    <xf numFmtId="0" fontId="2" fillId="6" borderId="79" xfId="0" applyFont="1" applyFill="1" applyBorder="1" applyAlignment="1">
      <alignment horizontal="center" vertical="center"/>
    </xf>
    <xf numFmtId="0" fontId="2" fillId="6" borderId="351" xfId="0" applyFont="1" applyFill="1" applyBorder="1" applyAlignment="1">
      <alignment horizontal="center" vertical="center"/>
    </xf>
    <xf numFmtId="0" fontId="2" fillId="6" borderId="354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6" fillId="6" borderId="355" xfId="0" applyFont="1" applyFill="1" applyBorder="1" applyAlignment="1">
      <alignment horizontal="center" vertical="center"/>
    </xf>
    <xf numFmtId="0" fontId="16" fillId="6" borderId="88" xfId="0" applyFont="1" applyFill="1" applyBorder="1" applyAlignment="1">
      <alignment horizontal="center" vertical="center"/>
    </xf>
    <xf numFmtId="0" fontId="16" fillId="6" borderId="76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0" borderId="340" xfId="0" applyFont="1" applyBorder="1" applyAlignment="1">
      <alignment horizontal="center" vertical="center"/>
    </xf>
    <xf numFmtId="0" fontId="3" fillId="0" borderId="341" xfId="0" applyFont="1" applyBorder="1" applyAlignment="1">
      <alignment horizontal="center" vertical="center"/>
    </xf>
    <xf numFmtId="0" fontId="36" fillId="3" borderId="14" xfId="0" quotePrefix="1" applyFont="1" applyFill="1" applyBorder="1" applyAlignment="1">
      <alignment horizontal="center" vertical="center" wrapText="1" shrinkToFit="1"/>
    </xf>
    <xf numFmtId="0" fontId="36" fillId="3" borderId="15" xfId="0" quotePrefix="1" applyFont="1" applyFill="1" applyBorder="1" applyAlignment="1">
      <alignment horizontal="center" vertical="center" wrapText="1" shrinkToFit="1"/>
    </xf>
    <xf numFmtId="0" fontId="36" fillId="3" borderId="367" xfId="0" quotePrefix="1" applyFont="1" applyFill="1" applyBorder="1" applyAlignment="1">
      <alignment horizontal="center" vertical="center" wrapText="1" shrinkToFit="1"/>
    </xf>
    <xf numFmtId="0" fontId="36" fillId="3" borderId="361" xfId="0" quotePrefix="1" applyFont="1" applyFill="1" applyBorder="1" applyAlignment="1">
      <alignment horizontal="center" vertical="center" wrapText="1" shrinkToFit="1"/>
    </xf>
    <xf numFmtId="0" fontId="36" fillId="3" borderId="0" xfId="0" quotePrefix="1" applyFont="1" applyFill="1" applyAlignment="1">
      <alignment horizontal="center" vertical="center" wrapText="1" shrinkToFit="1"/>
    </xf>
    <xf numFmtId="0" fontId="36" fillId="3" borderId="370" xfId="0" quotePrefix="1" applyFont="1" applyFill="1" applyBorder="1" applyAlignment="1">
      <alignment horizontal="center" vertical="center" wrapText="1" shrinkToFit="1"/>
    </xf>
    <xf numFmtId="0" fontId="36" fillId="3" borderId="380" xfId="0" quotePrefix="1" applyFont="1" applyFill="1" applyBorder="1" applyAlignment="1">
      <alignment horizontal="center" vertical="center" wrapText="1" shrinkToFit="1"/>
    </xf>
    <xf numFmtId="0" fontId="36" fillId="3" borderId="381" xfId="0" quotePrefix="1" applyFont="1" applyFill="1" applyBorder="1" applyAlignment="1">
      <alignment horizontal="center" vertical="center" wrapText="1" shrinkToFit="1"/>
    </xf>
    <xf numFmtId="0" fontId="36" fillId="3" borderId="382" xfId="0" quotePrefix="1" applyFont="1" applyFill="1" applyBorder="1" applyAlignment="1">
      <alignment horizontal="center" vertical="center" wrapText="1" shrinkToFit="1"/>
    </xf>
    <xf numFmtId="0" fontId="15" fillId="5" borderId="0" xfId="0" applyFont="1" applyFill="1" applyAlignment="1">
      <alignment horizontal="center" vertical="center"/>
    </xf>
    <xf numFmtId="0" fontId="15" fillId="5" borderId="243" xfId="0" applyFont="1" applyFill="1" applyBorder="1" applyAlignment="1">
      <alignment horizontal="center" vertical="center"/>
    </xf>
    <xf numFmtId="0" fontId="3" fillId="0" borderId="223" xfId="0" applyFont="1" applyBorder="1" applyAlignment="1">
      <alignment horizontal="center" vertical="center"/>
    </xf>
    <xf numFmtId="0" fontId="3" fillId="0" borderId="224" xfId="0" applyFont="1" applyBorder="1" applyAlignment="1">
      <alignment horizontal="center" vertical="center"/>
    </xf>
    <xf numFmtId="0" fontId="3" fillId="2" borderId="318" xfId="0" applyFont="1" applyFill="1" applyBorder="1" applyAlignment="1">
      <alignment horizontal="center"/>
    </xf>
    <xf numFmtId="0" fontId="3" fillId="2" borderId="392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67" xfId="0" applyFont="1" applyBorder="1" applyAlignment="1">
      <alignment horizontal="center" vertical="center" wrapText="1"/>
    </xf>
    <xf numFmtId="0" fontId="15" fillId="0" borderId="36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70" xfId="0" applyFont="1" applyBorder="1" applyAlignment="1">
      <alignment horizontal="center" vertical="center" wrapText="1"/>
    </xf>
    <xf numFmtId="0" fontId="15" fillId="0" borderId="380" xfId="0" applyFont="1" applyBorder="1" applyAlignment="1">
      <alignment horizontal="center" vertical="center" wrapText="1"/>
    </xf>
    <xf numFmtId="0" fontId="15" fillId="0" borderId="381" xfId="0" applyFont="1" applyBorder="1" applyAlignment="1">
      <alignment horizontal="center" vertical="center" wrapText="1"/>
    </xf>
    <xf numFmtId="0" fontId="15" fillId="0" borderId="382" xfId="0" applyFont="1" applyBorder="1" applyAlignment="1">
      <alignment horizontal="center" vertical="center" wrapText="1"/>
    </xf>
    <xf numFmtId="0" fontId="12" fillId="0" borderId="48" xfId="0" applyFont="1" applyBorder="1" applyAlignment="1" applyProtection="1">
      <alignment horizontal="right" vertical="center"/>
      <protection locked="0"/>
    </xf>
    <xf numFmtId="0" fontId="2" fillId="0" borderId="88" xfId="0" applyFont="1" applyBorder="1" applyAlignment="1">
      <alignment horizontal="center" vertical="center"/>
    </xf>
    <xf numFmtId="0" fontId="12" fillId="0" borderId="48" xfId="0" applyFont="1" applyBorder="1" applyAlignment="1">
      <alignment horizontal="right" vertical="center"/>
    </xf>
    <xf numFmtId="0" fontId="16" fillId="0" borderId="67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5" fillId="5" borderId="238" xfId="0" applyFont="1" applyFill="1" applyBorder="1" applyAlignment="1">
      <alignment horizontal="center" vertical="center"/>
    </xf>
    <xf numFmtId="0" fontId="15" fillId="5" borderId="132" xfId="0" applyFont="1" applyFill="1" applyBorder="1" applyAlignment="1">
      <alignment horizontal="center" vertical="center"/>
    </xf>
    <xf numFmtId="0" fontId="12" fillId="0" borderId="75" xfId="0" applyFont="1" applyBorder="1" applyAlignment="1" applyProtection="1">
      <alignment horizontal="right" vertical="center"/>
      <protection locked="0"/>
    </xf>
    <xf numFmtId="0" fontId="30" fillId="0" borderId="88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2" fillId="9" borderId="58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" fillId="6" borderId="88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15" fillId="5" borderId="334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0" fontId="2" fillId="9" borderId="92" xfId="0" applyFont="1" applyFill="1" applyBorder="1" applyAlignment="1">
      <alignment horizontal="center" vertical="center"/>
    </xf>
    <xf numFmtId="0" fontId="2" fillId="9" borderId="350" xfId="0" applyFont="1" applyFill="1" applyBorder="1" applyAlignment="1">
      <alignment horizontal="center" vertical="center"/>
    </xf>
    <xf numFmtId="0" fontId="2" fillId="9" borderId="103" xfId="0" applyFont="1" applyFill="1" applyBorder="1" applyAlignment="1">
      <alignment horizontal="center" vertical="center"/>
    </xf>
    <xf numFmtId="0" fontId="3" fillId="2" borderId="345" xfId="0" applyFont="1" applyFill="1" applyBorder="1" applyAlignment="1">
      <alignment horizontal="center"/>
    </xf>
    <xf numFmtId="0" fontId="3" fillId="2" borderId="346" xfId="0" applyFont="1" applyFill="1" applyBorder="1" applyAlignment="1">
      <alignment horizontal="center"/>
    </xf>
    <xf numFmtId="0" fontId="16" fillId="2" borderId="328" xfId="0" applyFont="1" applyFill="1" applyBorder="1" applyAlignment="1">
      <alignment horizontal="center" vertical="center"/>
    </xf>
    <xf numFmtId="0" fontId="16" fillId="2" borderId="242" xfId="0" applyFont="1" applyFill="1" applyBorder="1" applyAlignment="1">
      <alignment horizontal="center" vertical="center"/>
    </xf>
    <xf numFmtId="0" fontId="30" fillId="0" borderId="329" xfId="0" applyFont="1" applyBorder="1" applyAlignment="1">
      <alignment horizontal="center" vertical="center"/>
    </xf>
    <xf numFmtId="0" fontId="16" fillId="0" borderId="329" xfId="0" applyFont="1" applyBorder="1" applyAlignment="1">
      <alignment horizontal="center" vertical="center"/>
    </xf>
    <xf numFmtId="0" fontId="2" fillId="0" borderId="331" xfId="0" applyFont="1" applyBorder="1" applyAlignment="1">
      <alignment horizontal="center" vertical="center"/>
    </xf>
    <xf numFmtId="0" fontId="2" fillId="0" borderId="323" xfId="0" applyFont="1" applyBorder="1" applyAlignment="1">
      <alignment horizontal="center" vertical="center"/>
    </xf>
    <xf numFmtId="0" fontId="2" fillId="9" borderId="66" xfId="0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0" fontId="2" fillId="6" borderId="160" xfId="0" applyFont="1" applyFill="1" applyBorder="1" applyAlignment="1">
      <alignment horizontal="center" vertical="center"/>
    </xf>
    <xf numFmtId="0" fontId="16" fillId="2" borderId="240" xfId="0" applyFont="1" applyFill="1" applyBorder="1" applyAlignment="1">
      <alignment horizontal="center" vertical="center"/>
    </xf>
    <xf numFmtId="0" fontId="2" fillId="6" borderId="325" xfId="0" applyFont="1" applyFill="1" applyBorder="1" applyAlignment="1">
      <alignment horizontal="center" vertical="center"/>
    </xf>
    <xf numFmtId="0" fontId="2" fillId="0" borderId="241" xfId="0" applyFont="1" applyBorder="1" applyAlignment="1">
      <alignment horizontal="center" vertical="center"/>
    </xf>
    <xf numFmtId="0" fontId="2" fillId="9" borderId="327" xfId="0" applyFont="1" applyFill="1" applyBorder="1" applyAlignment="1">
      <alignment horizontal="center" vertical="center"/>
    </xf>
    <xf numFmtId="0" fontId="2" fillId="9" borderId="3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6" fillId="2" borderId="314" xfId="0" applyFont="1" applyFill="1" applyBorder="1" applyAlignment="1">
      <alignment horizontal="center" vertical="center"/>
    </xf>
    <xf numFmtId="0" fontId="16" fillId="2" borderId="317" xfId="0" applyFont="1" applyFill="1" applyBorder="1" applyAlignment="1">
      <alignment horizontal="center" vertical="center"/>
    </xf>
    <xf numFmtId="0" fontId="2" fillId="9" borderId="316" xfId="0" applyFont="1" applyFill="1" applyBorder="1" applyAlignment="1">
      <alignment horizontal="center" vertical="center"/>
    </xf>
    <xf numFmtId="0" fontId="2" fillId="9" borderId="320" xfId="0" applyFont="1" applyFill="1" applyBorder="1" applyAlignment="1">
      <alignment horizontal="center" vertical="center"/>
    </xf>
    <xf numFmtId="0" fontId="3" fillId="2" borderId="319" xfId="0" applyFont="1" applyFill="1" applyBorder="1" applyAlignment="1">
      <alignment horizontal="center"/>
    </xf>
    <xf numFmtId="0" fontId="5" fillId="3" borderId="34" xfId="0" quotePrefix="1" applyFont="1" applyFill="1" applyBorder="1" applyAlignment="1">
      <alignment horizontal="center" shrinkToFit="1"/>
    </xf>
    <xf numFmtId="0" fontId="5" fillId="3" borderId="35" xfId="0" quotePrefix="1" applyFont="1" applyFill="1" applyBorder="1" applyAlignment="1">
      <alignment horizontal="center" shrinkToFit="1"/>
    </xf>
    <xf numFmtId="0" fontId="5" fillId="3" borderId="36" xfId="0" quotePrefix="1" applyFont="1" applyFill="1" applyBorder="1" applyAlignment="1">
      <alignment horizontal="center" shrinkToFit="1"/>
    </xf>
    <xf numFmtId="0" fontId="9" fillId="0" borderId="0" xfId="0" quotePrefix="1" applyFont="1" applyAlignment="1">
      <alignment horizontal="center" shrinkToFit="1"/>
    </xf>
    <xf numFmtId="0" fontId="2" fillId="0" borderId="32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5" fillId="5" borderId="264" xfId="0" applyFont="1" applyFill="1" applyBorder="1" applyAlignment="1">
      <alignment horizontal="center" vertical="center"/>
    </xf>
    <xf numFmtId="0" fontId="15" fillId="5" borderId="259" xfId="0" applyFont="1" applyFill="1" applyBorder="1" applyAlignment="1">
      <alignment horizontal="center" vertical="center"/>
    </xf>
    <xf numFmtId="0" fontId="15" fillId="5" borderId="28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224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2" fillId="9" borderId="257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6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9" borderId="247" xfId="0" applyFont="1" applyFill="1" applyBorder="1" applyAlignment="1">
      <alignment horizontal="center" vertical="center"/>
    </xf>
    <xf numFmtId="0" fontId="2" fillId="9" borderId="249" xfId="0" applyFont="1" applyFill="1" applyBorder="1" applyAlignment="1">
      <alignment horizontal="center" vertical="center"/>
    </xf>
    <xf numFmtId="0" fontId="30" fillId="6" borderId="67" xfId="0" applyFont="1" applyFill="1" applyBorder="1" applyAlignment="1">
      <alignment horizontal="center" vertical="center"/>
    </xf>
    <xf numFmtId="0" fontId="30" fillId="6" borderId="76" xfId="0" applyFont="1" applyFill="1" applyBorder="1" applyAlignment="1">
      <alignment horizontal="center" vertical="center"/>
    </xf>
    <xf numFmtId="0" fontId="16" fillId="6" borderId="67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9" borderId="84" xfId="0" applyFont="1" applyFill="1" applyBorder="1" applyAlignment="1">
      <alignment horizontal="center" vertical="center"/>
    </xf>
    <xf numFmtId="0" fontId="2" fillId="9" borderId="100" xfId="0" applyFont="1" applyFill="1" applyBorder="1" applyAlignment="1">
      <alignment horizontal="center" vertical="center"/>
    </xf>
    <xf numFmtId="0" fontId="2" fillId="6" borderId="110" xfId="0" applyFont="1" applyFill="1" applyBorder="1" applyAlignment="1">
      <alignment horizontal="center" vertical="center"/>
    </xf>
    <xf numFmtId="0" fontId="2" fillId="0" borderId="244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30" fillId="0" borderId="245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" fillId="6" borderId="71" xfId="0" applyFont="1" applyFill="1" applyBorder="1" applyAlignment="1">
      <alignment horizontal="center" vertical="center"/>
    </xf>
    <xf numFmtId="0" fontId="9" fillId="0" borderId="22" xfId="0" quotePrefix="1" applyFont="1" applyBorder="1" applyAlignment="1">
      <alignment horizontal="center" shrinkToFit="1"/>
    </xf>
    <xf numFmtId="0" fontId="2" fillId="9" borderId="55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30" fillId="6" borderId="88" xfId="0" applyFont="1" applyFill="1" applyBorder="1" applyAlignment="1">
      <alignment horizontal="center" vertical="center"/>
    </xf>
    <xf numFmtId="0" fontId="30" fillId="2" borderId="240" xfId="0" applyFont="1" applyFill="1" applyBorder="1" applyAlignment="1">
      <alignment horizontal="center" vertical="center"/>
    </xf>
    <xf numFmtId="0" fontId="30" fillId="2" borderId="242" xfId="0" applyFont="1" applyFill="1" applyBorder="1" applyAlignment="1">
      <alignment horizontal="center" vertical="center"/>
    </xf>
    <xf numFmtId="0" fontId="2" fillId="9" borderId="241" xfId="0" applyFont="1" applyFill="1" applyBorder="1" applyAlignment="1">
      <alignment horizontal="center" vertical="center"/>
    </xf>
    <xf numFmtId="0" fontId="15" fillId="5" borderId="137" xfId="0" applyFont="1" applyFill="1" applyBorder="1" applyAlignment="1">
      <alignment horizontal="center" vertical="center"/>
    </xf>
    <xf numFmtId="0" fontId="3" fillId="0" borderId="222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223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5" fillId="5" borderId="120" xfId="0" applyFont="1" applyFill="1" applyBorder="1" applyAlignment="1">
      <alignment horizontal="center" vertical="center"/>
    </xf>
    <xf numFmtId="0" fontId="15" fillId="5" borderId="131" xfId="0" applyFont="1" applyFill="1" applyBorder="1" applyAlignment="1">
      <alignment horizontal="center" vertical="center"/>
    </xf>
    <xf numFmtId="0" fontId="2" fillId="0" borderId="127" xfId="0" applyFont="1" applyBorder="1" applyAlignment="1">
      <alignment horizontal="center"/>
    </xf>
    <xf numFmtId="0" fontId="2" fillId="0" borderId="128" xfId="0" applyFont="1" applyBorder="1" applyAlignment="1">
      <alignment horizontal="center"/>
    </xf>
    <xf numFmtId="164" fontId="2" fillId="9" borderId="129" xfId="0" applyNumberFormat="1" applyFont="1" applyFill="1" applyBorder="1" applyAlignment="1">
      <alignment horizontal="center" vertical="center"/>
    </xf>
    <xf numFmtId="164" fontId="2" fillId="9" borderId="144" xfId="0" applyNumberFormat="1" applyFont="1" applyFill="1" applyBorder="1" applyAlignment="1">
      <alignment horizontal="center" vertical="center"/>
    </xf>
    <xf numFmtId="164" fontId="2" fillId="0" borderId="80" xfId="0" applyNumberFormat="1" applyFont="1" applyBorder="1" applyAlignment="1">
      <alignment horizontal="center" vertical="center"/>
    </xf>
    <xf numFmtId="164" fontId="2" fillId="0" borderId="146" xfId="0" applyNumberFormat="1" applyFont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160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66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16" fillId="6" borderId="59" xfId="0" applyFont="1" applyFill="1" applyBorder="1" applyAlignment="1">
      <alignment horizontal="center" vertical="center"/>
    </xf>
    <xf numFmtId="0" fontId="16" fillId="6" borderId="77" xfId="0" applyFont="1" applyFill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164" fontId="2" fillId="9" borderId="92" xfId="0" applyNumberFormat="1" applyFont="1" applyFill="1" applyBorder="1" applyAlignment="1">
      <alignment horizontal="center" vertical="center"/>
    </xf>
    <xf numFmtId="164" fontId="2" fillId="9" borderId="66" xfId="0" applyNumberFormat="1" applyFont="1" applyFill="1" applyBorder="1" applyAlignment="1">
      <alignment horizontal="center" vertical="center"/>
    </xf>
    <xf numFmtId="164" fontId="2" fillId="8" borderId="92" xfId="0" applyNumberFormat="1" applyFont="1" applyFill="1" applyBorder="1" applyAlignment="1">
      <alignment horizontal="center" vertical="center"/>
    </xf>
    <xf numFmtId="164" fontId="2" fillId="8" borderId="66" xfId="0" applyNumberFormat="1" applyFont="1" applyFill="1" applyBorder="1" applyAlignment="1">
      <alignment horizontal="center" vertical="center"/>
    </xf>
    <xf numFmtId="164" fontId="2" fillId="9" borderId="87" xfId="0" applyNumberFormat="1" applyFont="1" applyFill="1" applyBorder="1" applyAlignment="1">
      <alignment horizontal="center" vertical="center"/>
    </xf>
    <xf numFmtId="164" fontId="2" fillId="9" borderId="75" xfId="0" applyNumberFormat="1" applyFont="1" applyFill="1" applyBorder="1" applyAlignment="1">
      <alignment horizontal="center" vertical="center"/>
    </xf>
    <xf numFmtId="164" fontId="2" fillId="0" borderId="58" xfId="0" applyNumberFormat="1" applyFont="1" applyBorder="1" applyAlignment="1">
      <alignment horizontal="center" vertical="center"/>
    </xf>
    <xf numFmtId="164" fontId="2" fillId="0" borderId="66" xfId="0" applyNumberFormat="1" applyFont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/>
    </xf>
    <xf numFmtId="0" fontId="2" fillId="8" borderId="103" xfId="0" applyFont="1" applyFill="1" applyBorder="1" applyAlignment="1">
      <alignment horizontal="center" vertical="center"/>
    </xf>
    <xf numFmtId="164" fontId="2" fillId="8" borderId="94" xfId="0" applyNumberFormat="1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2" fillId="0" borderId="44" xfId="0" applyFont="1" applyBorder="1" applyAlignment="1" applyProtection="1">
      <alignment horizontal="right" vertical="center"/>
      <protection locked="0"/>
    </xf>
    <xf numFmtId="0" fontId="30" fillId="0" borderId="67" xfId="0" applyFont="1" applyBorder="1" applyAlignment="1">
      <alignment horizontal="center" vertical="center"/>
    </xf>
    <xf numFmtId="0" fontId="30" fillId="6" borderId="83" xfId="0" applyFont="1" applyFill="1" applyBorder="1" applyAlignment="1">
      <alignment horizontal="center" vertical="center"/>
    </xf>
    <xf numFmtId="0" fontId="30" fillId="6" borderId="79" xfId="0" applyFont="1" applyFill="1" applyBorder="1" applyAlignment="1">
      <alignment horizontal="center" vertical="center"/>
    </xf>
    <xf numFmtId="164" fontId="2" fillId="8" borderId="87" xfId="0" applyNumberFormat="1" applyFont="1" applyFill="1" applyBorder="1" applyAlignment="1">
      <alignment horizontal="center" vertical="center"/>
    </xf>
    <xf numFmtId="164" fontId="2" fillId="8" borderId="75" xfId="0" applyNumberFormat="1" applyFont="1" applyFill="1" applyBorder="1" applyAlignment="1">
      <alignment horizontal="center" vertical="center"/>
    </xf>
    <xf numFmtId="164" fontId="2" fillId="0" borderId="87" xfId="0" applyNumberFormat="1" applyFont="1" applyBorder="1" applyAlignment="1">
      <alignment horizontal="center" vertical="center"/>
    </xf>
    <xf numFmtId="164" fontId="2" fillId="0" borderId="75" xfId="0" applyNumberFormat="1" applyFont="1" applyBorder="1" applyAlignment="1">
      <alignment horizontal="center" vertical="center"/>
    </xf>
    <xf numFmtId="0" fontId="2" fillId="9" borderId="90" xfId="0" applyFont="1" applyFill="1" applyBorder="1" applyAlignment="1">
      <alignment horizontal="center" vertical="center"/>
    </xf>
    <xf numFmtId="0" fontId="2" fillId="9" borderId="91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64" fontId="2" fillId="7" borderId="75" xfId="0" applyNumberFormat="1" applyFont="1" applyFill="1" applyBorder="1" applyAlignment="1">
      <alignment horizontal="center" vertical="center"/>
    </xf>
    <xf numFmtId="164" fontId="2" fillId="7" borderId="80" xfId="0" applyNumberFormat="1" applyFont="1" applyFill="1" applyBorder="1" applyAlignment="1">
      <alignment horizontal="center" vertical="center"/>
    </xf>
    <xf numFmtId="164" fontId="2" fillId="8" borderId="80" xfId="0" applyNumberFormat="1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8" borderId="90" xfId="0" applyFont="1" applyFill="1" applyBorder="1" applyAlignment="1">
      <alignment horizontal="center" vertical="center"/>
    </xf>
    <xf numFmtId="0" fontId="2" fillId="8" borderId="91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5" fillId="3" borderId="6" xfId="0" quotePrefix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164" fontId="2" fillId="7" borderId="55" xfId="0" applyNumberFormat="1" applyFont="1" applyFill="1" applyBorder="1" applyAlignment="1">
      <alignment horizontal="center" vertical="center"/>
    </xf>
    <xf numFmtId="164" fontId="2" fillId="7" borderId="66" xfId="0" applyNumberFormat="1" applyFont="1" applyFill="1" applyBorder="1" applyAlignment="1">
      <alignment horizontal="center" vertical="center"/>
    </xf>
    <xf numFmtId="0" fontId="2" fillId="8" borderId="62" xfId="0" applyFont="1" applyFill="1" applyBorder="1" applyAlignment="1">
      <alignment horizontal="center" vertical="center"/>
    </xf>
    <xf numFmtId="0" fontId="2" fillId="8" borderId="72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164" fontId="2" fillId="6" borderId="39" xfId="0" applyNumberFormat="1" applyFont="1" applyFill="1" applyBorder="1" applyAlignment="1">
      <alignment horizontal="center" vertical="center"/>
    </xf>
    <xf numFmtId="164" fontId="2" fillId="6" borderId="47" xfId="0" applyNumberFormat="1" applyFont="1" applyFill="1" applyBorder="1" applyAlignment="1">
      <alignment horizontal="center" vertical="center"/>
    </xf>
    <xf numFmtId="164" fontId="2" fillId="8" borderId="39" xfId="0" applyNumberFormat="1" applyFont="1" applyFill="1" applyBorder="1" applyAlignment="1">
      <alignment horizontal="center" vertical="center"/>
    </xf>
    <xf numFmtId="164" fontId="2" fillId="8" borderId="47" xfId="0" applyNumberFormat="1" applyFont="1" applyFill="1" applyBorder="1" applyAlignment="1">
      <alignment horizontal="center" vertical="center"/>
    </xf>
    <xf numFmtId="0" fontId="16" fillId="6" borderId="69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shrinkToFit="1"/>
    </xf>
    <xf numFmtId="0" fontId="3" fillId="2" borderId="123" xfId="0" applyFont="1" applyFill="1" applyBorder="1" applyAlignment="1">
      <alignment horizontal="center"/>
    </xf>
    <xf numFmtId="0" fontId="2" fillId="0" borderId="170" xfId="0" applyFont="1" applyBorder="1" applyAlignment="1">
      <alignment horizontal="center"/>
    </xf>
    <xf numFmtId="0" fontId="8" fillId="0" borderId="74" xfId="0" applyFont="1" applyBorder="1" applyAlignment="1">
      <alignment horizontal="center" vertical="center"/>
    </xf>
    <xf numFmtId="14" fontId="33" fillId="0" borderId="85" xfId="0" applyNumberFormat="1" applyFont="1" applyBorder="1" applyAlignment="1">
      <alignment horizontal="center" vertical="center" shrinkToFit="1"/>
    </xf>
    <xf numFmtId="165" fontId="32" fillId="14" borderId="197" xfId="0" applyNumberFormat="1" applyFont="1" applyFill="1" applyBorder="1"/>
    <xf numFmtId="165" fontId="30" fillId="2" borderId="197" xfId="0" applyNumberFormat="1" applyFont="1" applyFill="1" applyBorder="1"/>
    <xf numFmtId="44" fontId="40" fillId="0" borderId="0" xfId="0" applyNumberFormat="1" applyFont="1" applyFill="1" applyBorder="1" applyAlignment="1">
      <alignment horizontal="center" vertical="center"/>
    </xf>
    <xf numFmtId="14" fontId="41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4" fontId="42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shrinkToFit="1"/>
    </xf>
    <xf numFmtId="0" fontId="11" fillId="4" borderId="13" xfId="0" applyFont="1" applyFill="1" applyBorder="1" applyAlignment="1" applyProtection="1">
      <alignment horizontal="center"/>
    </xf>
    <xf numFmtId="0" fontId="11" fillId="4" borderId="24" xfId="0" applyFont="1" applyFill="1" applyBorder="1" applyAlignment="1" applyProtection="1">
      <alignment horizontal="center"/>
    </xf>
    <xf numFmtId="0" fontId="30" fillId="0" borderId="26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310585</xdr:colOff>
      <xdr:row>3</xdr:row>
      <xdr:rowOff>161632</xdr:rowOff>
    </xdr:from>
    <xdr:to>
      <xdr:col>2</xdr:col>
      <xdr:colOff>319423</xdr:colOff>
      <xdr:row>12</xdr:row>
      <xdr:rowOff>183363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0DCE31E-AFAD-4710-920F-4B3F782C00FC}"/>
            </a:ext>
          </a:extLst>
        </xdr:cNvPr>
        <xdr:cNvCxnSpPr>
          <a:stCxn id="178" idx="0"/>
        </xdr:cNvCxnSpPr>
      </xdr:nvCxnSpPr>
      <xdr:spPr>
        <a:xfrm flipH="1">
          <a:off x="1506925" y="755992"/>
          <a:ext cx="8838" cy="180481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269858</xdr:colOff>
      <xdr:row>10</xdr:row>
      <xdr:rowOff>147237</xdr:rowOff>
    </xdr:from>
    <xdr:to>
      <xdr:col>2</xdr:col>
      <xdr:colOff>359505</xdr:colOff>
      <xdr:row>11</xdr:row>
      <xdr:rowOff>68049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5FC4025F-884B-414F-8E34-08108A4A2ACF}"/>
            </a:ext>
          </a:extLst>
        </xdr:cNvPr>
        <xdr:cNvSpPr/>
      </xdr:nvSpPr>
      <xdr:spPr>
        <a:xfrm>
          <a:off x="1466198" y="212843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311714</xdr:colOff>
      <xdr:row>37</xdr:row>
      <xdr:rowOff>121920</xdr:rowOff>
    </xdr:from>
    <xdr:to>
      <xdr:col>2</xdr:col>
      <xdr:colOff>312420</xdr:colOff>
      <xdr:row>44</xdr:row>
      <xdr:rowOff>150324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E99652E-7B78-4268-8747-1FD1DBE1A6F1}"/>
            </a:ext>
          </a:extLst>
        </xdr:cNvPr>
        <xdr:cNvCxnSpPr>
          <a:stCxn id="50" idx="0"/>
          <a:endCxn id="67" idx="1"/>
        </xdr:cNvCxnSpPr>
      </xdr:nvCxnSpPr>
      <xdr:spPr>
        <a:xfrm flipH="1">
          <a:off x="1508054" y="7452360"/>
          <a:ext cx="706" cy="141524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356347</xdr:colOff>
      <xdr:row>42</xdr:row>
      <xdr:rowOff>195743</xdr:rowOff>
    </xdr:from>
    <xdr:to>
      <xdr:col>2</xdr:col>
      <xdr:colOff>475376</xdr:colOff>
      <xdr:row>42</xdr:row>
      <xdr:rowOff>197186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11F634-7F1B-4472-B0EE-5DF0CFDAB7CB}"/>
            </a:ext>
          </a:extLst>
        </xdr:cNvPr>
        <xdr:cNvCxnSpPr>
          <a:cxnSpLocks/>
          <a:stCxn id="44" idx="3"/>
        </xdr:cNvCxnSpPr>
      </xdr:nvCxnSpPr>
      <xdr:spPr>
        <a:xfrm flipV="1">
          <a:off x="1552687" y="8516783"/>
          <a:ext cx="119029" cy="144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311714</xdr:colOff>
      <xdr:row>45</xdr:row>
      <xdr:rowOff>53770</xdr:rowOff>
    </xdr:from>
    <xdr:to>
      <xdr:col>2</xdr:col>
      <xdr:colOff>324416</xdr:colOff>
      <xdr:row>51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00367ED-912B-471C-B367-DDF215F38EB4}"/>
            </a:ext>
          </a:extLst>
        </xdr:cNvPr>
        <xdr:cNvCxnSpPr>
          <a:stCxn id="67" idx="2"/>
        </xdr:cNvCxnSpPr>
      </xdr:nvCxnSpPr>
      <xdr:spPr>
        <a:xfrm>
          <a:off x="1508054" y="8969170"/>
          <a:ext cx="12702" cy="113495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210780</xdr:colOff>
      <xdr:row>45</xdr:row>
      <xdr:rowOff>53743</xdr:rowOff>
    </xdr:from>
    <xdr:to>
      <xdr:col>2</xdr:col>
      <xdr:colOff>211667</xdr:colOff>
      <xdr:row>50</xdr:row>
      <xdr:rowOff>192425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2F1D535-AF26-430B-9C8B-58117B74A8F6}"/>
            </a:ext>
          </a:extLst>
        </xdr:cNvPr>
        <xdr:cNvCxnSpPr>
          <a:stCxn id="67" idx="3"/>
        </xdr:cNvCxnSpPr>
      </xdr:nvCxnSpPr>
      <xdr:spPr>
        <a:xfrm>
          <a:off x="1407120" y="8969143"/>
          <a:ext cx="887" cy="112928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366134</xdr:colOff>
      <xdr:row>49</xdr:row>
      <xdr:rowOff>0</xdr:rowOff>
    </xdr:from>
    <xdr:to>
      <xdr:col>2</xdr:col>
      <xdr:colOff>471880</xdr:colOff>
      <xdr:row>49</xdr:row>
      <xdr:rowOff>1067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3E7753A-13B2-43E7-86DE-D635217197BA}"/>
            </a:ext>
          </a:extLst>
        </xdr:cNvPr>
        <xdr:cNvCxnSpPr>
          <a:cxnSpLocks/>
          <a:stCxn id="10" idx="3"/>
        </xdr:cNvCxnSpPr>
      </xdr:nvCxnSpPr>
      <xdr:spPr>
        <a:xfrm flipV="1">
          <a:off x="1562474" y="9707880"/>
          <a:ext cx="105746" cy="106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272448</xdr:colOff>
      <xdr:row>46</xdr:row>
      <xdr:rowOff>140735</xdr:rowOff>
    </xdr:from>
    <xdr:to>
      <xdr:col>2</xdr:col>
      <xdr:colOff>362095</xdr:colOff>
      <xdr:row>47</xdr:row>
      <xdr:rowOff>61547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FDFDDBB8-4028-4C33-9936-55BBF5D27CB0}"/>
            </a:ext>
          </a:extLst>
        </xdr:cNvPr>
        <xdr:cNvSpPr/>
      </xdr:nvSpPr>
      <xdr:spPr>
        <a:xfrm>
          <a:off x="1468788" y="925425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276487</xdr:colOff>
      <xdr:row>48</xdr:row>
      <xdr:rowOff>140280</xdr:rowOff>
    </xdr:from>
    <xdr:to>
      <xdr:col>2</xdr:col>
      <xdr:colOff>366134</xdr:colOff>
      <xdr:row>49</xdr:row>
      <xdr:rowOff>61092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D2EC3080-5FD7-452D-B2C4-BA3C23FC837A}"/>
            </a:ext>
          </a:extLst>
        </xdr:cNvPr>
        <xdr:cNvSpPr/>
      </xdr:nvSpPr>
      <xdr:spPr>
        <a:xfrm>
          <a:off x="1472827" y="965004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210780</xdr:colOff>
      <xdr:row>41</xdr:row>
      <xdr:rowOff>56162</xdr:rowOff>
    </xdr:from>
    <xdr:to>
      <xdr:col>2</xdr:col>
      <xdr:colOff>214291</xdr:colOff>
      <xdr:row>44</xdr:row>
      <xdr:rowOff>150324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D094503-0822-46E6-9B99-46F997E0EADF}"/>
            </a:ext>
          </a:extLst>
        </xdr:cNvPr>
        <xdr:cNvCxnSpPr>
          <a:stCxn id="49" idx="3"/>
          <a:endCxn id="67" idx="0"/>
        </xdr:cNvCxnSpPr>
      </xdr:nvCxnSpPr>
      <xdr:spPr>
        <a:xfrm flipH="1">
          <a:off x="1407120" y="8179082"/>
          <a:ext cx="3511" cy="68852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13</xdr:row>
      <xdr:rowOff>0</xdr:rowOff>
    </xdr:from>
    <xdr:to>
      <xdr:col>2</xdr:col>
      <xdr:colOff>472440</xdr:colOff>
      <xdr:row>13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C63538F-2E7B-4D9B-8DB8-82CA5AFEE065}"/>
            </a:ext>
          </a:extLst>
        </xdr:cNvPr>
        <xdr:cNvCxnSpPr/>
      </xdr:nvCxnSpPr>
      <xdr:spPr>
        <a:xfrm>
          <a:off x="1470660" y="2575560"/>
          <a:ext cx="19812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319260</xdr:colOff>
      <xdr:row>13</xdr:row>
      <xdr:rowOff>53299</xdr:rowOff>
    </xdr:from>
    <xdr:to>
      <xdr:col>2</xdr:col>
      <xdr:colOff>327660</xdr:colOff>
      <xdr:row>19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651307FF-398B-4ADD-BBD9-2EE18E9D8D17}"/>
            </a:ext>
          </a:extLst>
        </xdr:cNvPr>
        <xdr:cNvCxnSpPr>
          <a:stCxn id="24" idx="2"/>
        </xdr:cNvCxnSpPr>
      </xdr:nvCxnSpPr>
      <xdr:spPr>
        <a:xfrm>
          <a:off x="1515600" y="2628859"/>
          <a:ext cx="8400" cy="113542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41</xdr:row>
      <xdr:rowOff>7620</xdr:rowOff>
    </xdr:from>
    <xdr:to>
      <xdr:col>2</xdr:col>
      <xdr:colOff>472440</xdr:colOff>
      <xdr:row>41</xdr:row>
      <xdr:rowOff>7620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AFA457F-56E4-4684-BEDF-DF2B15B1CF34}"/>
            </a:ext>
          </a:extLst>
        </xdr:cNvPr>
        <xdr:cNvCxnSpPr/>
      </xdr:nvCxnSpPr>
      <xdr:spPr>
        <a:xfrm>
          <a:off x="1501140" y="8130540"/>
          <a:ext cx="167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39</xdr:row>
      <xdr:rowOff>0</xdr:rowOff>
    </xdr:from>
    <xdr:to>
      <xdr:col>2</xdr:col>
      <xdr:colOff>480060</xdr:colOff>
      <xdr:row>39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47D94387-1C5D-4DFD-AA3B-777457EC0771}"/>
            </a:ext>
          </a:extLst>
        </xdr:cNvPr>
        <xdr:cNvCxnSpPr/>
      </xdr:nvCxnSpPr>
      <xdr:spPr>
        <a:xfrm>
          <a:off x="1508760" y="7726680"/>
          <a:ext cx="167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373827</xdr:colOff>
      <xdr:row>14</xdr:row>
      <xdr:rowOff>193614</xdr:rowOff>
    </xdr:from>
    <xdr:to>
      <xdr:col>2</xdr:col>
      <xdr:colOff>488058</xdr:colOff>
      <xdr:row>14</xdr:row>
      <xdr:rowOff>195223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414FA61-205B-40BA-9CE1-FC5D32543365}"/>
            </a:ext>
          </a:extLst>
        </xdr:cNvPr>
        <xdr:cNvCxnSpPr>
          <a:stCxn id="19" idx="3"/>
        </xdr:cNvCxnSpPr>
      </xdr:nvCxnSpPr>
      <xdr:spPr>
        <a:xfrm>
          <a:off x="1570167" y="2967294"/>
          <a:ext cx="114231" cy="16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373678</xdr:colOff>
      <xdr:row>16</xdr:row>
      <xdr:rowOff>198372</xdr:rowOff>
    </xdr:from>
    <xdr:to>
      <xdr:col>2</xdr:col>
      <xdr:colOff>494355</xdr:colOff>
      <xdr:row>17</xdr:row>
      <xdr:rowOff>3162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07DA2A6-B6A0-4B0E-8DB8-14D89CCA81A7}"/>
            </a:ext>
          </a:extLst>
        </xdr:cNvPr>
        <xdr:cNvCxnSpPr>
          <a:stCxn id="18" idx="3"/>
        </xdr:cNvCxnSpPr>
      </xdr:nvCxnSpPr>
      <xdr:spPr>
        <a:xfrm flipV="1">
          <a:off x="1570018" y="3368292"/>
          <a:ext cx="120677" cy="291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284031</xdr:colOff>
      <xdr:row>16</xdr:row>
      <xdr:rowOff>141942</xdr:rowOff>
    </xdr:from>
    <xdr:to>
      <xdr:col>2</xdr:col>
      <xdr:colOff>373678</xdr:colOff>
      <xdr:row>17</xdr:row>
      <xdr:rowOff>62754</xdr:rowOff>
    </xdr:to>
    <xdr:sp macro="" textlink="">
      <xdr:nvSpPr>
        <xdr:cNvPr id="18" name="Diamond 17">
          <a:extLst>
            <a:ext uri="{FF2B5EF4-FFF2-40B4-BE49-F238E27FC236}">
              <a16:creationId xmlns:a16="http://schemas.microsoft.com/office/drawing/2014/main" id="{EE7FD595-EBC8-46F0-A6FD-521DDB8086B4}"/>
            </a:ext>
          </a:extLst>
        </xdr:cNvPr>
        <xdr:cNvSpPr/>
      </xdr:nvSpPr>
      <xdr:spPr>
        <a:xfrm>
          <a:off x="1480371" y="331186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284180</xdr:colOff>
      <xdr:row>14</xdr:row>
      <xdr:rowOff>134022</xdr:rowOff>
    </xdr:from>
    <xdr:to>
      <xdr:col>2</xdr:col>
      <xdr:colOff>373827</xdr:colOff>
      <xdr:row>15</xdr:row>
      <xdr:rowOff>54834</xdr:rowOff>
    </xdr:to>
    <xdr:sp macro="" textlink="">
      <xdr:nvSpPr>
        <xdr:cNvPr id="19" name="Diamond 18">
          <a:extLst>
            <a:ext uri="{FF2B5EF4-FFF2-40B4-BE49-F238E27FC236}">
              <a16:creationId xmlns:a16="http://schemas.microsoft.com/office/drawing/2014/main" id="{E906C69A-1492-49A0-AE45-145B36BE395A}"/>
            </a:ext>
          </a:extLst>
        </xdr:cNvPr>
        <xdr:cNvSpPr/>
      </xdr:nvSpPr>
      <xdr:spPr>
        <a:xfrm>
          <a:off x="1480520" y="290770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9</xdr:row>
      <xdr:rowOff>7620</xdr:rowOff>
    </xdr:from>
    <xdr:to>
      <xdr:col>2</xdr:col>
      <xdr:colOff>487680</xdr:colOff>
      <xdr:row>9</xdr:row>
      <xdr:rowOff>7620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B8ADDF4B-5328-4A7E-86C5-C7C17E42475F}"/>
            </a:ext>
          </a:extLst>
        </xdr:cNvPr>
        <xdr:cNvCxnSpPr/>
      </xdr:nvCxnSpPr>
      <xdr:spPr>
        <a:xfrm>
          <a:off x="1501140" y="1790700"/>
          <a:ext cx="18288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7</xdr:row>
      <xdr:rowOff>0</xdr:rowOff>
    </xdr:from>
    <xdr:to>
      <xdr:col>2</xdr:col>
      <xdr:colOff>487680</xdr:colOff>
      <xdr:row>7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D1F0839E-BAA0-43E4-BEC6-7F920582ABA2}"/>
            </a:ext>
          </a:extLst>
        </xdr:cNvPr>
        <xdr:cNvCxnSpPr/>
      </xdr:nvCxnSpPr>
      <xdr:spPr>
        <a:xfrm>
          <a:off x="1508760" y="1386840"/>
          <a:ext cx="17526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359505</xdr:colOff>
      <xdr:row>11</xdr:row>
      <xdr:rowOff>7973</xdr:rowOff>
    </xdr:from>
    <xdr:to>
      <xdr:col>2</xdr:col>
      <xdr:colOff>479063</xdr:colOff>
      <xdr:row>11</xdr:row>
      <xdr:rowOff>9646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F45160F-A329-4AAE-89DB-38EAB41D323B}"/>
            </a:ext>
          </a:extLst>
        </xdr:cNvPr>
        <xdr:cNvCxnSpPr>
          <a:cxnSpLocks/>
          <a:stCxn id="3" idx="3"/>
        </xdr:cNvCxnSpPr>
      </xdr:nvCxnSpPr>
      <xdr:spPr>
        <a:xfrm>
          <a:off x="1555845" y="2187293"/>
          <a:ext cx="119558" cy="167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6</xdr:row>
      <xdr:rowOff>129540</xdr:rowOff>
    </xdr:from>
    <xdr:to>
      <xdr:col>2</xdr:col>
      <xdr:colOff>363967</xdr:colOff>
      <xdr:row>7</xdr:row>
      <xdr:rowOff>50352</xdr:rowOff>
    </xdr:to>
    <xdr:sp macro="" textlink="">
      <xdr:nvSpPr>
        <xdr:cNvPr id="23" name="Diamond 22">
          <a:extLst>
            <a:ext uri="{FF2B5EF4-FFF2-40B4-BE49-F238E27FC236}">
              <a16:creationId xmlns:a16="http://schemas.microsoft.com/office/drawing/2014/main" id="{47EE891E-5723-4EEA-A63A-BC6571B19E91}"/>
            </a:ext>
          </a:extLst>
        </xdr:cNvPr>
        <xdr:cNvSpPr/>
      </xdr:nvSpPr>
      <xdr:spPr>
        <a:xfrm>
          <a:off x="1470660" y="131826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171675</xdr:colOff>
      <xdr:row>12</xdr:row>
      <xdr:rowOff>104288</xdr:rowOff>
    </xdr:from>
    <xdr:to>
      <xdr:col>2</xdr:col>
      <xdr:colOff>365911</xdr:colOff>
      <xdr:row>13</xdr:row>
      <xdr:rowOff>99806</xdr:rowOff>
    </xdr:to>
    <xdr:sp macro="" textlink="">
      <xdr:nvSpPr>
        <xdr:cNvPr id="24" name="Multiplication Sign 23">
          <a:extLst>
            <a:ext uri="{FF2B5EF4-FFF2-40B4-BE49-F238E27FC236}">
              <a16:creationId xmlns:a16="http://schemas.microsoft.com/office/drawing/2014/main" id="{48E2EDC7-CD6F-475B-A403-B05DD79FF5F0}"/>
            </a:ext>
          </a:extLst>
        </xdr:cNvPr>
        <xdr:cNvSpPr/>
      </xdr:nvSpPr>
      <xdr:spPr>
        <a:xfrm>
          <a:off x="1368015" y="248172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218326</xdr:colOff>
      <xdr:row>13</xdr:row>
      <xdr:rowOff>53743</xdr:rowOff>
    </xdr:from>
    <xdr:to>
      <xdr:col>2</xdr:col>
      <xdr:colOff>223562</xdr:colOff>
      <xdr:row>18</xdr:row>
      <xdr:rowOff>192075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BF2F9EDB-B478-4473-AAE1-9E8C98AA3DD5}"/>
            </a:ext>
          </a:extLst>
        </xdr:cNvPr>
        <xdr:cNvCxnSpPr>
          <a:stCxn id="24" idx="3"/>
        </xdr:cNvCxnSpPr>
      </xdr:nvCxnSpPr>
      <xdr:spPr>
        <a:xfrm>
          <a:off x="1414666" y="2629303"/>
          <a:ext cx="5236" cy="112893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182880</xdr:colOff>
      <xdr:row>8</xdr:row>
      <xdr:rowOff>114300</xdr:rowOff>
    </xdr:from>
    <xdr:to>
      <xdr:col>2</xdr:col>
      <xdr:colOff>377116</xdr:colOff>
      <xdr:row>9</xdr:row>
      <xdr:rowOff>109818</xdr:rowOff>
    </xdr:to>
    <xdr:sp macro="" textlink="">
      <xdr:nvSpPr>
        <xdr:cNvPr id="26" name="Multiplication Sign 25">
          <a:extLst>
            <a:ext uri="{FF2B5EF4-FFF2-40B4-BE49-F238E27FC236}">
              <a16:creationId xmlns:a16="http://schemas.microsoft.com/office/drawing/2014/main" id="{28F7F0A1-FEF2-4A09-82ED-0337BE79686B}"/>
            </a:ext>
          </a:extLst>
        </xdr:cNvPr>
        <xdr:cNvSpPr/>
      </xdr:nvSpPr>
      <xdr:spPr>
        <a:xfrm>
          <a:off x="1379220" y="1699260"/>
          <a:ext cx="194236" cy="193638"/>
        </a:xfrm>
        <a:prstGeom prst="mathMultiply">
          <a:avLst/>
        </a:prstGeom>
        <a:solidFill>
          <a:srgbClr val="FFC000">
            <a:alpha val="98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218326</xdr:colOff>
      <xdr:row>9</xdr:row>
      <xdr:rowOff>63311</xdr:rowOff>
    </xdr:from>
    <xdr:to>
      <xdr:col>2</xdr:col>
      <xdr:colOff>229531</xdr:colOff>
      <xdr:row>12</xdr:row>
      <xdr:rowOff>150795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EC10319B-E7F9-4F2A-9C6E-F24071730416}"/>
            </a:ext>
          </a:extLst>
        </xdr:cNvPr>
        <xdr:cNvCxnSpPr>
          <a:stCxn id="26" idx="3"/>
          <a:endCxn id="24" idx="0"/>
        </xdr:cNvCxnSpPr>
      </xdr:nvCxnSpPr>
      <xdr:spPr>
        <a:xfrm flipH="1">
          <a:off x="1414666" y="1846391"/>
          <a:ext cx="11205" cy="681844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5</xdr:row>
      <xdr:rowOff>15240</xdr:rowOff>
    </xdr:from>
    <xdr:to>
      <xdr:col>2</xdr:col>
      <xdr:colOff>480060</xdr:colOff>
      <xdr:row>5</xdr:row>
      <xdr:rowOff>15240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BD8E4D02-BA5E-4926-B7E5-96DB36B5CC40}"/>
            </a:ext>
          </a:extLst>
        </xdr:cNvPr>
        <xdr:cNvCxnSpPr/>
      </xdr:nvCxnSpPr>
      <xdr:spPr>
        <a:xfrm>
          <a:off x="1508760" y="1005840"/>
          <a:ext cx="16764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182880</xdr:colOff>
      <xdr:row>4</xdr:row>
      <xdr:rowOff>114300</xdr:rowOff>
    </xdr:from>
    <xdr:to>
      <xdr:col>2</xdr:col>
      <xdr:colOff>377116</xdr:colOff>
      <xdr:row>5</xdr:row>
      <xdr:rowOff>109818</xdr:rowOff>
    </xdr:to>
    <xdr:sp macro="" textlink="">
      <xdr:nvSpPr>
        <xdr:cNvPr id="29" name="Multiplication Sign 28">
          <a:extLst>
            <a:ext uri="{FF2B5EF4-FFF2-40B4-BE49-F238E27FC236}">
              <a16:creationId xmlns:a16="http://schemas.microsoft.com/office/drawing/2014/main" id="{5F8A31C6-C5FA-4CE3-B748-DDD371CCC296}"/>
            </a:ext>
          </a:extLst>
        </xdr:cNvPr>
        <xdr:cNvSpPr/>
      </xdr:nvSpPr>
      <xdr:spPr>
        <a:xfrm>
          <a:off x="1379220" y="906780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229531</xdr:colOff>
      <xdr:row>5</xdr:row>
      <xdr:rowOff>63311</xdr:rowOff>
    </xdr:from>
    <xdr:to>
      <xdr:col>2</xdr:col>
      <xdr:colOff>229531</xdr:colOff>
      <xdr:row>8</xdr:row>
      <xdr:rowOff>160807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C4183969-CAB6-4648-AC6F-6C5A2423B82E}"/>
            </a:ext>
          </a:extLst>
        </xdr:cNvPr>
        <xdr:cNvCxnSpPr>
          <a:cxnSpLocks/>
          <a:stCxn id="29" idx="3"/>
          <a:endCxn id="26" idx="0"/>
        </xdr:cNvCxnSpPr>
      </xdr:nvCxnSpPr>
      <xdr:spPr>
        <a:xfrm>
          <a:off x="1425871" y="1053911"/>
          <a:ext cx="0" cy="691856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299003</xdr:colOff>
      <xdr:row>13</xdr:row>
      <xdr:rowOff>61328</xdr:rowOff>
    </xdr:from>
    <xdr:to>
      <xdr:col>10</xdr:col>
      <xdr:colOff>302115</xdr:colOff>
      <xdr:row>18</xdr:row>
      <xdr:rowOff>198052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71A4D797-3CB4-4840-B861-A9A066D91B18}"/>
            </a:ext>
          </a:extLst>
        </xdr:cNvPr>
        <xdr:cNvCxnSpPr>
          <a:cxnSpLocks/>
          <a:stCxn id="51" idx="2"/>
        </xdr:cNvCxnSpPr>
      </xdr:nvCxnSpPr>
      <xdr:spPr>
        <a:xfrm>
          <a:off x="6135923" y="2636888"/>
          <a:ext cx="3112" cy="112732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299003</xdr:colOff>
      <xdr:row>3</xdr:row>
      <xdr:rowOff>154363</xdr:rowOff>
    </xdr:from>
    <xdr:to>
      <xdr:col>10</xdr:col>
      <xdr:colOff>305553</xdr:colOff>
      <xdr:row>12</xdr:row>
      <xdr:rowOff>140516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98478F3D-FC9A-4B0B-9DC1-637726B4A965}"/>
            </a:ext>
          </a:extLst>
        </xdr:cNvPr>
        <xdr:cNvCxnSpPr>
          <a:cxnSpLocks/>
          <a:stCxn id="95" idx="0"/>
          <a:endCxn id="51" idx="0"/>
        </xdr:cNvCxnSpPr>
      </xdr:nvCxnSpPr>
      <xdr:spPr>
        <a:xfrm flipH="1">
          <a:off x="6135923" y="748723"/>
          <a:ext cx="6550" cy="176923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342709</xdr:colOff>
      <xdr:row>14</xdr:row>
      <xdr:rowOff>197718</xdr:rowOff>
    </xdr:from>
    <xdr:to>
      <xdr:col>10</xdr:col>
      <xdr:colOff>486740</xdr:colOff>
      <xdr:row>15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3EE874C9-B210-47E9-BC17-B54F5866C9D4}"/>
            </a:ext>
          </a:extLst>
        </xdr:cNvPr>
        <xdr:cNvCxnSpPr>
          <a:stCxn id="36" idx="3"/>
        </xdr:cNvCxnSpPr>
      </xdr:nvCxnSpPr>
      <xdr:spPr>
        <a:xfrm>
          <a:off x="6179629" y="2971398"/>
          <a:ext cx="144031" cy="40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346823</xdr:colOff>
      <xdr:row>17</xdr:row>
      <xdr:rowOff>13393</xdr:rowOff>
    </xdr:from>
    <xdr:to>
      <xdr:col>10</xdr:col>
      <xdr:colOff>486741</xdr:colOff>
      <xdr:row>17</xdr:row>
      <xdr:rowOff>13428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76443DEF-D518-4C59-964D-CD50323437D5}"/>
            </a:ext>
          </a:extLst>
        </xdr:cNvPr>
        <xdr:cNvCxnSpPr>
          <a:stCxn id="35" idx="3"/>
        </xdr:cNvCxnSpPr>
      </xdr:nvCxnSpPr>
      <xdr:spPr>
        <a:xfrm>
          <a:off x="6183743" y="3381433"/>
          <a:ext cx="139918" cy="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16</xdr:row>
      <xdr:rowOff>152013</xdr:rowOff>
    </xdr:from>
    <xdr:to>
      <xdr:col>10</xdr:col>
      <xdr:colOff>346823</xdr:colOff>
      <xdr:row>17</xdr:row>
      <xdr:rowOff>72825</xdr:rowOff>
    </xdr:to>
    <xdr:sp macro="" textlink="">
      <xdr:nvSpPr>
        <xdr:cNvPr id="35" name="Diamond 34">
          <a:extLst>
            <a:ext uri="{FF2B5EF4-FFF2-40B4-BE49-F238E27FC236}">
              <a16:creationId xmlns:a16="http://schemas.microsoft.com/office/drawing/2014/main" id="{33137907-E338-44BA-A5B6-9C7A84DB5BB0}"/>
            </a:ext>
          </a:extLst>
        </xdr:cNvPr>
        <xdr:cNvSpPr/>
      </xdr:nvSpPr>
      <xdr:spPr>
        <a:xfrm>
          <a:off x="6094096" y="33219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253062</xdr:colOff>
      <xdr:row>14</xdr:row>
      <xdr:rowOff>138285</xdr:rowOff>
    </xdr:from>
    <xdr:to>
      <xdr:col>10</xdr:col>
      <xdr:colOff>342709</xdr:colOff>
      <xdr:row>15</xdr:row>
      <xdr:rowOff>59097</xdr:rowOff>
    </xdr:to>
    <xdr:sp macro="" textlink="">
      <xdr:nvSpPr>
        <xdr:cNvPr id="36" name="Diamond 35">
          <a:extLst>
            <a:ext uri="{FF2B5EF4-FFF2-40B4-BE49-F238E27FC236}">
              <a16:creationId xmlns:a16="http://schemas.microsoft.com/office/drawing/2014/main" id="{1D6902F8-2DDF-4C05-966C-05A6FDB3E910}"/>
            </a:ext>
          </a:extLst>
        </xdr:cNvPr>
        <xdr:cNvSpPr/>
      </xdr:nvSpPr>
      <xdr:spPr>
        <a:xfrm>
          <a:off x="6089982" y="291196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255085</xdr:colOff>
      <xdr:row>10</xdr:row>
      <xdr:rowOff>138066</xdr:rowOff>
    </xdr:from>
    <xdr:to>
      <xdr:col>10</xdr:col>
      <xdr:colOff>344732</xdr:colOff>
      <xdr:row>11</xdr:row>
      <xdr:rowOff>58878</xdr:rowOff>
    </xdr:to>
    <xdr:sp macro="" textlink="">
      <xdr:nvSpPr>
        <xdr:cNvPr id="37" name="Diamond 36">
          <a:extLst>
            <a:ext uri="{FF2B5EF4-FFF2-40B4-BE49-F238E27FC236}">
              <a16:creationId xmlns:a16="http://schemas.microsoft.com/office/drawing/2014/main" id="{630394B2-4840-4FEF-8708-E6E2EAC0F35A}"/>
            </a:ext>
          </a:extLst>
        </xdr:cNvPr>
        <xdr:cNvSpPr/>
      </xdr:nvSpPr>
      <xdr:spPr>
        <a:xfrm>
          <a:off x="6092005" y="211926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347183</xdr:colOff>
      <xdr:row>9</xdr:row>
      <xdr:rowOff>353</xdr:rowOff>
    </xdr:from>
    <xdr:to>
      <xdr:col>10</xdr:col>
      <xdr:colOff>483384</xdr:colOff>
      <xdr:row>9</xdr:row>
      <xdr:rowOff>3357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C8DDE3C5-F3F6-402A-A420-3938F703AA19}"/>
            </a:ext>
          </a:extLst>
        </xdr:cNvPr>
        <xdr:cNvCxnSpPr>
          <a:stCxn id="52" idx="3"/>
        </xdr:cNvCxnSpPr>
      </xdr:nvCxnSpPr>
      <xdr:spPr>
        <a:xfrm>
          <a:off x="6184103" y="1783433"/>
          <a:ext cx="136201" cy="300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347183</xdr:colOff>
      <xdr:row>6</xdr:row>
      <xdr:rowOff>195686</xdr:rowOff>
    </xdr:from>
    <xdr:to>
      <xdr:col>10</xdr:col>
      <xdr:colOff>490097</xdr:colOff>
      <xdr:row>7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1C86D740-7720-4550-8E24-0E8AAD978EC4}"/>
            </a:ext>
          </a:extLst>
        </xdr:cNvPr>
        <xdr:cNvCxnSpPr>
          <a:stCxn id="41" idx="3"/>
        </xdr:cNvCxnSpPr>
      </xdr:nvCxnSpPr>
      <xdr:spPr>
        <a:xfrm>
          <a:off x="6184103" y="1384406"/>
          <a:ext cx="142914" cy="24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344732</xdr:colOff>
      <xdr:row>10</xdr:row>
      <xdr:rowOff>197498</xdr:rowOff>
    </xdr:from>
    <xdr:to>
      <xdr:col>10</xdr:col>
      <xdr:colOff>486740</xdr:colOff>
      <xdr:row>10</xdr:row>
      <xdr:rowOff>198052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E05E42DD-0373-4789-A163-1790272AC3D6}"/>
            </a:ext>
          </a:extLst>
        </xdr:cNvPr>
        <xdr:cNvCxnSpPr>
          <a:stCxn id="37" idx="3"/>
        </xdr:cNvCxnSpPr>
      </xdr:nvCxnSpPr>
      <xdr:spPr>
        <a:xfrm>
          <a:off x="6181652" y="2178698"/>
          <a:ext cx="142008" cy="55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257536</xdr:colOff>
      <xdr:row>6</xdr:row>
      <xdr:rowOff>136253</xdr:rowOff>
    </xdr:from>
    <xdr:to>
      <xdr:col>10</xdr:col>
      <xdr:colOff>347183</xdr:colOff>
      <xdr:row>7</xdr:row>
      <xdr:rowOff>57065</xdr:rowOff>
    </xdr:to>
    <xdr:sp macro="" textlink="">
      <xdr:nvSpPr>
        <xdr:cNvPr id="41" name="Diamond 40">
          <a:extLst>
            <a:ext uri="{FF2B5EF4-FFF2-40B4-BE49-F238E27FC236}">
              <a16:creationId xmlns:a16="http://schemas.microsoft.com/office/drawing/2014/main" id="{8B612FDD-69BB-446D-B1FD-E2F179A65607}"/>
            </a:ext>
          </a:extLst>
        </xdr:cNvPr>
        <xdr:cNvSpPr/>
      </xdr:nvSpPr>
      <xdr:spPr>
        <a:xfrm>
          <a:off x="6094456" y="132497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343826</xdr:colOff>
      <xdr:row>13</xdr:row>
      <xdr:rowOff>0</xdr:rowOff>
    </xdr:from>
    <xdr:to>
      <xdr:col>10</xdr:col>
      <xdr:colOff>478221</xdr:colOff>
      <xdr:row>13</xdr:row>
      <xdr:rowOff>1074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31E4BD93-CB99-4DD0-BCFE-8FD7A23AD69D}"/>
            </a:ext>
          </a:extLst>
        </xdr:cNvPr>
        <xdr:cNvCxnSpPr>
          <a:stCxn id="51" idx="3"/>
        </xdr:cNvCxnSpPr>
      </xdr:nvCxnSpPr>
      <xdr:spPr>
        <a:xfrm flipV="1">
          <a:off x="6180746" y="2575560"/>
          <a:ext cx="134395" cy="107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362095</xdr:colOff>
      <xdr:row>47</xdr:row>
      <xdr:rowOff>0</xdr:rowOff>
    </xdr:from>
    <xdr:to>
      <xdr:col>2</xdr:col>
      <xdr:colOff>471880</xdr:colOff>
      <xdr:row>47</xdr:row>
      <xdr:rowOff>1522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9E693C3F-FB9F-4D53-99DA-BFC997664F62}"/>
            </a:ext>
          </a:extLst>
        </xdr:cNvPr>
        <xdr:cNvCxnSpPr>
          <a:stCxn id="9" idx="3"/>
        </xdr:cNvCxnSpPr>
      </xdr:nvCxnSpPr>
      <xdr:spPr>
        <a:xfrm flipV="1">
          <a:off x="1558435" y="9311640"/>
          <a:ext cx="109785" cy="152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42</xdr:row>
      <xdr:rowOff>137160</xdr:rowOff>
    </xdr:from>
    <xdr:to>
      <xdr:col>2</xdr:col>
      <xdr:colOff>356347</xdr:colOff>
      <xdr:row>43</xdr:row>
      <xdr:rowOff>57972</xdr:rowOff>
    </xdr:to>
    <xdr:sp macro="" textlink="">
      <xdr:nvSpPr>
        <xdr:cNvPr id="44" name="Diamond 43">
          <a:extLst>
            <a:ext uri="{FF2B5EF4-FFF2-40B4-BE49-F238E27FC236}">
              <a16:creationId xmlns:a16="http://schemas.microsoft.com/office/drawing/2014/main" id="{BE510552-074B-4410-AA07-EB7EF8F73CA8}"/>
            </a:ext>
          </a:extLst>
        </xdr:cNvPr>
        <xdr:cNvSpPr/>
      </xdr:nvSpPr>
      <xdr:spPr>
        <a:xfrm>
          <a:off x="1463040" y="845820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41</xdr:row>
      <xdr:rowOff>6991</xdr:rowOff>
    </xdr:from>
    <xdr:to>
      <xdr:col>2</xdr:col>
      <xdr:colOff>482367</xdr:colOff>
      <xdr:row>41</xdr:row>
      <xdr:rowOff>7621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4C22AF0A-5ED7-422F-9452-8E4988F9E9E4}"/>
            </a:ext>
          </a:extLst>
        </xdr:cNvPr>
        <xdr:cNvCxnSpPr/>
      </xdr:nvCxnSpPr>
      <xdr:spPr>
        <a:xfrm flipV="1">
          <a:off x="1501140" y="8129911"/>
          <a:ext cx="177567" cy="63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356347</xdr:colOff>
      <xdr:row>38</xdr:row>
      <xdr:rowOff>195743</xdr:rowOff>
    </xdr:from>
    <xdr:to>
      <xdr:col>2</xdr:col>
      <xdr:colOff>468385</xdr:colOff>
      <xdr:row>38</xdr:row>
      <xdr:rowOff>197186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ACCB3A42-3D57-4147-9C7C-8FFA07F59BDB}"/>
            </a:ext>
          </a:extLst>
        </xdr:cNvPr>
        <xdr:cNvCxnSpPr>
          <a:stCxn id="47" idx="3"/>
        </xdr:cNvCxnSpPr>
      </xdr:nvCxnSpPr>
      <xdr:spPr>
        <a:xfrm flipV="1">
          <a:off x="1552687" y="7724303"/>
          <a:ext cx="112038" cy="144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38</xdr:row>
      <xdr:rowOff>137160</xdr:rowOff>
    </xdr:from>
    <xdr:to>
      <xdr:col>2</xdr:col>
      <xdr:colOff>356347</xdr:colOff>
      <xdr:row>39</xdr:row>
      <xdr:rowOff>57972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C3077E26-7827-4203-B0BA-3ACE705C79ED}"/>
            </a:ext>
          </a:extLst>
        </xdr:cNvPr>
        <xdr:cNvSpPr/>
      </xdr:nvSpPr>
      <xdr:spPr>
        <a:xfrm>
          <a:off x="1463040" y="766572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277535</xdr:colOff>
      <xdr:row>45</xdr:row>
      <xdr:rowOff>3215</xdr:rowOff>
    </xdr:from>
    <xdr:to>
      <xdr:col>2</xdr:col>
      <xdr:colOff>479063</xdr:colOff>
      <xdr:row>45</xdr:row>
      <xdr:rowOff>3216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7A2D6DD7-2E29-43C7-A796-8A9879866942}"/>
            </a:ext>
          </a:extLst>
        </xdr:cNvPr>
        <xdr:cNvCxnSpPr/>
      </xdr:nvCxnSpPr>
      <xdr:spPr>
        <a:xfrm flipV="1">
          <a:off x="1473875" y="8918615"/>
          <a:ext cx="201528" cy="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</xdr:colOff>
      <xdr:row>40</xdr:row>
      <xdr:rowOff>106680</xdr:rowOff>
    </xdr:from>
    <xdr:to>
      <xdr:col>2</xdr:col>
      <xdr:colOff>361876</xdr:colOff>
      <xdr:row>41</xdr:row>
      <xdr:rowOff>102198</xdr:rowOff>
    </xdr:to>
    <xdr:sp macro="" textlink="">
      <xdr:nvSpPr>
        <xdr:cNvPr id="49" name="Multiplication Sign 48">
          <a:extLst>
            <a:ext uri="{FF2B5EF4-FFF2-40B4-BE49-F238E27FC236}">
              <a16:creationId xmlns:a16="http://schemas.microsoft.com/office/drawing/2014/main" id="{CD205DBE-E1C6-43FC-BCC2-56F17E95B124}"/>
            </a:ext>
          </a:extLst>
        </xdr:cNvPr>
        <xdr:cNvSpPr/>
      </xdr:nvSpPr>
      <xdr:spPr>
        <a:xfrm>
          <a:off x="1363980" y="8031480"/>
          <a:ext cx="194236" cy="193638"/>
        </a:xfrm>
        <a:prstGeom prst="mathMultiply">
          <a:avLst/>
        </a:prstGeom>
        <a:solidFill>
          <a:srgbClr val="FFC000">
            <a:alpha val="98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37</xdr:row>
      <xdr:rowOff>0</xdr:rowOff>
    </xdr:from>
    <xdr:to>
      <xdr:col>2</xdr:col>
      <xdr:colOff>358140</xdr:colOff>
      <xdr:row>37</xdr:row>
      <xdr:rowOff>121920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59E487E8-1BB6-4A32-A4C6-78FEA76593E0}"/>
            </a:ext>
          </a:extLst>
        </xdr:cNvPr>
        <xdr:cNvSpPr/>
      </xdr:nvSpPr>
      <xdr:spPr>
        <a:xfrm rot="10800000">
          <a:off x="1463040" y="7330440"/>
          <a:ext cx="91440" cy="121920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254179</xdr:colOff>
      <xdr:row>12</xdr:row>
      <xdr:rowOff>140516</xdr:rowOff>
    </xdr:from>
    <xdr:to>
      <xdr:col>10</xdr:col>
      <xdr:colOff>343826</xdr:colOff>
      <xdr:row>13</xdr:row>
      <xdr:rowOff>61328</xdr:rowOff>
    </xdr:to>
    <xdr:sp macro="" textlink="">
      <xdr:nvSpPr>
        <xdr:cNvPr id="51" name="Diamond 50">
          <a:extLst>
            <a:ext uri="{FF2B5EF4-FFF2-40B4-BE49-F238E27FC236}">
              <a16:creationId xmlns:a16="http://schemas.microsoft.com/office/drawing/2014/main" id="{F81613AD-46D1-433D-AA81-48DCCA65B4BC}"/>
            </a:ext>
          </a:extLst>
        </xdr:cNvPr>
        <xdr:cNvSpPr/>
      </xdr:nvSpPr>
      <xdr:spPr>
        <a:xfrm>
          <a:off x="6091099" y="251795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257536</xdr:colOff>
      <xdr:row>8</xdr:row>
      <xdr:rowOff>138973</xdr:rowOff>
    </xdr:from>
    <xdr:to>
      <xdr:col>10</xdr:col>
      <xdr:colOff>347183</xdr:colOff>
      <xdr:row>9</xdr:row>
      <xdr:rowOff>59785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C3761E2C-36E9-48EF-9D2E-71C67BFD5E4A}"/>
            </a:ext>
          </a:extLst>
        </xdr:cNvPr>
        <xdr:cNvSpPr/>
      </xdr:nvSpPr>
      <xdr:spPr>
        <a:xfrm>
          <a:off x="6094456" y="17239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353897</xdr:colOff>
      <xdr:row>4</xdr:row>
      <xdr:rowOff>194696</xdr:rowOff>
    </xdr:from>
    <xdr:to>
      <xdr:col>10</xdr:col>
      <xdr:colOff>480027</xdr:colOff>
      <xdr:row>4</xdr:row>
      <xdr:rowOff>196593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1B634475-B9DA-4451-924C-3789B8C3E830}"/>
            </a:ext>
          </a:extLst>
        </xdr:cNvPr>
        <xdr:cNvCxnSpPr>
          <a:stCxn id="54" idx="3"/>
        </xdr:cNvCxnSpPr>
      </xdr:nvCxnSpPr>
      <xdr:spPr>
        <a:xfrm flipV="1">
          <a:off x="6190817" y="987176"/>
          <a:ext cx="126130" cy="189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264250</xdr:colOff>
      <xdr:row>4</xdr:row>
      <xdr:rowOff>137160</xdr:rowOff>
    </xdr:from>
    <xdr:to>
      <xdr:col>10</xdr:col>
      <xdr:colOff>353897</xdr:colOff>
      <xdr:row>5</xdr:row>
      <xdr:rowOff>57972</xdr:rowOff>
    </xdr:to>
    <xdr:sp macro="" textlink="">
      <xdr:nvSpPr>
        <xdr:cNvPr id="54" name="Diamond 53">
          <a:extLst>
            <a:ext uri="{FF2B5EF4-FFF2-40B4-BE49-F238E27FC236}">
              <a16:creationId xmlns:a16="http://schemas.microsoft.com/office/drawing/2014/main" id="{58167A75-240D-4727-999C-F249027A00B0}"/>
            </a:ext>
          </a:extLst>
        </xdr:cNvPr>
        <xdr:cNvSpPr/>
      </xdr:nvSpPr>
      <xdr:spPr>
        <a:xfrm>
          <a:off x="6101170" y="92964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296037</xdr:colOff>
      <xdr:row>37</xdr:row>
      <xdr:rowOff>178990</xdr:rowOff>
    </xdr:from>
    <xdr:to>
      <xdr:col>10</xdr:col>
      <xdr:colOff>304564</xdr:colOff>
      <xdr:row>44</xdr:row>
      <xdr:rowOff>141274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D09C727-2E70-47E8-AF4B-B802C70C72C5}"/>
            </a:ext>
          </a:extLst>
        </xdr:cNvPr>
        <xdr:cNvCxnSpPr>
          <a:cxnSpLocks/>
          <a:stCxn id="66" idx="0"/>
          <a:endCxn id="69" idx="0"/>
        </xdr:cNvCxnSpPr>
      </xdr:nvCxnSpPr>
      <xdr:spPr>
        <a:xfrm flipH="1">
          <a:off x="6132957" y="7509430"/>
          <a:ext cx="8527" cy="134912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349231</xdr:colOff>
      <xdr:row>42</xdr:row>
      <xdr:rowOff>199081</xdr:rowOff>
    </xdr:from>
    <xdr:to>
      <xdr:col>10</xdr:col>
      <xdr:colOff>480540</xdr:colOff>
      <xdr:row>43</xdr:row>
      <xdr:rowOff>1458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575769AE-D6D6-45D9-8037-8C2F9E69CB80}"/>
            </a:ext>
          </a:extLst>
        </xdr:cNvPr>
        <xdr:cNvCxnSpPr>
          <a:cxnSpLocks/>
          <a:stCxn id="62" idx="3"/>
        </xdr:cNvCxnSpPr>
      </xdr:nvCxnSpPr>
      <xdr:spPr>
        <a:xfrm flipV="1">
          <a:off x="6186151" y="8520121"/>
          <a:ext cx="131309" cy="49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296037</xdr:colOff>
      <xdr:row>45</xdr:row>
      <xdr:rowOff>62086</xdr:rowOff>
    </xdr:from>
    <xdr:to>
      <xdr:col>10</xdr:col>
      <xdr:colOff>297110</xdr:colOff>
      <xdr:row>50</xdr:row>
      <xdr:rowOff>195743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9D9F1263-82CB-43C0-8100-E821001A2179}"/>
            </a:ext>
          </a:extLst>
        </xdr:cNvPr>
        <xdr:cNvCxnSpPr>
          <a:cxnSpLocks/>
          <a:stCxn id="69" idx="2"/>
        </xdr:cNvCxnSpPr>
      </xdr:nvCxnSpPr>
      <xdr:spPr>
        <a:xfrm>
          <a:off x="6132957" y="8977486"/>
          <a:ext cx="1073" cy="1124257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339103</xdr:colOff>
      <xdr:row>49</xdr:row>
      <xdr:rowOff>6303</xdr:rowOff>
    </xdr:from>
    <xdr:to>
      <xdr:col>10</xdr:col>
      <xdr:colOff>466811</xdr:colOff>
      <xdr:row>49</xdr:row>
      <xdr:rowOff>6865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B33B3E23-D75B-44F3-891D-D8C0AB3A066A}"/>
            </a:ext>
          </a:extLst>
        </xdr:cNvPr>
        <xdr:cNvCxnSpPr>
          <a:cxnSpLocks/>
          <a:stCxn id="60" idx="3"/>
        </xdr:cNvCxnSpPr>
      </xdr:nvCxnSpPr>
      <xdr:spPr>
        <a:xfrm>
          <a:off x="6176023" y="9714183"/>
          <a:ext cx="127708" cy="56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252169</xdr:colOff>
      <xdr:row>46</xdr:row>
      <xdr:rowOff>138813</xdr:rowOff>
    </xdr:from>
    <xdr:to>
      <xdr:col>10</xdr:col>
      <xdr:colOff>341816</xdr:colOff>
      <xdr:row>47</xdr:row>
      <xdr:rowOff>59625</xdr:rowOff>
    </xdr:to>
    <xdr:sp macro="" textlink="">
      <xdr:nvSpPr>
        <xdr:cNvPr id="59" name="Diamond 58">
          <a:extLst>
            <a:ext uri="{FF2B5EF4-FFF2-40B4-BE49-F238E27FC236}">
              <a16:creationId xmlns:a16="http://schemas.microsoft.com/office/drawing/2014/main" id="{52BA9625-456B-43A5-BD59-1C616DCDB14E}"/>
            </a:ext>
          </a:extLst>
        </xdr:cNvPr>
        <xdr:cNvSpPr/>
      </xdr:nvSpPr>
      <xdr:spPr>
        <a:xfrm>
          <a:off x="6089089" y="92523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249456</xdr:colOff>
      <xdr:row>48</xdr:row>
      <xdr:rowOff>145437</xdr:rowOff>
    </xdr:from>
    <xdr:to>
      <xdr:col>10</xdr:col>
      <xdr:colOff>339103</xdr:colOff>
      <xdr:row>49</xdr:row>
      <xdr:rowOff>66249</xdr:rowOff>
    </xdr:to>
    <xdr:sp macro="" textlink="">
      <xdr:nvSpPr>
        <xdr:cNvPr id="60" name="Diamond 59">
          <a:extLst>
            <a:ext uri="{FF2B5EF4-FFF2-40B4-BE49-F238E27FC236}">
              <a16:creationId xmlns:a16="http://schemas.microsoft.com/office/drawing/2014/main" id="{EDE298A2-D7B9-4948-AFFA-41DF6F4D9776}"/>
            </a:ext>
          </a:extLst>
        </xdr:cNvPr>
        <xdr:cNvSpPr/>
      </xdr:nvSpPr>
      <xdr:spPr>
        <a:xfrm>
          <a:off x="6086376" y="965519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341816</xdr:colOff>
      <xdr:row>46</xdr:row>
      <xdr:rowOff>198839</xdr:rowOff>
    </xdr:from>
    <xdr:to>
      <xdr:col>10</xdr:col>
      <xdr:colOff>475377</xdr:colOff>
      <xdr:row>47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17FE77A8-8FC4-4D81-B1A5-62122D50BD0B}"/>
            </a:ext>
          </a:extLst>
        </xdr:cNvPr>
        <xdr:cNvCxnSpPr>
          <a:stCxn id="59" idx="3"/>
        </xdr:cNvCxnSpPr>
      </xdr:nvCxnSpPr>
      <xdr:spPr>
        <a:xfrm>
          <a:off x="6178736" y="9312359"/>
          <a:ext cx="133561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259584</xdr:colOff>
      <xdr:row>42</xdr:row>
      <xdr:rowOff>140592</xdr:rowOff>
    </xdr:from>
    <xdr:to>
      <xdr:col>10</xdr:col>
      <xdr:colOff>349231</xdr:colOff>
      <xdr:row>43</xdr:row>
      <xdr:rowOff>61404</xdr:rowOff>
    </xdr:to>
    <xdr:sp macro="" textlink="">
      <xdr:nvSpPr>
        <xdr:cNvPr id="62" name="Diamond 61">
          <a:extLst>
            <a:ext uri="{FF2B5EF4-FFF2-40B4-BE49-F238E27FC236}">
              <a16:creationId xmlns:a16="http://schemas.microsoft.com/office/drawing/2014/main" id="{71528F77-86FF-415E-897A-AC0E553260C1}"/>
            </a:ext>
          </a:extLst>
        </xdr:cNvPr>
        <xdr:cNvSpPr/>
      </xdr:nvSpPr>
      <xdr:spPr>
        <a:xfrm>
          <a:off x="6096504" y="846163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350323</xdr:colOff>
      <xdr:row>41</xdr:row>
      <xdr:rowOff>6991</xdr:rowOff>
    </xdr:from>
    <xdr:to>
      <xdr:col>10</xdr:col>
      <xdr:colOff>485863</xdr:colOff>
      <xdr:row>41</xdr:row>
      <xdr:rowOff>8444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74BE9BBB-2CA9-4DBB-BF68-E1960434B624}"/>
            </a:ext>
          </a:extLst>
        </xdr:cNvPr>
        <xdr:cNvCxnSpPr>
          <a:stCxn id="70" idx="3"/>
        </xdr:cNvCxnSpPr>
      </xdr:nvCxnSpPr>
      <xdr:spPr>
        <a:xfrm flipV="1">
          <a:off x="6187243" y="8129911"/>
          <a:ext cx="135540" cy="145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350362</xdr:colOff>
      <xdr:row>39</xdr:row>
      <xdr:rowOff>0</xdr:rowOff>
    </xdr:from>
    <xdr:to>
      <xdr:col>10</xdr:col>
      <xdr:colOff>489358</xdr:colOff>
      <xdr:row>39</xdr:row>
      <xdr:rowOff>1291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B4EC9584-92BD-4835-ADD9-80544922841C}"/>
            </a:ext>
          </a:extLst>
        </xdr:cNvPr>
        <xdr:cNvCxnSpPr>
          <a:cxnSpLocks/>
          <a:stCxn id="68" idx="3"/>
        </xdr:cNvCxnSpPr>
      </xdr:nvCxnSpPr>
      <xdr:spPr>
        <a:xfrm flipV="1">
          <a:off x="6187282" y="7726680"/>
          <a:ext cx="138996" cy="129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340860</xdr:colOff>
      <xdr:row>45</xdr:row>
      <xdr:rowOff>0</xdr:rowOff>
    </xdr:from>
    <xdr:to>
      <xdr:col>10</xdr:col>
      <xdr:colOff>487405</xdr:colOff>
      <xdr:row>45</xdr:row>
      <xdr:rowOff>2140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86A0A4EF-63F7-4013-B111-AEB7E3AFD710}"/>
            </a:ext>
          </a:extLst>
        </xdr:cNvPr>
        <xdr:cNvCxnSpPr>
          <a:stCxn id="69" idx="3"/>
        </xdr:cNvCxnSpPr>
      </xdr:nvCxnSpPr>
      <xdr:spPr>
        <a:xfrm flipV="1">
          <a:off x="6177780" y="8915400"/>
          <a:ext cx="146545" cy="214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251149</xdr:colOff>
      <xdr:row>37</xdr:row>
      <xdr:rowOff>14790</xdr:rowOff>
    </xdr:from>
    <xdr:to>
      <xdr:col>10</xdr:col>
      <xdr:colOff>357979</xdr:colOff>
      <xdr:row>37</xdr:row>
      <xdr:rowOff>178990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7620A059-FF9D-4FE7-B502-0D08332EDE46}"/>
            </a:ext>
          </a:extLst>
        </xdr:cNvPr>
        <xdr:cNvSpPr/>
      </xdr:nvSpPr>
      <xdr:spPr>
        <a:xfrm rot="10800000">
          <a:off x="6088069" y="7345230"/>
          <a:ext cx="106830" cy="164200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164129</xdr:colOff>
      <xdr:row>44</xdr:row>
      <xdr:rowOff>104288</xdr:rowOff>
    </xdr:from>
    <xdr:to>
      <xdr:col>2</xdr:col>
      <xdr:colOff>358365</xdr:colOff>
      <xdr:row>45</xdr:row>
      <xdr:rowOff>99806</xdr:rowOff>
    </xdr:to>
    <xdr:sp macro="" textlink="">
      <xdr:nvSpPr>
        <xdr:cNvPr id="67" name="Multiplication Sign 66">
          <a:extLst>
            <a:ext uri="{FF2B5EF4-FFF2-40B4-BE49-F238E27FC236}">
              <a16:creationId xmlns:a16="http://schemas.microsoft.com/office/drawing/2014/main" id="{593AD1DA-BB0D-4702-A16E-C8E536DC2AAD}"/>
            </a:ext>
          </a:extLst>
        </xdr:cNvPr>
        <xdr:cNvSpPr/>
      </xdr:nvSpPr>
      <xdr:spPr>
        <a:xfrm>
          <a:off x="1360469" y="882156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260715</xdr:colOff>
      <xdr:row>38</xdr:row>
      <xdr:rowOff>140504</xdr:rowOff>
    </xdr:from>
    <xdr:to>
      <xdr:col>10</xdr:col>
      <xdr:colOff>350362</xdr:colOff>
      <xdr:row>39</xdr:row>
      <xdr:rowOff>61317</xdr:rowOff>
    </xdr:to>
    <xdr:sp macro="" textlink="">
      <xdr:nvSpPr>
        <xdr:cNvPr id="68" name="Diamond 67">
          <a:extLst>
            <a:ext uri="{FF2B5EF4-FFF2-40B4-BE49-F238E27FC236}">
              <a16:creationId xmlns:a16="http://schemas.microsoft.com/office/drawing/2014/main" id="{45B82F60-72A3-49D6-90A8-846C181E52A1}"/>
            </a:ext>
          </a:extLst>
        </xdr:cNvPr>
        <xdr:cNvSpPr/>
      </xdr:nvSpPr>
      <xdr:spPr>
        <a:xfrm>
          <a:off x="6097635" y="7669064"/>
          <a:ext cx="89647" cy="118933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251213</xdr:colOff>
      <xdr:row>44</xdr:row>
      <xdr:rowOff>141274</xdr:rowOff>
    </xdr:from>
    <xdr:to>
      <xdr:col>10</xdr:col>
      <xdr:colOff>340860</xdr:colOff>
      <xdr:row>45</xdr:row>
      <xdr:rowOff>62086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4B16083D-0CAB-4C19-98EA-EEE15D03096C}"/>
            </a:ext>
          </a:extLst>
        </xdr:cNvPr>
        <xdr:cNvSpPr/>
      </xdr:nvSpPr>
      <xdr:spPr>
        <a:xfrm>
          <a:off x="6088133" y="885855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260676</xdr:colOff>
      <xdr:row>40</xdr:row>
      <xdr:rowOff>147657</xdr:rowOff>
    </xdr:from>
    <xdr:to>
      <xdr:col>10</xdr:col>
      <xdr:colOff>350323</xdr:colOff>
      <xdr:row>41</xdr:row>
      <xdr:rowOff>68469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EEFB3C4A-A41B-4604-82B9-6BF4F16C2A87}"/>
            </a:ext>
          </a:extLst>
        </xdr:cNvPr>
        <xdr:cNvSpPr/>
      </xdr:nvSpPr>
      <xdr:spPr>
        <a:xfrm>
          <a:off x="6097596" y="807245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304676</xdr:colOff>
      <xdr:row>69</xdr:row>
      <xdr:rowOff>141889</xdr:rowOff>
    </xdr:from>
    <xdr:to>
      <xdr:col>10</xdr:col>
      <xdr:colOff>309200</xdr:colOff>
      <xdr:row>76</xdr:row>
      <xdr:rowOff>135457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F883D5F9-7A30-41E8-862C-53AB0605CA9B}"/>
            </a:ext>
          </a:extLst>
        </xdr:cNvPr>
        <xdr:cNvCxnSpPr>
          <a:cxnSpLocks/>
          <a:stCxn id="81" idx="0"/>
          <a:endCxn id="75" idx="0"/>
        </xdr:cNvCxnSpPr>
      </xdr:nvCxnSpPr>
      <xdr:spPr>
        <a:xfrm flipH="1">
          <a:off x="6141596" y="13812169"/>
          <a:ext cx="4524" cy="134992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356498</xdr:colOff>
      <xdr:row>73</xdr:row>
      <xdr:rowOff>3578</xdr:rowOff>
    </xdr:from>
    <xdr:to>
      <xdr:col>10</xdr:col>
      <xdr:colOff>472225</xdr:colOff>
      <xdr:row>73</xdr:row>
      <xdr:rowOff>6196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DCF0A7E8-BE82-460F-AF69-6A21EAB1CEAD}"/>
            </a:ext>
          </a:extLst>
        </xdr:cNvPr>
        <xdr:cNvCxnSpPr>
          <a:cxnSpLocks/>
          <a:stCxn id="78" idx="3"/>
        </xdr:cNvCxnSpPr>
      </xdr:nvCxnSpPr>
      <xdr:spPr>
        <a:xfrm flipV="1">
          <a:off x="6193418" y="14458718"/>
          <a:ext cx="115727" cy="261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302115</xdr:colOff>
      <xdr:row>77</xdr:row>
      <xdr:rowOff>56269</xdr:rowOff>
    </xdr:from>
    <xdr:to>
      <xdr:col>10</xdr:col>
      <xdr:colOff>304676</xdr:colOff>
      <xdr:row>81</xdr:row>
      <xdr:rowOff>3357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9665E42B-7E81-441B-A734-632356141236}"/>
            </a:ext>
          </a:extLst>
        </xdr:cNvPr>
        <xdr:cNvCxnSpPr>
          <a:cxnSpLocks/>
          <a:stCxn id="75" idx="2"/>
        </xdr:cNvCxnSpPr>
      </xdr:nvCxnSpPr>
      <xdr:spPr>
        <a:xfrm flipH="1">
          <a:off x="6139035" y="15273409"/>
          <a:ext cx="2561" cy="76242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349954</xdr:colOff>
      <xdr:row>79</xdr:row>
      <xdr:rowOff>7155</xdr:rowOff>
    </xdr:from>
    <xdr:to>
      <xdr:col>10</xdr:col>
      <xdr:colOff>475803</xdr:colOff>
      <xdr:row>79</xdr:row>
      <xdr:rowOff>7545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1CA7B983-291F-4010-8165-590808363498}"/>
            </a:ext>
          </a:extLst>
        </xdr:cNvPr>
        <xdr:cNvCxnSpPr>
          <a:cxnSpLocks/>
          <a:stCxn id="76" idx="3"/>
        </xdr:cNvCxnSpPr>
      </xdr:nvCxnSpPr>
      <xdr:spPr>
        <a:xfrm flipV="1">
          <a:off x="6186874" y="15605295"/>
          <a:ext cx="125849" cy="3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259852</xdr:colOff>
      <xdr:row>76</xdr:row>
      <xdr:rowOff>135457</xdr:rowOff>
    </xdr:from>
    <xdr:to>
      <xdr:col>10</xdr:col>
      <xdr:colOff>349499</xdr:colOff>
      <xdr:row>77</xdr:row>
      <xdr:rowOff>56269</xdr:rowOff>
    </xdr:to>
    <xdr:sp macro="" textlink="">
      <xdr:nvSpPr>
        <xdr:cNvPr id="75" name="Diamond 74">
          <a:extLst>
            <a:ext uri="{FF2B5EF4-FFF2-40B4-BE49-F238E27FC236}">
              <a16:creationId xmlns:a16="http://schemas.microsoft.com/office/drawing/2014/main" id="{91449C58-6551-4F2B-A6A1-8CBEE0B7E304}"/>
            </a:ext>
          </a:extLst>
        </xdr:cNvPr>
        <xdr:cNvSpPr/>
      </xdr:nvSpPr>
      <xdr:spPr>
        <a:xfrm>
          <a:off x="6096772" y="15162097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260307</xdr:colOff>
      <xdr:row>78</xdr:row>
      <xdr:rowOff>141942</xdr:rowOff>
    </xdr:from>
    <xdr:to>
      <xdr:col>10</xdr:col>
      <xdr:colOff>349954</xdr:colOff>
      <xdr:row>79</xdr:row>
      <xdr:rowOff>62754</xdr:rowOff>
    </xdr:to>
    <xdr:sp macro="" textlink="">
      <xdr:nvSpPr>
        <xdr:cNvPr id="76" name="Diamond 75">
          <a:extLst>
            <a:ext uri="{FF2B5EF4-FFF2-40B4-BE49-F238E27FC236}">
              <a16:creationId xmlns:a16="http://schemas.microsoft.com/office/drawing/2014/main" id="{14F1F2C3-C588-47BA-81DB-DD57AC7F53B4}"/>
            </a:ext>
          </a:extLst>
        </xdr:cNvPr>
        <xdr:cNvSpPr/>
      </xdr:nvSpPr>
      <xdr:spPr>
        <a:xfrm>
          <a:off x="6097227" y="15549582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349499</xdr:colOff>
      <xdr:row>77</xdr:row>
      <xdr:rowOff>0</xdr:rowOff>
    </xdr:from>
    <xdr:to>
      <xdr:col>10</xdr:col>
      <xdr:colOff>482958</xdr:colOff>
      <xdr:row>77</xdr:row>
      <xdr:rowOff>1060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26BEC347-0B9D-4B0A-8569-A5C6462F2827}"/>
            </a:ext>
          </a:extLst>
        </xdr:cNvPr>
        <xdr:cNvCxnSpPr>
          <a:stCxn id="75" idx="3"/>
        </xdr:cNvCxnSpPr>
      </xdr:nvCxnSpPr>
      <xdr:spPr>
        <a:xfrm flipV="1">
          <a:off x="6186419" y="15217140"/>
          <a:ext cx="133459" cy="106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266851</xdr:colOff>
      <xdr:row>72</xdr:row>
      <xdr:rowOff>140592</xdr:rowOff>
    </xdr:from>
    <xdr:to>
      <xdr:col>10</xdr:col>
      <xdr:colOff>356498</xdr:colOff>
      <xdr:row>73</xdr:row>
      <xdr:rowOff>61404</xdr:rowOff>
    </xdr:to>
    <xdr:sp macro="" textlink="">
      <xdr:nvSpPr>
        <xdr:cNvPr id="78" name="Diamond 77">
          <a:extLst>
            <a:ext uri="{FF2B5EF4-FFF2-40B4-BE49-F238E27FC236}">
              <a16:creationId xmlns:a16="http://schemas.microsoft.com/office/drawing/2014/main" id="{1D532D0F-632C-4D95-A961-FF42A73D57B6}"/>
            </a:ext>
          </a:extLst>
        </xdr:cNvPr>
        <xdr:cNvSpPr/>
      </xdr:nvSpPr>
      <xdr:spPr>
        <a:xfrm>
          <a:off x="6103771" y="14405232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354095</xdr:colOff>
      <xdr:row>71</xdr:row>
      <xdr:rowOff>2831</xdr:rowOff>
    </xdr:from>
    <xdr:to>
      <xdr:col>10</xdr:col>
      <xdr:colOff>461493</xdr:colOff>
      <xdr:row>71</xdr:row>
      <xdr:rowOff>3577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764EDE8-B08F-4381-8AC3-0DF30D181CD0}"/>
            </a:ext>
          </a:extLst>
        </xdr:cNvPr>
        <xdr:cNvCxnSpPr>
          <a:stCxn id="83" idx="3"/>
        </xdr:cNvCxnSpPr>
      </xdr:nvCxnSpPr>
      <xdr:spPr>
        <a:xfrm>
          <a:off x="6191015" y="14069351"/>
          <a:ext cx="107398" cy="74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355292</xdr:colOff>
      <xdr:row>75</xdr:row>
      <xdr:rowOff>3578</xdr:rowOff>
    </xdr:from>
    <xdr:to>
      <xdr:col>10</xdr:col>
      <xdr:colOff>472225</xdr:colOff>
      <xdr:row>75</xdr:row>
      <xdr:rowOff>6878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ECAEBA-E44D-4E81-864C-07F9816A6A09}"/>
            </a:ext>
          </a:extLst>
        </xdr:cNvPr>
        <xdr:cNvCxnSpPr>
          <a:stCxn id="82" idx="3"/>
        </xdr:cNvCxnSpPr>
      </xdr:nvCxnSpPr>
      <xdr:spPr>
        <a:xfrm flipV="1">
          <a:off x="6192212" y="14839718"/>
          <a:ext cx="116933" cy="33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245283</xdr:colOff>
      <xdr:row>68</xdr:row>
      <xdr:rowOff>187146</xdr:rowOff>
    </xdr:from>
    <xdr:to>
      <xdr:col>10</xdr:col>
      <xdr:colOff>373117</xdr:colOff>
      <xdr:row>69</xdr:row>
      <xdr:rowOff>141889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BA292108-5F95-44F2-ABE6-757AEC1B8434}"/>
            </a:ext>
          </a:extLst>
        </xdr:cNvPr>
        <xdr:cNvSpPr/>
      </xdr:nvSpPr>
      <xdr:spPr>
        <a:xfrm rot="10800000">
          <a:off x="6082203" y="13659306"/>
          <a:ext cx="127834" cy="152863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265645</xdr:colOff>
      <xdr:row>74</xdr:row>
      <xdr:rowOff>141274</xdr:rowOff>
    </xdr:from>
    <xdr:to>
      <xdr:col>10</xdr:col>
      <xdr:colOff>355292</xdr:colOff>
      <xdr:row>75</xdr:row>
      <xdr:rowOff>62086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BA25B2D1-E0AD-4A7A-800D-145775D13F7A}"/>
            </a:ext>
          </a:extLst>
        </xdr:cNvPr>
        <xdr:cNvSpPr/>
      </xdr:nvSpPr>
      <xdr:spPr>
        <a:xfrm>
          <a:off x="6102565" y="14786914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264448</xdr:colOff>
      <xdr:row>70</xdr:row>
      <xdr:rowOff>140805</xdr:rowOff>
    </xdr:from>
    <xdr:to>
      <xdr:col>10</xdr:col>
      <xdr:colOff>354095</xdr:colOff>
      <xdr:row>71</xdr:row>
      <xdr:rowOff>61617</xdr:rowOff>
    </xdr:to>
    <xdr:sp macro="" textlink="">
      <xdr:nvSpPr>
        <xdr:cNvPr id="83" name="Diamond 82">
          <a:extLst>
            <a:ext uri="{FF2B5EF4-FFF2-40B4-BE49-F238E27FC236}">
              <a16:creationId xmlns:a16="http://schemas.microsoft.com/office/drawing/2014/main" id="{A7F515A2-B9E5-4CE7-9687-57B2B7FC74C2}"/>
            </a:ext>
          </a:extLst>
        </xdr:cNvPr>
        <xdr:cNvSpPr/>
      </xdr:nvSpPr>
      <xdr:spPr>
        <a:xfrm>
          <a:off x="6101368" y="1400920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306282</xdr:colOff>
      <xdr:row>69</xdr:row>
      <xdr:rowOff>111815</xdr:rowOff>
    </xdr:from>
    <xdr:to>
      <xdr:col>2</xdr:col>
      <xdr:colOff>311714</xdr:colOff>
      <xdr:row>74</xdr:row>
      <xdr:rowOff>148965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FBCD15F4-3D20-4B9D-8858-7F3A2ED4684F}"/>
            </a:ext>
          </a:extLst>
        </xdr:cNvPr>
        <xdr:cNvCxnSpPr>
          <a:cxnSpLocks/>
          <a:stCxn id="237" idx="0"/>
          <a:endCxn id="94" idx="1"/>
        </xdr:cNvCxnSpPr>
      </xdr:nvCxnSpPr>
      <xdr:spPr>
        <a:xfrm>
          <a:off x="1502622" y="13782095"/>
          <a:ext cx="5432" cy="101251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356347</xdr:colOff>
      <xdr:row>73</xdr:row>
      <xdr:rowOff>1937</xdr:rowOff>
    </xdr:from>
    <xdr:to>
      <xdr:col>2</xdr:col>
      <xdr:colOff>476630</xdr:colOff>
      <xdr:row>73</xdr:row>
      <xdr:rowOff>3036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676B1160-DC30-487F-BB35-FF1AB93E00BB}"/>
            </a:ext>
          </a:extLst>
        </xdr:cNvPr>
        <xdr:cNvCxnSpPr>
          <a:cxnSpLocks/>
          <a:stCxn id="90" idx="3"/>
        </xdr:cNvCxnSpPr>
      </xdr:nvCxnSpPr>
      <xdr:spPr>
        <a:xfrm>
          <a:off x="1552687" y="14457077"/>
          <a:ext cx="120283" cy="109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311714</xdr:colOff>
      <xdr:row>75</xdr:row>
      <xdr:rowOff>53770</xdr:rowOff>
    </xdr:from>
    <xdr:to>
      <xdr:col>2</xdr:col>
      <xdr:colOff>324416</xdr:colOff>
      <xdr:row>81</xdr:row>
      <xdr:rowOff>0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477CD2C0-08BE-497B-AA93-7E52DF9A66C0}"/>
            </a:ext>
          </a:extLst>
        </xdr:cNvPr>
        <xdr:cNvCxnSpPr>
          <a:stCxn id="94" idx="2"/>
        </xdr:cNvCxnSpPr>
      </xdr:nvCxnSpPr>
      <xdr:spPr>
        <a:xfrm>
          <a:off x="1508054" y="14889910"/>
          <a:ext cx="12702" cy="114257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210780</xdr:colOff>
      <xdr:row>75</xdr:row>
      <xdr:rowOff>55129</xdr:rowOff>
    </xdr:from>
    <xdr:to>
      <xdr:col>2</xdr:col>
      <xdr:colOff>223631</xdr:colOff>
      <xdr:row>81</xdr:row>
      <xdr:rowOff>4141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DDD71725-84DF-4D38-A66E-DFF2160EE905}"/>
            </a:ext>
          </a:extLst>
        </xdr:cNvPr>
        <xdr:cNvCxnSpPr>
          <a:stCxn id="94" idx="3"/>
        </xdr:cNvCxnSpPr>
      </xdr:nvCxnSpPr>
      <xdr:spPr>
        <a:xfrm>
          <a:off x="1407120" y="14891269"/>
          <a:ext cx="12851" cy="114535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210780</xdr:colOff>
      <xdr:row>71</xdr:row>
      <xdr:rowOff>49460</xdr:rowOff>
    </xdr:from>
    <xdr:to>
      <xdr:col>2</xdr:col>
      <xdr:colOff>215397</xdr:colOff>
      <xdr:row>74</xdr:row>
      <xdr:rowOff>148965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48C3643F-C170-48F2-A7C2-0BDD10FD54B9}"/>
            </a:ext>
          </a:extLst>
        </xdr:cNvPr>
        <xdr:cNvCxnSpPr>
          <a:stCxn id="93" idx="3"/>
          <a:endCxn id="94" idx="0"/>
        </xdr:cNvCxnSpPr>
      </xdr:nvCxnSpPr>
      <xdr:spPr>
        <a:xfrm flipH="1">
          <a:off x="1407120" y="14115980"/>
          <a:ext cx="4617" cy="678625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75</xdr:row>
      <xdr:rowOff>0</xdr:rowOff>
    </xdr:from>
    <xdr:to>
      <xdr:col>2</xdr:col>
      <xdr:colOff>472440</xdr:colOff>
      <xdr:row>75</xdr:row>
      <xdr:rowOff>0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F92D5394-81E2-4E74-9186-B4A40F9A16A7}"/>
            </a:ext>
          </a:extLst>
        </xdr:cNvPr>
        <xdr:cNvCxnSpPr/>
      </xdr:nvCxnSpPr>
      <xdr:spPr>
        <a:xfrm>
          <a:off x="1470660" y="1483614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72</xdr:row>
      <xdr:rowOff>137160</xdr:rowOff>
    </xdr:from>
    <xdr:to>
      <xdr:col>2</xdr:col>
      <xdr:colOff>356347</xdr:colOff>
      <xdr:row>73</xdr:row>
      <xdr:rowOff>57972</xdr:rowOff>
    </xdr:to>
    <xdr:sp macro="" textlink="">
      <xdr:nvSpPr>
        <xdr:cNvPr id="90" name="Diamond 89">
          <a:extLst>
            <a:ext uri="{FF2B5EF4-FFF2-40B4-BE49-F238E27FC236}">
              <a16:creationId xmlns:a16="http://schemas.microsoft.com/office/drawing/2014/main" id="{189C044F-2D13-47CF-BE16-13924E76BDE5}"/>
            </a:ext>
          </a:extLst>
        </xdr:cNvPr>
        <xdr:cNvSpPr/>
      </xdr:nvSpPr>
      <xdr:spPr>
        <a:xfrm>
          <a:off x="1463040" y="14401800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318765</xdr:colOff>
      <xdr:row>71</xdr:row>
      <xdr:rowOff>0</xdr:rowOff>
    </xdr:from>
    <xdr:to>
      <xdr:col>2</xdr:col>
      <xdr:colOff>473594</xdr:colOff>
      <xdr:row>71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AA19C8BE-DD7F-4BDA-83DF-AF9F7DF7FB86}"/>
            </a:ext>
          </a:extLst>
        </xdr:cNvPr>
        <xdr:cNvCxnSpPr/>
      </xdr:nvCxnSpPr>
      <xdr:spPr>
        <a:xfrm>
          <a:off x="1515105" y="14066520"/>
          <a:ext cx="154829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75</xdr:row>
      <xdr:rowOff>0</xdr:rowOff>
    </xdr:from>
    <xdr:to>
      <xdr:col>2</xdr:col>
      <xdr:colOff>472440</xdr:colOff>
      <xdr:row>75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5D4F4294-4791-4F85-8D6A-CC5A247F3EF2}"/>
            </a:ext>
          </a:extLst>
        </xdr:cNvPr>
        <xdr:cNvCxnSpPr/>
      </xdr:nvCxnSpPr>
      <xdr:spPr>
        <a:xfrm>
          <a:off x="1470660" y="14836140"/>
          <a:ext cx="19812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168746</xdr:colOff>
      <xdr:row>70</xdr:row>
      <xdr:rowOff>100608</xdr:rowOff>
    </xdr:from>
    <xdr:to>
      <xdr:col>2</xdr:col>
      <xdr:colOff>362982</xdr:colOff>
      <xdr:row>71</xdr:row>
      <xdr:rowOff>96126</xdr:rowOff>
    </xdr:to>
    <xdr:sp macro="" textlink="">
      <xdr:nvSpPr>
        <xdr:cNvPr id="93" name="Multiplication Sign 92">
          <a:extLst>
            <a:ext uri="{FF2B5EF4-FFF2-40B4-BE49-F238E27FC236}">
              <a16:creationId xmlns:a16="http://schemas.microsoft.com/office/drawing/2014/main" id="{C963B835-FC37-4B4D-BBEF-D0B9D0923B55}"/>
            </a:ext>
          </a:extLst>
        </xdr:cNvPr>
        <xdr:cNvSpPr/>
      </xdr:nvSpPr>
      <xdr:spPr>
        <a:xfrm>
          <a:off x="1365086" y="13969008"/>
          <a:ext cx="194236" cy="193638"/>
        </a:xfrm>
        <a:prstGeom prst="mathMultiply">
          <a:avLst/>
        </a:prstGeom>
        <a:solidFill>
          <a:srgbClr val="FFC000">
            <a:alpha val="98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164129</xdr:colOff>
      <xdr:row>74</xdr:row>
      <xdr:rowOff>104288</xdr:rowOff>
    </xdr:from>
    <xdr:to>
      <xdr:col>2</xdr:col>
      <xdr:colOff>358365</xdr:colOff>
      <xdr:row>75</xdr:row>
      <xdr:rowOff>99806</xdr:rowOff>
    </xdr:to>
    <xdr:sp macro="" textlink="">
      <xdr:nvSpPr>
        <xdr:cNvPr id="94" name="Multiplication Sign 93">
          <a:extLst>
            <a:ext uri="{FF2B5EF4-FFF2-40B4-BE49-F238E27FC236}">
              <a16:creationId xmlns:a16="http://schemas.microsoft.com/office/drawing/2014/main" id="{537F135C-6330-445D-9652-5F59C22836F7}"/>
            </a:ext>
          </a:extLst>
        </xdr:cNvPr>
        <xdr:cNvSpPr/>
      </xdr:nvSpPr>
      <xdr:spPr>
        <a:xfrm>
          <a:off x="1360469" y="14749928"/>
          <a:ext cx="194236" cy="18601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248403</xdr:colOff>
      <xdr:row>2</xdr:row>
      <xdr:rowOff>196430</xdr:rowOff>
    </xdr:from>
    <xdr:to>
      <xdr:col>10</xdr:col>
      <xdr:colOff>362703</xdr:colOff>
      <xdr:row>3</xdr:row>
      <xdr:rowOff>154363</xdr:rowOff>
    </xdr:to>
    <xdr:sp macro="" textlink="">
      <xdr:nvSpPr>
        <xdr:cNvPr id="95" name="Isosceles Triangle 94">
          <a:extLst>
            <a:ext uri="{FF2B5EF4-FFF2-40B4-BE49-F238E27FC236}">
              <a16:creationId xmlns:a16="http://schemas.microsoft.com/office/drawing/2014/main" id="{05B4755E-842A-42F9-B684-B986E7370F40}"/>
            </a:ext>
          </a:extLst>
        </xdr:cNvPr>
        <xdr:cNvSpPr/>
      </xdr:nvSpPr>
      <xdr:spPr>
        <a:xfrm rot="10800000">
          <a:off x="6085323" y="592670"/>
          <a:ext cx="114300" cy="156053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304676</xdr:colOff>
      <xdr:row>5</xdr:row>
      <xdr:rowOff>149359</xdr:rowOff>
    </xdr:from>
    <xdr:to>
      <xdr:col>27</xdr:col>
      <xdr:colOff>309200</xdr:colOff>
      <xdr:row>10</xdr:row>
      <xdr:rowOff>135457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8C4FC735-895B-4849-A571-10DE4B12AD34}"/>
            </a:ext>
          </a:extLst>
        </xdr:cNvPr>
        <xdr:cNvCxnSpPr>
          <a:cxnSpLocks/>
          <a:stCxn id="105" idx="0"/>
          <a:endCxn id="100" idx="0"/>
        </xdr:cNvCxnSpPr>
      </xdr:nvCxnSpPr>
      <xdr:spPr>
        <a:xfrm flipH="1">
          <a:off x="16100936" y="1139959"/>
          <a:ext cx="4524" cy="97669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356498</xdr:colOff>
      <xdr:row>7</xdr:row>
      <xdr:rowOff>2618</xdr:rowOff>
    </xdr:from>
    <xdr:to>
      <xdr:col>27</xdr:col>
      <xdr:colOff>468648</xdr:colOff>
      <xdr:row>7</xdr:row>
      <xdr:rowOff>3577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8773DE39-9BF8-49E6-8061-CA89E279BCE8}"/>
            </a:ext>
          </a:extLst>
        </xdr:cNvPr>
        <xdr:cNvCxnSpPr>
          <a:cxnSpLocks/>
          <a:stCxn id="103" idx="3"/>
        </xdr:cNvCxnSpPr>
      </xdr:nvCxnSpPr>
      <xdr:spPr>
        <a:xfrm>
          <a:off x="16152758" y="1389458"/>
          <a:ext cx="112150" cy="95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302115</xdr:colOff>
      <xdr:row>11</xdr:row>
      <xdr:rowOff>56269</xdr:rowOff>
    </xdr:from>
    <xdr:to>
      <xdr:col>27</xdr:col>
      <xdr:colOff>304676</xdr:colOff>
      <xdr:row>15</xdr:row>
      <xdr:rowOff>3357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3F77ED3B-2307-4162-9D87-C31D73655B17}"/>
            </a:ext>
          </a:extLst>
        </xdr:cNvPr>
        <xdr:cNvCxnSpPr>
          <a:cxnSpLocks/>
          <a:stCxn id="100" idx="2"/>
        </xdr:cNvCxnSpPr>
      </xdr:nvCxnSpPr>
      <xdr:spPr>
        <a:xfrm flipH="1">
          <a:off x="16098375" y="223558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349954</xdr:colOff>
      <xdr:row>13</xdr:row>
      <xdr:rowOff>3578</xdr:rowOff>
    </xdr:from>
    <xdr:to>
      <xdr:col>27</xdr:col>
      <xdr:colOff>472225</xdr:colOff>
      <xdr:row>13</xdr:row>
      <xdr:rowOff>3968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F8422128-73E7-4A28-938D-604025D2F79A}"/>
            </a:ext>
          </a:extLst>
        </xdr:cNvPr>
        <xdr:cNvCxnSpPr>
          <a:cxnSpLocks/>
          <a:stCxn id="101" idx="3"/>
        </xdr:cNvCxnSpPr>
      </xdr:nvCxnSpPr>
      <xdr:spPr>
        <a:xfrm flipV="1">
          <a:off x="16146214" y="2579138"/>
          <a:ext cx="122271" cy="3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259852</xdr:colOff>
      <xdr:row>10</xdr:row>
      <xdr:rowOff>135457</xdr:rowOff>
    </xdr:from>
    <xdr:to>
      <xdr:col>27</xdr:col>
      <xdr:colOff>349499</xdr:colOff>
      <xdr:row>11</xdr:row>
      <xdr:rowOff>56269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3B11050A-DD37-462A-A94F-54E9051BA817}"/>
            </a:ext>
          </a:extLst>
        </xdr:cNvPr>
        <xdr:cNvSpPr/>
      </xdr:nvSpPr>
      <xdr:spPr>
        <a:xfrm>
          <a:off x="16056112" y="211665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260307</xdr:colOff>
      <xdr:row>12</xdr:row>
      <xdr:rowOff>141942</xdr:rowOff>
    </xdr:from>
    <xdr:to>
      <xdr:col>27</xdr:col>
      <xdr:colOff>349954</xdr:colOff>
      <xdr:row>13</xdr:row>
      <xdr:rowOff>62754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66112513-E70A-4543-A5A4-221B9AB5E04E}"/>
            </a:ext>
          </a:extLst>
        </xdr:cNvPr>
        <xdr:cNvSpPr/>
      </xdr:nvSpPr>
      <xdr:spPr>
        <a:xfrm>
          <a:off x="16056567" y="251938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349499</xdr:colOff>
      <xdr:row>10</xdr:row>
      <xdr:rowOff>193183</xdr:rowOff>
    </xdr:from>
    <xdr:to>
      <xdr:col>27</xdr:col>
      <xdr:colOff>461493</xdr:colOff>
      <xdr:row>10</xdr:row>
      <xdr:rowOff>194243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D02965D-1A47-46F7-9C0C-0580B5F25D09}"/>
            </a:ext>
          </a:extLst>
        </xdr:cNvPr>
        <xdr:cNvCxnSpPr>
          <a:stCxn id="100" idx="3"/>
        </xdr:cNvCxnSpPr>
      </xdr:nvCxnSpPr>
      <xdr:spPr>
        <a:xfrm flipV="1">
          <a:off x="16145759" y="2174383"/>
          <a:ext cx="111994" cy="106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266851</xdr:colOff>
      <xdr:row>6</xdr:row>
      <xdr:rowOff>140592</xdr:rowOff>
    </xdr:from>
    <xdr:to>
      <xdr:col>27</xdr:col>
      <xdr:colOff>356498</xdr:colOff>
      <xdr:row>7</xdr:row>
      <xdr:rowOff>61404</xdr:rowOff>
    </xdr:to>
    <xdr:sp macro="" textlink="">
      <xdr:nvSpPr>
        <xdr:cNvPr id="103" name="Diamond 102">
          <a:extLst>
            <a:ext uri="{FF2B5EF4-FFF2-40B4-BE49-F238E27FC236}">
              <a16:creationId xmlns:a16="http://schemas.microsoft.com/office/drawing/2014/main" id="{445574A4-E661-4679-9481-23D3BAB01CFD}"/>
            </a:ext>
          </a:extLst>
        </xdr:cNvPr>
        <xdr:cNvSpPr/>
      </xdr:nvSpPr>
      <xdr:spPr>
        <a:xfrm>
          <a:off x="16063111" y="132931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355292</xdr:colOff>
      <xdr:row>9</xdr:row>
      <xdr:rowOff>3300</xdr:rowOff>
    </xdr:from>
    <xdr:to>
      <xdr:col>27</xdr:col>
      <xdr:colOff>475803</xdr:colOff>
      <xdr:row>9</xdr:row>
      <xdr:rowOff>3578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2536B071-5B87-4558-B609-169CDA1975FA}"/>
            </a:ext>
          </a:extLst>
        </xdr:cNvPr>
        <xdr:cNvCxnSpPr>
          <a:stCxn id="106" idx="3"/>
        </xdr:cNvCxnSpPr>
      </xdr:nvCxnSpPr>
      <xdr:spPr>
        <a:xfrm>
          <a:off x="16151552" y="1786380"/>
          <a:ext cx="120511" cy="27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245283</xdr:colOff>
      <xdr:row>4</xdr:row>
      <xdr:rowOff>194616</xdr:rowOff>
    </xdr:from>
    <xdr:to>
      <xdr:col>27</xdr:col>
      <xdr:colOff>373117</xdr:colOff>
      <xdr:row>5</xdr:row>
      <xdr:rowOff>149359</xdr:rowOff>
    </xdr:to>
    <xdr:sp macro="" textlink="">
      <xdr:nvSpPr>
        <xdr:cNvPr id="105" name="Isosceles Triangle 104">
          <a:extLst>
            <a:ext uri="{FF2B5EF4-FFF2-40B4-BE49-F238E27FC236}">
              <a16:creationId xmlns:a16="http://schemas.microsoft.com/office/drawing/2014/main" id="{50FA7A61-3D80-4E1F-84C3-D7BA108B3865}"/>
            </a:ext>
          </a:extLst>
        </xdr:cNvPr>
        <xdr:cNvSpPr/>
      </xdr:nvSpPr>
      <xdr:spPr>
        <a:xfrm rot="10800000">
          <a:off x="16041543" y="987096"/>
          <a:ext cx="127834" cy="152863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265645</xdr:colOff>
      <xdr:row>8</xdr:row>
      <xdr:rowOff>141274</xdr:rowOff>
    </xdr:from>
    <xdr:to>
      <xdr:col>27</xdr:col>
      <xdr:colOff>355292</xdr:colOff>
      <xdr:row>9</xdr:row>
      <xdr:rowOff>62086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268B73A6-EF96-4CA6-A1FC-F6B9B7A0A75B}"/>
            </a:ext>
          </a:extLst>
        </xdr:cNvPr>
        <xdr:cNvSpPr/>
      </xdr:nvSpPr>
      <xdr:spPr>
        <a:xfrm>
          <a:off x="16061905" y="172623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304676</xdr:colOff>
      <xdr:row>40</xdr:row>
      <xdr:rowOff>164301</xdr:rowOff>
    </xdr:from>
    <xdr:to>
      <xdr:col>27</xdr:col>
      <xdr:colOff>309200</xdr:colOff>
      <xdr:row>43</xdr:row>
      <xdr:rowOff>135457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D7354F0A-B019-4FF0-81AE-449447E74D96}"/>
            </a:ext>
          </a:extLst>
        </xdr:cNvPr>
        <xdr:cNvCxnSpPr>
          <a:cxnSpLocks/>
          <a:stCxn id="114" idx="0"/>
          <a:endCxn id="110" idx="0"/>
        </xdr:cNvCxnSpPr>
      </xdr:nvCxnSpPr>
      <xdr:spPr>
        <a:xfrm flipH="1">
          <a:off x="16100936" y="8089101"/>
          <a:ext cx="4524" cy="56551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302115</xdr:colOff>
      <xdr:row>44</xdr:row>
      <xdr:rowOff>56269</xdr:rowOff>
    </xdr:from>
    <xdr:to>
      <xdr:col>27</xdr:col>
      <xdr:colOff>304676</xdr:colOff>
      <xdr:row>48</xdr:row>
      <xdr:rowOff>3357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3B825DF0-B068-4465-8D77-BE45B11F8FBD}"/>
            </a:ext>
          </a:extLst>
        </xdr:cNvPr>
        <xdr:cNvCxnSpPr>
          <a:cxnSpLocks/>
          <a:stCxn id="110" idx="2"/>
        </xdr:cNvCxnSpPr>
      </xdr:nvCxnSpPr>
      <xdr:spPr>
        <a:xfrm flipH="1">
          <a:off x="16098375" y="877354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349954</xdr:colOff>
      <xdr:row>46</xdr:row>
      <xdr:rowOff>3285</xdr:rowOff>
    </xdr:from>
    <xdr:to>
      <xdr:col>27</xdr:col>
      <xdr:colOff>472965</xdr:colOff>
      <xdr:row>46</xdr:row>
      <xdr:rowOff>3814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E72ACFF6-0F13-4DCA-B1BC-C8B15F5D51E0}"/>
            </a:ext>
          </a:extLst>
        </xdr:cNvPr>
        <xdr:cNvCxnSpPr>
          <a:cxnSpLocks/>
          <a:stCxn id="111" idx="3"/>
        </xdr:cNvCxnSpPr>
      </xdr:nvCxnSpPr>
      <xdr:spPr>
        <a:xfrm flipV="1">
          <a:off x="16146214" y="9116805"/>
          <a:ext cx="123011" cy="52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259852</xdr:colOff>
      <xdr:row>43</xdr:row>
      <xdr:rowOff>135457</xdr:rowOff>
    </xdr:from>
    <xdr:to>
      <xdr:col>27</xdr:col>
      <xdr:colOff>349499</xdr:colOff>
      <xdr:row>44</xdr:row>
      <xdr:rowOff>56269</xdr:rowOff>
    </xdr:to>
    <xdr:sp macro="" textlink="">
      <xdr:nvSpPr>
        <xdr:cNvPr id="110" name="Diamond 109">
          <a:extLst>
            <a:ext uri="{FF2B5EF4-FFF2-40B4-BE49-F238E27FC236}">
              <a16:creationId xmlns:a16="http://schemas.microsoft.com/office/drawing/2014/main" id="{72D741B1-D6D8-40D2-A333-A19BEE279108}"/>
            </a:ext>
          </a:extLst>
        </xdr:cNvPr>
        <xdr:cNvSpPr/>
      </xdr:nvSpPr>
      <xdr:spPr>
        <a:xfrm>
          <a:off x="16056112" y="865461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260307</xdr:colOff>
      <xdr:row>45</xdr:row>
      <xdr:rowOff>141942</xdr:rowOff>
    </xdr:from>
    <xdr:to>
      <xdr:col>27</xdr:col>
      <xdr:colOff>349954</xdr:colOff>
      <xdr:row>46</xdr:row>
      <xdr:rowOff>62754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040EFB25-5A37-42B0-8D99-73EB6D95968F}"/>
            </a:ext>
          </a:extLst>
        </xdr:cNvPr>
        <xdr:cNvSpPr/>
      </xdr:nvSpPr>
      <xdr:spPr>
        <a:xfrm>
          <a:off x="16056567" y="905734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349499</xdr:colOff>
      <xdr:row>43</xdr:row>
      <xdr:rowOff>193784</xdr:rowOff>
    </xdr:from>
    <xdr:to>
      <xdr:col>27</xdr:col>
      <xdr:colOff>469681</xdr:colOff>
      <xdr:row>43</xdr:row>
      <xdr:rowOff>194397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5895F760-B60A-4CC4-8E42-17C741862DD7}"/>
            </a:ext>
          </a:extLst>
        </xdr:cNvPr>
        <xdr:cNvCxnSpPr>
          <a:stCxn id="110" idx="3"/>
        </xdr:cNvCxnSpPr>
      </xdr:nvCxnSpPr>
      <xdr:spPr>
        <a:xfrm flipV="1">
          <a:off x="16145759" y="8712944"/>
          <a:ext cx="120182" cy="61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355292</xdr:colOff>
      <xdr:row>42</xdr:row>
      <xdr:rowOff>3146</xdr:rowOff>
    </xdr:from>
    <xdr:to>
      <xdr:col>27</xdr:col>
      <xdr:colOff>472965</xdr:colOff>
      <xdr:row>42</xdr:row>
      <xdr:rowOff>3284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E6538AA3-4BF4-470E-9E25-2BDFB9F97FA9}"/>
            </a:ext>
          </a:extLst>
        </xdr:cNvPr>
        <xdr:cNvCxnSpPr>
          <a:stCxn id="115" idx="3"/>
        </xdr:cNvCxnSpPr>
      </xdr:nvCxnSpPr>
      <xdr:spPr>
        <a:xfrm>
          <a:off x="16151552" y="8324186"/>
          <a:ext cx="117673" cy="13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245283</xdr:colOff>
      <xdr:row>40</xdr:row>
      <xdr:rowOff>7852</xdr:rowOff>
    </xdr:from>
    <xdr:to>
      <xdr:col>27</xdr:col>
      <xdr:colOff>373117</xdr:colOff>
      <xdr:row>40</xdr:row>
      <xdr:rowOff>164301</xdr:rowOff>
    </xdr:to>
    <xdr:sp macro="" textlink="">
      <xdr:nvSpPr>
        <xdr:cNvPr id="114" name="Isosceles Triangle 113">
          <a:extLst>
            <a:ext uri="{FF2B5EF4-FFF2-40B4-BE49-F238E27FC236}">
              <a16:creationId xmlns:a16="http://schemas.microsoft.com/office/drawing/2014/main" id="{D7CDEF2D-A8AB-4A53-9260-0A5CC7D215D5}"/>
            </a:ext>
          </a:extLst>
        </xdr:cNvPr>
        <xdr:cNvSpPr/>
      </xdr:nvSpPr>
      <xdr:spPr>
        <a:xfrm rot="10800000">
          <a:off x="16041543" y="7932652"/>
          <a:ext cx="127834" cy="156449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265645</xdr:colOff>
      <xdr:row>41</xdr:row>
      <xdr:rowOff>141274</xdr:rowOff>
    </xdr:from>
    <xdr:to>
      <xdr:col>27</xdr:col>
      <xdr:colOff>355292</xdr:colOff>
      <xdr:row>42</xdr:row>
      <xdr:rowOff>62086</xdr:rowOff>
    </xdr:to>
    <xdr:sp macro="" textlink="">
      <xdr:nvSpPr>
        <xdr:cNvPr id="115" name="Diamond 114">
          <a:extLst>
            <a:ext uri="{FF2B5EF4-FFF2-40B4-BE49-F238E27FC236}">
              <a16:creationId xmlns:a16="http://schemas.microsoft.com/office/drawing/2014/main" id="{9794A957-580B-46F1-AA44-69A6DA344A48}"/>
            </a:ext>
          </a:extLst>
        </xdr:cNvPr>
        <xdr:cNvSpPr/>
      </xdr:nvSpPr>
      <xdr:spPr>
        <a:xfrm>
          <a:off x="16061905" y="826419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301729</xdr:colOff>
      <xdr:row>65</xdr:row>
      <xdr:rowOff>171772</xdr:rowOff>
    </xdr:from>
    <xdr:to>
      <xdr:col>19</xdr:col>
      <xdr:colOff>304676</xdr:colOff>
      <xdr:row>66</xdr:row>
      <xdr:rowOff>135457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ED96DA9B-59B9-4E55-9E29-3A4C13E59811}"/>
            </a:ext>
          </a:extLst>
        </xdr:cNvPr>
        <xdr:cNvCxnSpPr>
          <a:cxnSpLocks/>
          <a:stCxn id="122" idx="0"/>
          <a:endCxn id="119" idx="0"/>
        </xdr:cNvCxnSpPr>
      </xdr:nvCxnSpPr>
      <xdr:spPr>
        <a:xfrm>
          <a:off x="11586949" y="13049572"/>
          <a:ext cx="2947" cy="16180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302115</xdr:colOff>
      <xdr:row>67</xdr:row>
      <xdr:rowOff>56269</xdr:rowOff>
    </xdr:from>
    <xdr:to>
      <xdr:col>19</xdr:col>
      <xdr:colOff>304676</xdr:colOff>
      <xdr:row>71</xdr:row>
      <xdr:rowOff>3357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52512E03-AF59-4722-8878-0D17955FC26A}"/>
            </a:ext>
          </a:extLst>
        </xdr:cNvPr>
        <xdr:cNvCxnSpPr>
          <a:cxnSpLocks/>
          <a:stCxn id="119" idx="2"/>
        </xdr:cNvCxnSpPr>
      </xdr:nvCxnSpPr>
      <xdr:spPr>
        <a:xfrm flipH="1">
          <a:off x="11587335" y="1333030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349954</xdr:colOff>
      <xdr:row>69</xdr:row>
      <xdr:rowOff>0</xdr:rowOff>
    </xdr:from>
    <xdr:to>
      <xdr:col>19</xdr:col>
      <xdr:colOff>472587</xdr:colOff>
      <xdr:row>69</xdr:row>
      <xdr:rowOff>3435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247A9A5F-1E16-4600-B206-3D67575A27AF}"/>
            </a:ext>
          </a:extLst>
        </xdr:cNvPr>
        <xdr:cNvCxnSpPr>
          <a:cxnSpLocks/>
          <a:stCxn id="120" idx="3"/>
        </xdr:cNvCxnSpPr>
      </xdr:nvCxnSpPr>
      <xdr:spPr>
        <a:xfrm flipV="1">
          <a:off x="11635174" y="13670280"/>
          <a:ext cx="122633" cy="34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259852</xdr:colOff>
      <xdr:row>66</xdr:row>
      <xdr:rowOff>135457</xdr:rowOff>
    </xdr:from>
    <xdr:to>
      <xdr:col>19</xdr:col>
      <xdr:colOff>349499</xdr:colOff>
      <xdr:row>67</xdr:row>
      <xdr:rowOff>56269</xdr:rowOff>
    </xdr:to>
    <xdr:sp macro="" textlink="">
      <xdr:nvSpPr>
        <xdr:cNvPr id="119" name="Diamond 118">
          <a:extLst>
            <a:ext uri="{FF2B5EF4-FFF2-40B4-BE49-F238E27FC236}">
              <a16:creationId xmlns:a16="http://schemas.microsoft.com/office/drawing/2014/main" id="{C08CA4C4-29BC-45BF-BECF-E546A9F7CD98}"/>
            </a:ext>
          </a:extLst>
        </xdr:cNvPr>
        <xdr:cNvSpPr/>
      </xdr:nvSpPr>
      <xdr:spPr>
        <a:xfrm>
          <a:off x="11545072" y="1321137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260307</xdr:colOff>
      <xdr:row>68</xdr:row>
      <xdr:rowOff>141942</xdr:rowOff>
    </xdr:from>
    <xdr:to>
      <xdr:col>19</xdr:col>
      <xdr:colOff>349954</xdr:colOff>
      <xdr:row>69</xdr:row>
      <xdr:rowOff>62754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1E2F07EE-BF8D-41BE-B776-A0FA5A63A136}"/>
            </a:ext>
          </a:extLst>
        </xdr:cNvPr>
        <xdr:cNvSpPr/>
      </xdr:nvSpPr>
      <xdr:spPr>
        <a:xfrm>
          <a:off x="11545527" y="1361410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349499</xdr:colOff>
      <xdr:row>66</xdr:row>
      <xdr:rowOff>194163</xdr:rowOff>
    </xdr:from>
    <xdr:to>
      <xdr:col>19</xdr:col>
      <xdr:colOff>472587</xdr:colOff>
      <xdr:row>66</xdr:row>
      <xdr:rowOff>194777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D04A6D9A-EB54-4E21-B746-2526F0E61F53}"/>
            </a:ext>
          </a:extLst>
        </xdr:cNvPr>
        <xdr:cNvCxnSpPr>
          <a:stCxn id="119" idx="3"/>
        </xdr:cNvCxnSpPr>
      </xdr:nvCxnSpPr>
      <xdr:spPr>
        <a:xfrm flipV="1">
          <a:off x="11634719" y="13270083"/>
          <a:ext cx="123088" cy="61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237812</xdr:colOff>
      <xdr:row>65</xdr:row>
      <xdr:rowOff>15323</xdr:rowOff>
    </xdr:from>
    <xdr:to>
      <xdr:col>19</xdr:col>
      <xdr:colOff>365646</xdr:colOff>
      <xdr:row>65</xdr:row>
      <xdr:rowOff>171772</xdr:rowOff>
    </xdr:to>
    <xdr:sp macro="" textlink="">
      <xdr:nvSpPr>
        <xdr:cNvPr id="122" name="Isosceles Triangle 121">
          <a:extLst>
            <a:ext uri="{FF2B5EF4-FFF2-40B4-BE49-F238E27FC236}">
              <a16:creationId xmlns:a16="http://schemas.microsoft.com/office/drawing/2014/main" id="{2DC9D210-AD0D-4936-9A2D-AAD76E3FBC74}"/>
            </a:ext>
          </a:extLst>
        </xdr:cNvPr>
        <xdr:cNvSpPr/>
      </xdr:nvSpPr>
      <xdr:spPr>
        <a:xfrm rot="10800000">
          <a:off x="11523032" y="12893123"/>
          <a:ext cx="127834" cy="156449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312025</xdr:colOff>
      <xdr:row>82</xdr:row>
      <xdr:rowOff>149360</xdr:rowOff>
    </xdr:from>
    <xdr:to>
      <xdr:col>19</xdr:col>
      <xdr:colOff>316670</xdr:colOff>
      <xdr:row>83</xdr:row>
      <xdr:rowOff>149373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37D39E69-C8B7-4978-BAE2-AF51449AFC3E}"/>
            </a:ext>
          </a:extLst>
        </xdr:cNvPr>
        <xdr:cNvCxnSpPr>
          <a:cxnSpLocks/>
          <a:stCxn id="127" idx="0"/>
          <a:endCxn id="126" idx="0"/>
        </xdr:cNvCxnSpPr>
      </xdr:nvCxnSpPr>
      <xdr:spPr>
        <a:xfrm flipH="1">
          <a:off x="11597245" y="16372340"/>
          <a:ext cx="4645" cy="19051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311814</xdr:colOff>
      <xdr:row>84</xdr:row>
      <xdr:rowOff>70185</xdr:rowOff>
    </xdr:from>
    <xdr:to>
      <xdr:col>19</xdr:col>
      <xdr:colOff>312025</xdr:colOff>
      <xdr:row>86</xdr:row>
      <xdr:rowOff>17477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202B4450-F9FC-496A-8ACE-1DBBC0991082}"/>
            </a:ext>
          </a:extLst>
        </xdr:cNvPr>
        <xdr:cNvCxnSpPr>
          <a:cxnSpLocks/>
          <a:stCxn id="126" idx="2"/>
        </xdr:cNvCxnSpPr>
      </xdr:nvCxnSpPr>
      <xdr:spPr>
        <a:xfrm flipH="1">
          <a:off x="11597034" y="16674165"/>
          <a:ext cx="211" cy="328292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356848</xdr:colOff>
      <xdr:row>84</xdr:row>
      <xdr:rowOff>13655</xdr:rowOff>
    </xdr:from>
    <xdr:to>
      <xdr:col>19</xdr:col>
      <xdr:colOff>468385</xdr:colOff>
      <xdr:row>84</xdr:row>
      <xdr:rowOff>13981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A55FA11D-A11F-42CC-8506-4DA8866C9287}"/>
            </a:ext>
          </a:extLst>
        </xdr:cNvPr>
        <xdr:cNvCxnSpPr>
          <a:cxnSpLocks/>
          <a:stCxn id="126" idx="3"/>
        </xdr:cNvCxnSpPr>
      </xdr:nvCxnSpPr>
      <xdr:spPr>
        <a:xfrm>
          <a:off x="11642068" y="16617635"/>
          <a:ext cx="111537" cy="32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267201</xdr:colOff>
      <xdr:row>83</xdr:row>
      <xdr:rowOff>149373</xdr:rowOff>
    </xdr:from>
    <xdr:to>
      <xdr:col>19</xdr:col>
      <xdr:colOff>356848</xdr:colOff>
      <xdr:row>84</xdr:row>
      <xdr:rowOff>70185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A997A6D3-7107-4CC6-92C1-4A5128728F1B}"/>
            </a:ext>
          </a:extLst>
        </xdr:cNvPr>
        <xdr:cNvSpPr/>
      </xdr:nvSpPr>
      <xdr:spPr>
        <a:xfrm>
          <a:off x="11552421" y="16562853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252753</xdr:colOff>
      <xdr:row>81</xdr:row>
      <xdr:rowOff>187146</xdr:rowOff>
    </xdr:from>
    <xdr:to>
      <xdr:col>19</xdr:col>
      <xdr:colOff>380587</xdr:colOff>
      <xdr:row>82</xdr:row>
      <xdr:rowOff>149360</xdr:rowOff>
    </xdr:to>
    <xdr:sp macro="" textlink="">
      <xdr:nvSpPr>
        <xdr:cNvPr id="127" name="Isosceles Triangle 126">
          <a:extLst>
            <a:ext uri="{FF2B5EF4-FFF2-40B4-BE49-F238E27FC236}">
              <a16:creationId xmlns:a16="http://schemas.microsoft.com/office/drawing/2014/main" id="{E53DEFEC-7C18-4BA3-BC68-05C4BC316120}"/>
            </a:ext>
          </a:extLst>
        </xdr:cNvPr>
        <xdr:cNvSpPr/>
      </xdr:nvSpPr>
      <xdr:spPr>
        <a:xfrm rot="10800000">
          <a:off x="11537973" y="16219626"/>
          <a:ext cx="127834" cy="152714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311714</xdr:colOff>
      <xdr:row>5</xdr:row>
      <xdr:rowOff>164690</xdr:rowOff>
    </xdr:from>
    <xdr:to>
      <xdr:col>18</xdr:col>
      <xdr:colOff>313643</xdr:colOff>
      <xdr:row>8</xdr:row>
      <xdr:rowOff>151064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469401B7-B2EA-4C03-9AE7-11B865FC4D0B}"/>
            </a:ext>
          </a:extLst>
        </xdr:cNvPr>
        <xdr:cNvCxnSpPr>
          <a:stCxn id="139" idx="0"/>
          <a:endCxn id="140" idx="1"/>
        </xdr:cNvCxnSpPr>
      </xdr:nvCxnSpPr>
      <xdr:spPr>
        <a:xfrm flipH="1">
          <a:off x="10956854" y="1155290"/>
          <a:ext cx="1929" cy="58073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356347</xdr:colOff>
      <xdr:row>6</xdr:row>
      <xdr:rowOff>197185</xdr:rowOff>
    </xdr:from>
    <xdr:to>
      <xdr:col>18</xdr:col>
      <xdr:colOff>485862</xdr:colOff>
      <xdr:row>7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258DB648-8DA8-4F17-B02F-5D124A6FC0E6}"/>
            </a:ext>
          </a:extLst>
        </xdr:cNvPr>
        <xdr:cNvCxnSpPr>
          <a:cxnSpLocks/>
          <a:stCxn id="137" idx="3"/>
        </xdr:cNvCxnSpPr>
      </xdr:nvCxnSpPr>
      <xdr:spPr>
        <a:xfrm>
          <a:off x="11001487" y="1385905"/>
          <a:ext cx="129515" cy="9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311092</xdr:colOff>
      <xdr:row>9</xdr:row>
      <xdr:rowOff>53030</xdr:rowOff>
    </xdr:from>
    <xdr:to>
      <xdr:col>18</xdr:col>
      <xdr:colOff>311714</xdr:colOff>
      <xdr:row>14</xdr:row>
      <xdr:rowOff>199238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5E76942D-5B67-43AE-90EA-FC640670F03F}"/>
            </a:ext>
          </a:extLst>
        </xdr:cNvPr>
        <xdr:cNvCxnSpPr>
          <a:stCxn id="140" idx="2"/>
        </xdr:cNvCxnSpPr>
      </xdr:nvCxnSpPr>
      <xdr:spPr>
        <a:xfrm flipH="1">
          <a:off x="10956232" y="1836110"/>
          <a:ext cx="622" cy="113680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209938</xdr:colOff>
      <xdr:row>9</xdr:row>
      <xdr:rowOff>54195</xdr:rowOff>
    </xdr:from>
    <xdr:to>
      <xdr:col>18</xdr:col>
      <xdr:colOff>210780</xdr:colOff>
      <xdr:row>15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DE49E7E8-CEA2-41CD-B291-8D8712DBD159}"/>
            </a:ext>
          </a:extLst>
        </xdr:cNvPr>
        <xdr:cNvCxnSpPr>
          <a:stCxn id="140" idx="3"/>
        </xdr:cNvCxnSpPr>
      </xdr:nvCxnSpPr>
      <xdr:spPr>
        <a:xfrm flipH="1">
          <a:off x="10855078" y="1837275"/>
          <a:ext cx="842" cy="1134525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359143</xdr:colOff>
      <xdr:row>13</xdr:row>
      <xdr:rowOff>3148</xdr:rowOff>
    </xdr:from>
    <xdr:to>
      <xdr:col>18</xdr:col>
      <xdr:colOff>481760</xdr:colOff>
      <xdr:row>13</xdr:row>
      <xdr:rowOff>4857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7EBD1694-9891-439E-AD33-84E6080029E4}"/>
            </a:ext>
          </a:extLst>
        </xdr:cNvPr>
        <xdr:cNvCxnSpPr>
          <a:cxnSpLocks/>
          <a:stCxn id="134" idx="3"/>
        </xdr:cNvCxnSpPr>
      </xdr:nvCxnSpPr>
      <xdr:spPr>
        <a:xfrm flipV="1">
          <a:off x="11004283" y="2578708"/>
          <a:ext cx="122617" cy="17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268814</xdr:colOff>
      <xdr:row>10</xdr:row>
      <xdr:rowOff>140736</xdr:rowOff>
    </xdr:from>
    <xdr:to>
      <xdr:col>18</xdr:col>
      <xdr:colOff>358461</xdr:colOff>
      <xdr:row>11</xdr:row>
      <xdr:rowOff>61548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AA534061-5820-43CF-A4E3-99AB10985B9F}"/>
            </a:ext>
          </a:extLst>
        </xdr:cNvPr>
        <xdr:cNvSpPr/>
      </xdr:nvSpPr>
      <xdr:spPr>
        <a:xfrm>
          <a:off x="10913954" y="212193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269496</xdr:colOff>
      <xdr:row>12</xdr:row>
      <xdr:rowOff>143637</xdr:rowOff>
    </xdr:from>
    <xdr:to>
      <xdr:col>18</xdr:col>
      <xdr:colOff>359143</xdr:colOff>
      <xdr:row>13</xdr:row>
      <xdr:rowOff>64449</xdr:rowOff>
    </xdr:to>
    <xdr:sp macro="" textlink="">
      <xdr:nvSpPr>
        <xdr:cNvPr id="134" name="Diamond 133">
          <a:extLst>
            <a:ext uri="{FF2B5EF4-FFF2-40B4-BE49-F238E27FC236}">
              <a16:creationId xmlns:a16="http://schemas.microsoft.com/office/drawing/2014/main" id="{2A68D1BF-6ECD-4777-BEC9-E3A390CB2AEF}"/>
            </a:ext>
          </a:extLst>
        </xdr:cNvPr>
        <xdr:cNvSpPr/>
      </xdr:nvSpPr>
      <xdr:spPr>
        <a:xfrm>
          <a:off x="10914636" y="252107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274320</xdr:colOff>
      <xdr:row>9</xdr:row>
      <xdr:rowOff>0</xdr:rowOff>
    </xdr:from>
    <xdr:to>
      <xdr:col>18</xdr:col>
      <xdr:colOff>472440</xdr:colOff>
      <xdr:row>9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63C500F1-CFDF-406F-8BA6-9A702612535B}"/>
            </a:ext>
          </a:extLst>
        </xdr:cNvPr>
        <xdr:cNvCxnSpPr/>
      </xdr:nvCxnSpPr>
      <xdr:spPr>
        <a:xfrm>
          <a:off x="10919460" y="178308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358461</xdr:colOff>
      <xdr:row>10</xdr:row>
      <xdr:rowOff>199238</xdr:rowOff>
    </xdr:from>
    <xdr:to>
      <xdr:col>18</xdr:col>
      <xdr:colOff>489358</xdr:colOff>
      <xdr:row>11</xdr:row>
      <xdr:rowOff>1523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B1110B2D-3D4D-470A-BEF8-EE0FF596C9B2}"/>
            </a:ext>
          </a:extLst>
        </xdr:cNvPr>
        <xdr:cNvCxnSpPr>
          <a:stCxn id="133" idx="3"/>
        </xdr:cNvCxnSpPr>
      </xdr:nvCxnSpPr>
      <xdr:spPr>
        <a:xfrm flipV="1">
          <a:off x="11003601" y="2180438"/>
          <a:ext cx="130897" cy="40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6</xdr:row>
      <xdr:rowOff>137160</xdr:rowOff>
    </xdr:from>
    <xdr:to>
      <xdr:col>18</xdr:col>
      <xdr:colOff>356347</xdr:colOff>
      <xdr:row>7</xdr:row>
      <xdr:rowOff>57972</xdr:rowOff>
    </xdr:to>
    <xdr:sp macro="" textlink="">
      <xdr:nvSpPr>
        <xdr:cNvPr id="137" name="Diamond 136">
          <a:extLst>
            <a:ext uri="{FF2B5EF4-FFF2-40B4-BE49-F238E27FC236}">
              <a16:creationId xmlns:a16="http://schemas.microsoft.com/office/drawing/2014/main" id="{9E0A959F-0513-4E0E-97DF-3F1D1677E23B}"/>
            </a:ext>
          </a:extLst>
        </xdr:cNvPr>
        <xdr:cNvSpPr/>
      </xdr:nvSpPr>
      <xdr:spPr>
        <a:xfrm>
          <a:off x="10911840" y="132588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274320</xdr:colOff>
      <xdr:row>9</xdr:row>
      <xdr:rowOff>0</xdr:rowOff>
    </xdr:from>
    <xdr:to>
      <xdr:col>18</xdr:col>
      <xdr:colOff>481760</xdr:colOff>
      <xdr:row>9</xdr:row>
      <xdr:rowOff>1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5FBE7C6F-A292-4D70-B6F5-F6464BA1C60D}"/>
            </a:ext>
          </a:extLst>
        </xdr:cNvPr>
        <xdr:cNvCxnSpPr/>
      </xdr:nvCxnSpPr>
      <xdr:spPr>
        <a:xfrm flipV="1">
          <a:off x="10919460" y="1783080"/>
          <a:ext cx="207440" cy="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258660</xdr:colOff>
      <xdr:row>5</xdr:row>
      <xdr:rowOff>13982</xdr:rowOff>
    </xdr:from>
    <xdr:to>
      <xdr:col>18</xdr:col>
      <xdr:colOff>368627</xdr:colOff>
      <xdr:row>5</xdr:row>
      <xdr:rowOff>164690</xdr:rowOff>
    </xdr:to>
    <xdr:sp macro="" textlink="">
      <xdr:nvSpPr>
        <xdr:cNvPr id="139" name="Isosceles Triangle 138">
          <a:extLst>
            <a:ext uri="{FF2B5EF4-FFF2-40B4-BE49-F238E27FC236}">
              <a16:creationId xmlns:a16="http://schemas.microsoft.com/office/drawing/2014/main" id="{F0D8A144-F5E8-4AFE-B6D0-FC70348714D6}"/>
            </a:ext>
          </a:extLst>
        </xdr:cNvPr>
        <xdr:cNvSpPr/>
      </xdr:nvSpPr>
      <xdr:spPr>
        <a:xfrm rot="10800000">
          <a:off x="10903800" y="1004582"/>
          <a:ext cx="109967" cy="150708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164129</xdr:colOff>
      <xdr:row>8</xdr:row>
      <xdr:rowOff>104288</xdr:rowOff>
    </xdr:from>
    <xdr:to>
      <xdr:col>18</xdr:col>
      <xdr:colOff>358365</xdr:colOff>
      <xdr:row>9</xdr:row>
      <xdr:rowOff>99806</xdr:rowOff>
    </xdr:to>
    <xdr:sp macro="" textlink="">
      <xdr:nvSpPr>
        <xdr:cNvPr id="140" name="Multiplication Sign 139">
          <a:extLst>
            <a:ext uri="{FF2B5EF4-FFF2-40B4-BE49-F238E27FC236}">
              <a16:creationId xmlns:a16="http://schemas.microsoft.com/office/drawing/2014/main" id="{3BB17036-5122-4CD6-A851-6A74C7FCA037}"/>
            </a:ext>
          </a:extLst>
        </xdr:cNvPr>
        <xdr:cNvSpPr/>
      </xdr:nvSpPr>
      <xdr:spPr>
        <a:xfrm>
          <a:off x="10809269" y="168924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311714</xdr:colOff>
      <xdr:row>40</xdr:row>
      <xdr:rowOff>156670</xdr:rowOff>
    </xdr:from>
    <xdr:to>
      <xdr:col>18</xdr:col>
      <xdr:colOff>316661</xdr:colOff>
      <xdr:row>41</xdr:row>
      <xdr:rowOff>151373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E0E9D3BF-B2CC-493B-914A-D9258210CBDD}"/>
            </a:ext>
          </a:extLst>
        </xdr:cNvPr>
        <xdr:cNvCxnSpPr>
          <a:stCxn id="150" idx="0"/>
          <a:endCxn id="151" idx="1"/>
        </xdr:cNvCxnSpPr>
      </xdr:nvCxnSpPr>
      <xdr:spPr>
        <a:xfrm flipH="1">
          <a:off x="10956854" y="8081470"/>
          <a:ext cx="4947" cy="19282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311092</xdr:colOff>
      <xdr:row>42</xdr:row>
      <xdr:rowOff>53030</xdr:rowOff>
    </xdr:from>
    <xdr:to>
      <xdr:col>18</xdr:col>
      <xdr:colOff>311714</xdr:colOff>
      <xdr:row>47</xdr:row>
      <xdr:rowOff>199238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3083D590-49B6-49CA-A32A-355E9903933B}"/>
            </a:ext>
          </a:extLst>
        </xdr:cNvPr>
        <xdr:cNvCxnSpPr>
          <a:stCxn id="151" idx="2"/>
        </xdr:cNvCxnSpPr>
      </xdr:nvCxnSpPr>
      <xdr:spPr>
        <a:xfrm flipH="1">
          <a:off x="10956232" y="8374070"/>
          <a:ext cx="622" cy="113680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209938</xdr:colOff>
      <xdr:row>42</xdr:row>
      <xdr:rowOff>54195</xdr:rowOff>
    </xdr:from>
    <xdr:to>
      <xdr:col>18</xdr:col>
      <xdr:colOff>210780</xdr:colOff>
      <xdr:row>48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C52491B9-CD40-4E02-B7CB-B47945DBA42D}"/>
            </a:ext>
          </a:extLst>
        </xdr:cNvPr>
        <xdr:cNvCxnSpPr>
          <a:stCxn id="151" idx="3"/>
        </xdr:cNvCxnSpPr>
      </xdr:nvCxnSpPr>
      <xdr:spPr>
        <a:xfrm flipH="1">
          <a:off x="10855078" y="8375235"/>
          <a:ext cx="842" cy="1134525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359143</xdr:colOff>
      <xdr:row>46</xdr:row>
      <xdr:rowOff>3149</xdr:rowOff>
    </xdr:from>
    <xdr:to>
      <xdr:col>18</xdr:col>
      <xdr:colOff>478612</xdr:colOff>
      <xdr:row>46</xdr:row>
      <xdr:rowOff>4858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5197FFC8-5468-4A30-9F95-C75ED9BF34C8}"/>
            </a:ext>
          </a:extLst>
        </xdr:cNvPr>
        <xdr:cNvCxnSpPr>
          <a:cxnSpLocks/>
          <a:stCxn id="146" idx="3"/>
        </xdr:cNvCxnSpPr>
      </xdr:nvCxnSpPr>
      <xdr:spPr>
        <a:xfrm flipV="1">
          <a:off x="11004283" y="9116669"/>
          <a:ext cx="119469" cy="17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268814</xdr:colOff>
      <xdr:row>43</xdr:row>
      <xdr:rowOff>140736</xdr:rowOff>
    </xdr:from>
    <xdr:to>
      <xdr:col>18</xdr:col>
      <xdr:colOff>358461</xdr:colOff>
      <xdr:row>44</xdr:row>
      <xdr:rowOff>61548</xdr:rowOff>
    </xdr:to>
    <xdr:sp macro="" textlink="">
      <xdr:nvSpPr>
        <xdr:cNvPr id="145" name="Diamond 144">
          <a:extLst>
            <a:ext uri="{FF2B5EF4-FFF2-40B4-BE49-F238E27FC236}">
              <a16:creationId xmlns:a16="http://schemas.microsoft.com/office/drawing/2014/main" id="{83939CE9-E094-4439-A6B3-C5E63EEB3FA7}"/>
            </a:ext>
          </a:extLst>
        </xdr:cNvPr>
        <xdr:cNvSpPr/>
      </xdr:nvSpPr>
      <xdr:spPr>
        <a:xfrm>
          <a:off x="10913954" y="865989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269496</xdr:colOff>
      <xdr:row>45</xdr:row>
      <xdr:rowOff>143637</xdr:rowOff>
    </xdr:from>
    <xdr:to>
      <xdr:col>18</xdr:col>
      <xdr:colOff>359143</xdr:colOff>
      <xdr:row>46</xdr:row>
      <xdr:rowOff>64449</xdr:rowOff>
    </xdr:to>
    <xdr:sp macro="" textlink="">
      <xdr:nvSpPr>
        <xdr:cNvPr id="146" name="Diamond 145">
          <a:extLst>
            <a:ext uri="{FF2B5EF4-FFF2-40B4-BE49-F238E27FC236}">
              <a16:creationId xmlns:a16="http://schemas.microsoft.com/office/drawing/2014/main" id="{E320E477-E811-4B0D-A0AE-F3671C3B0C77}"/>
            </a:ext>
          </a:extLst>
        </xdr:cNvPr>
        <xdr:cNvSpPr/>
      </xdr:nvSpPr>
      <xdr:spPr>
        <a:xfrm>
          <a:off x="10914636" y="905903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274320</xdr:colOff>
      <xdr:row>42</xdr:row>
      <xdr:rowOff>0</xdr:rowOff>
    </xdr:from>
    <xdr:to>
      <xdr:col>18</xdr:col>
      <xdr:colOff>472440</xdr:colOff>
      <xdr:row>42</xdr:row>
      <xdr:rowOff>0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60598EF9-735A-424D-922C-8DEDCD0C527C}"/>
            </a:ext>
          </a:extLst>
        </xdr:cNvPr>
        <xdr:cNvCxnSpPr/>
      </xdr:nvCxnSpPr>
      <xdr:spPr>
        <a:xfrm>
          <a:off x="10919460" y="832104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358461</xdr:colOff>
      <xdr:row>44</xdr:row>
      <xdr:rowOff>0</xdr:rowOff>
    </xdr:from>
    <xdr:to>
      <xdr:col>18</xdr:col>
      <xdr:colOff>481760</xdr:colOff>
      <xdr:row>44</xdr:row>
      <xdr:rowOff>1956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7CBC9DCD-152F-4FC1-A3D6-9CE4982796C2}"/>
            </a:ext>
          </a:extLst>
        </xdr:cNvPr>
        <xdr:cNvCxnSpPr>
          <a:stCxn id="145" idx="3"/>
        </xdr:cNvCxnSpPr>
      </xdr:nvCxnSpPr>
      <xdr:spPr>
        <a:xfrm flipV="1">
          <a:off x="11003601" y="8717280"/>
          <a:ext cx="123299" cy="195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274320</xdr:colOff>
      <xdr:row>42</xdr:row>
      <xdr:rowOff>0</xdr:rowOff>
    </xdr:from>
    <xdr:to>
      <xdr:col>18</xdr:col>
      <xdr:colOff>472440</xdr:colOff>
      <xdr:row>42</xdr:row>
      <xdr:rowOff>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59FCC6D3-405E-4353-942A-DDD544B50248}"/>
            </a:ext>
          </a:extLst>
        </xdr:cNvPr>
        <xdr:cNvCxnSpPr/>
      </xdr:nvCxnSpPr>
      <xdr:spPr>
        <a:xfrm>
          <a:off x="10919460" y="8321040"/>
          <a:ext cx="19812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248653</xdr:colOff>
      <xdr:row>39</xdr:row>
      <xdr:rowOff>184484</xdr:rowOff>
    </xdr:from>
    <xdr:to>
      <xdr:col>18</xdr:col>
      <xdr:colOff>384669</xdr:colOff>
      <xdr:row>40</xdr:row>
      <xdr:rowOff>156670</xdr:rowOff>
    </xdr:to>
    <xdr:sp macro="" textlink="">
      <xdr:nvSpPr>
        <xdr:cNvPr id="150" name="Isosceles Triangle 149">
          <a:extLst>
            <a:ext uri="{FF2B5EF4-FFF2-40B4-BE49-F238E27FC236}">
              <a16:creationId xmlns:a16="http://schemas.microsoft.com/office/drawing/2014/main" id="{A0BC56A5-1236-4CBD-B747-6060FFBAE92B}"/>
            </a:ext>
          </a:extLst>
        </xdr:cNvPr>
        <xdr:cNvSpPr/>
      </xdr:nvSpPr>
      <xdr:spPr>
        <a:xfrm rot="10800000">
          <a:off x="10893793" y="7911164"/>
          <a:ext cx="136016" cy="170306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164129</xdr:colOff>
      <xdr:row>41</xdr:row>
      <xdr:rowOff>104288</xdr:rowOff>
    </xdr:from>
    <xdr:to>
      <xdr:col>18</xdr:col>
      <xdr:colOff>358365</xdr:colOff>
      <xdr:row>42</xdr:row>
      <xdr:rowOff>99806</xdr:rowOff>
    </xdr:to>
    <xdr:sp macro="" textlink="">
      <xdr:nvSpPr>
        <xdr:cNvPr id="151" name="Multiplication Sign 150">
          <a:extLst>
            <a:ext uri="{FF2B5EF4-FFF2-40B4-BE49-F238E27FC236}">
              <a16:creationId xmlns:a16="http://schemas.microsoft.com/office/drawing/2014/main" id="{D31346FD-3D79-4F36-A0F9-A020B19F1AE4}"/>
            </a:ext>
          </a:extLst>
        </xdr:cNvPr>
        <xdr:cNvSpPr/>
      </xdr:nvSpPr>
      <xdr:spPr>
        <a:xfrm>
          <a:off x="10809269" y="822720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311714</xdr:colOff>
      <xdr:row>37</xdr:row>
      <xdr:rowOff>121920</xdr:rowOff>
    </xdr:from>
    <xdr:to>
      <xdr:col>2</xdr:col>
      <xdr:colOff>312420</xdr:colOff>
      <xdr:row>44</xdr:row>
      <xdr:rowOff>150324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3BC85E01-1B3D-420F-8AB5-79FE88B67AB6}"/>
            </a:ext>
          </a:extLst>
        </xdr:cNvPr>
        <xdr:cNvCxnSpPr>
          <a:stCxn id="198" idx="0"/>
          <a:endCxn id="215" idx="1"/>
        </xdr:cNvCxnSpPr>
      </xdr:nvCxnSpPr>
      <xdr:spPr>
        <a:xfrm flipH="1">
          <a:off x="1508054" y="7452360"/>
          <a:ext cx="706" cy="141524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356347</xdr:colOff>
      <xdr:row>42</xdr:row>
      <xdr:rowOff>195743</xdr:rowOff>
    </xdr:from>
    <xdr:to>
      <xdr:col>2</xdr:col>
      <xdr:colOff>475376</xdr:colOff>
      <xdr:row>42</xdr:row>
      <xdr:rowOff>197186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454A177F-67FE-4848-BC4E-C9D7040D7C3D}"/>
            </a:ext>
          </a:extLst>
        </xdr:cNvPr>
        <xdr:cNvCxnSpPr>
          <a:cxnSpLocks/>
          <a:stCxn id="192" idx="3"/>
        </xdr:cNvCxnSpPr>
      </xdr:nvCxnSpPr>
      <xdr:spPr>
        <a:xfrm flipV="1">
          <a:off x="1552687" y="8516783"/>
          <a:ext cx="119029" cy="144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311714</xdr:colOff>
      <xdr:row>45</xdr:row>
      <xdr:rowOff>53770</xdr:rowOff>
    </xdr:from>
    <xdr:to>
      <xdr:col>2</xdr:col>
      <xdr:colOff>324416</xdr:colOff>
      <xdr:row>51</xdr:row>
      <xdr:rowOff>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4E535D8F-66CD-44C8-86D4-C7726D24F955}"/>
            </a:ext>
          </a:extLst>
        </xdr:cNvPr>
        <xdr:cNvCxnSpPr>
          <a:stCxn id="215" idx="2"/>
        </xdr:cNvCxnSpPr>
      </xdr:nvCxnSpPr>
      <xdr:spPr>
        <a:xfrm>
          <a:off x="1508054" y="8969170"/>
          <a:ext cx="12702" cy="113495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210780</xdr:colOff>
      <xdr:row>45</xdr:row>
      <xdr:rowOff>53743</xdr:rowOff>
    </xdr:from>
    <xdr:to>
      <xdr:col>2</xdr:col>
      <xdr:colOff>211667</xdr:colOff>
      <xdr:row>50</xdr:row>
      <xdr:rowOff>192425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1073CF48-ACB4-4C4D-948D-D5E693DE2F16}"/>
            </a:ext>
          </a:extLst>
        </xdr:cNvPr>
        <xdr:cNvCxnSpPr>
          <a:stCxn id="215" idx="3"/>
        </xdr:cNvCxnSpPr>
      </xdr:nvCxnSpPr>
      <xdr:spPr>
        <a:xfrm>
          <a:off x="1407120" y="8969143"/>
          <a:ext cx="887" cy="112928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366134</xdr:colOff>
      <xdr:row>49</xdr:row>
      <xdr:rowOff>0</xdr:rowOff>
    </xdr:from>
    <xdr:to>
      <xdr:col>2</xdr:col>
      <xdr:colOff>471880</xdr:colOff>
      <xdr:row>49</xdr:row>
      <xdr:rowOff>1067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4609AF64-531B-447F-ADAE-FE9A8FAE1572}"/>
            </a:ext>
          </a:extLst>
        </xdr:cNvPr>
        <xdr:cNvCxnSpPr>
          <a:cxnSpLocks/>
          <a:stCxn id="158" idx="3"/>
        </xdr:cNvCxnSpPr>
      </xdr:nvCxnSpPr>
      <xdr:spPr>
        <a:xfrm flipV="1">
          <a:off x="1562474" y="9707880"/>
          <a:ext cx="105746" cy="106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272448</xdr:colOff>
      <xdr:row>46</xdr:row>
      <xdr:rowOff>140735</xdr:rowOff>
    </xdr:from>
    <xdr:to>
      <xdr:col>2</xdr:col>
      <xdr:colOff>362095</xdr:colOff>
      <xdr:row>47</xdr:row>
      <xdr:rowOff>61547</xdr:rowOff>
    </xdr:to>
    <xdr:sp macro="" textlink="">
      <xdr:nvSpPr>
        <xdr:cNvPr id="157" name="Diamond 156">
          <a:extLst>
            <a:ext uri="{FF2B5EF4-FFF2-40B4-BE49-F238E27FC236}">
              <a16:creationId xmlns:a16="http://schemas.microsoft.com/office/drawing/2014/main" id="{D04E1E80-B730-4CFD-A19C-DE621CF20D84}"/>
            </a:ext>
          </a:extLst>
        </xdr:cNvPr>
        <xdr:cNvSpPr/>
      </xdr:nvSpPr>
      <xdr:spPr>
        <a:xfrm>
          <a:off x="1468788" y="925425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276487</xdr:colOff>
      <xdr:row>48</xdr:row>
      <xdr:rowOff>140280</xdr:rowOff>
    </xdr:from>
    <xdr:to>
      <xdr:col>2</xdr:col>
      <xdr:colOff>366134</xdr:colOff>
      <xdr:row>49</xdr:row>
      <xdr:rowOff>61092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DB71ADAF-9421-4400-8308-BBD455F62C68}"/>
            </a:ext>
          </a:extLst>
        </xdr:cNvPr>
        <xdr:cNvSpPr/>
      </xdr:nvSpPr>
      <xdr:spPr>
        <a:xfrm>
          <a:off x="1472827" y="965004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210780</xdr:colOff>
      <xdr:row>41</xdr:row>
      <xdr:rowOff>56162</xdr:rowOff>
    </xdr:from>
    <xdr:to>
      <xdr:col>2</xdr:col>
      <xdr:colOff>214291</xdr:colOff>
      <xdr:row>44</xdr:row>
      <xdr:rowOff>150324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88865CE7-B2E5-450F-9C31-B128A631DF50}"/>
            </a:ext>
          </a:extLst>
        </xdr:cNvPr>
        <xdr:cNvCxnSpPr>
          <a:stCxn id="197" idx="3"/>
          <a:endCxn id="215" idx="0"/>
        </xdr:cNvCxnSpPr>
      </xdr:nvCxnSpPr>
      <xdr:spPr>
        <a:xfrm flipH="1">
          <a:off x="1407120" y="8179082"/>
          <a:ext cx="3511" cy="68852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13</xdr:row>
      <xdr:rowOff>0</xdr:rowOff>
    </xdr:from>
    <xdr:to>
      <xdr:col>2</xdr:col>
      <xdr:colOff>472440</xdr:colOff>
      <xdr:row>13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7F9047D9-9F6F-422C-931F-A3FE7F0BCBEF}"/>
            </a:ext>
          </a:extLst>
        </xdr:cNvPr>
        <xdr:cNvCxnSpPr/>
      </xdr:nvCxnSpPr>
      <xdr:spPr>
        <a:xfrm>
          <a:off x="1470660" y="2575560"/>
          <a:ext cx="19812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319260</xdr:colOff>
      <xdr:row>13</xdr:row>
      <xdr:rowOff>53299</xdr:rowOff>
    </xdr:from>
    <xdr:to>
      <xdr:col>2</xdr:col>
      <xdr:colOff>327660</xdr:colOff>
      <xdr:row>19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DD47F95B-69A7-4F80-B60E-FFABC10D3672}"/>
            </a:ext>
          </a:extLst>
        </xdr:cNvPr>
        <xdr:cNvCxnSpPr>
          <a:stCxn id="171" idx="2"/>
        </xdr:cNvCxnSpPr>
      </xdr:nvCxnSpPr>
      <xdr:spPr>
        <a:xfrm>
          <a:off x="1515600" y="2628859"/>
          <a:ext cx="8400" cy="113542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41</xdr:row>
      <xdr:rowOff>7620</xdr:rowOff>
    </xdr:from>
    <xdr:to>
      <xdr:col>2</xdr:col>
      <xdr:colOff>472440</xdr:colOff>
      <xdr:row>41</xdr:row>
      <xdr:rowOff>7620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3DB67AEA-1384-48A7-93B9-EA47E1D9E007}"/>
            </a:ext>
          </a:extLst>
        </xdr:cNvPr>
        <xdr:cNvCxnSpPr/>
      </xdr:nvCxnSpPr>
      <xdr:spPr>
        <a:xfrm>
          <a:off x="1501140" y="8130540"/>
          <a:ext cx="167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39</xdr:row>
      <xdr:rowOff>0</xdr:rowOff>
    </xdr:from>
    <xdr:to>
      <xdr:col>2</xdr:col>
      <xdr:colOff>480060</xdr:colOff>
      <xdr:row>39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5C01BD05-F11E-40DE-A87D-A8BEB98B145A}"/>
            </a:ext>
          </a:extLst>
        </xdr:cNvPr>
        <xdr:cNvCxnSpPr/>
      </xdr:nvCxnSpPr>
      <xdr:spPr>
        <a:xfrm>
          <a:off x="1508760" y="7726680"/>
          <a:ext cx="167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373827</xdr:colOff>
      <xdr:row>14</xdr:row>
      <xdr:rowOff>193614</xdr:rowOff>
    </xdr:from>
    <xdr:to>
      <xdr:col>2</xdr:col>
      <xdr:colOff>488058</xdr:colOff>
      <xdr:row>14</xdr:row>
      <xdr:rowOff>195223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6E6DBA0D-42D6-4EC3-8C8A-40C6757418A3}"/>
            </a:ext>
          </a:extLst>
        </xdr:cNvPr>
        <xdr:cNvCxnSpPr>
          <a:stCxn id="167" idx="3"/>
        </xdr:cNvCxnSpPr>
      </xdr:nvCxnSpPr>
      <xdr:spPr>
        <a:xfrm>
          <a:off x="1570167" y="2967294"/>
          <a:ext cx="114231" cy="16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373678</xdr:colOff>
      <xdr:row>16</xdr:row>
      <xdr:rowOff>198372</xdr:rowOff>
    </xdr:from>
    <xdr:to>
      <xdr:col>2</xdr:col>
      <xdr:colOff>494355</xdr:colOff>
      <xdr:row>17</xdr:row>
      <xdr:rowOff>3162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523E892-5A33-44F5-BB2F-8C4A9F36B50B}"/>
            </a:ext>
          </a:extLst>
        </xdr:cNvPr>
        <xdr:cNvCxnSpPr>
          <a:stCxn id="166" idx="3"/>
        </xdr:cNvCxnSpPr>
      </xdr:nvCxnSpPr>
      <xdr:spPr>
        <a:xfrm flipV="1">
          <a:off x="1570018" y="3368292"/>
          <a:ext cx="120677" cy="291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284031</xdr:colOff>
      <xdr:row>16</xdr:row>
      <xdr:rowOff>141942</xdr:rowOff>
    </xdr:from>
    <xdr:to>
      <xdr:col>2</xdr:col>
      <xdr:colOff>373678</xdr:colOff>
      <xdr:row>17</xdr:row>
      <xdr:rowOff>62754</xdr:rowOff>
    </xdr:to>
    <xdr:sp macro="" textlink="">
      <xdr:nvSpPr>
        <xdr:cNvPr id="166" name="Diamond 165">
          <a:extLst>
            <a:ext uri="{FF2B5EF4-FFF2-40B4-BE49-F238E27FC236}">
              <a16:creationId xmlns:a16="http://schemas.microsoft.com/office/drawing/2014/main" id="{1DB5DA15-F182-47B1-B52D-E5D38B4C611E}"/>
            </a:ext>
          </a:extLst>
        </xdr:cNvPr>
        <xdr:cNvSpPr/>
      </xdr:nvSpPr>
      <xdr:spPr>
        <a:xfrm>
          <a:off x="1480371" y="331186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284180</xdr:colOff>
      <xdr:row>14</xdr:row>
      <xdr:rowOff>134022</xdr:rowOff>
    </xdr:from>
    <xdr:to>
      <xdr:col>2</xdr:col>
      <xdr:colOff>373827</xdr:colOff>
      <xdr:row>15</xdr:row>
      <xdr:rowOff>54834</xdr:rowOff>
    </xdr:to>
    <xdr:sp macro="" textlink="">
      <xdr:nvSpPr>
        <xdr:cNvPr id="167" name="Diamond 166">
          <a:extLst>
            <a:ext uri="{FF2B5EF4-FFF2-40B4-BE49-F238E27FC236}">
              <a16:creationId xmlns:a16="http://schemas.microsoft.com/office/drawing/2014/main" id="{E5BDBFA9-DCCF-4156-B26B-5959C3D47ED0}"/>
            </a:ext>
          </a:extLst>
        </xdr:cNvPr>
        <xdr:cNvSpPr/>
      </xdr:nvSpPr>
      <xdr:spPr>
        <a:xfrm>
          <a:off x="1480520" y="290770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9</xdr:row>
      <xdr:rowOff>7620</xdr:rowOff>
    </xdr:from>
    <xdr:to>
      <xdr:col>2</xdr:col>
      <xdr:colOff>487680</xdr:colOff>
      <xdr:row>9</xdr:row>
      <xdr:rowOff>7620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2C38C19B-CDB2-4EBD-9469-DC1BFDFBD54B}"/>
            </a:ext>
          </a:extLst>
        </xdr:cNvPr>
        <xdr:cNvCxnSpPr/>
      </xdr:nvCxnSpPr>
      <xdr:spPr>
        <a:xfrm>
          <a:off x="1501140" y="1790700"/>
          <a:ext cx="18288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7</xdr:row>
      <xdr:rowOff>0</xdr:rowOff>
    </xdr:from>
    <xdr:to>
      <xdr:col>2</xdr:col>
      <xdr:colOff>487680</xdr:colOff>
      <xdr:row>7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5568BFBC-0DF8-4F7A-BFD6-79E37DE48045}"/>
            </a:ext>
          </a:extLst>
        </xdr:cNvPr>
        <xdr:cNvCxnSpPr/>
      </xdr:nvCxnSpPr>
      <xdr:spPr>
        <a:xfrm>
          <a:off x="1508760" y="1386840"/>
          <a:ext cx="17526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274320</xdr:colOff>
      <xdr:row>6</xdr:row>
      <xdr:rowOff>129540</xdr:rowOff>
    </xdr:from>
    <xdr:to>
      <xdr:col>2</xdr:col>
      <xdr:colOff>363967</xdr:colOff>
      <xdr:row>7</xdr:row>
      <xdr:rowOff>50352</xdr:rowOff>
    </xdr:to>
    <xdr:sp macro="" textlink="">
      <xdr:nvSpPr>
        <xdr:cNvPr id="170" name="Diamond 169">
          <a:extLst>
            <a:ext uri="{FF2B5EF4-FFF2-40B4-BE49-F238E27FC236}">
              <a16:creationId xmlns:a16="http://schemas.microsoft.com/office/drawing/2014/main" id="{90BD0ABD-70A8-4E40-8D66-05E4B52494DC}"/>
            </a:ext>
          </a:extLst>
        </xdr:cNvPr>
        <xdr:cNvSpPr/>
      </xdr:nvSpPr>
      <xdr:spPr>
        <a:xfrm>
          <a:off x="1470660" y="131826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171675</xdr:colOff>
      <xdr:row>12</xdr:row>
      <xdr:rowOff>104288</xdr:rowOff>
    </xdr:from>
    <xdr:to>
      <xdr:col>2</xdr:col>
      <xdr:colOff>365911</xdr:colOff>
      <xdr:row>13</xdr:row>
      <xdr:rowOff>99806</xdr:rowOff>
    </xdr:to>
    <xdr:sp macro="" textlink="">
      <xdr:nvSpPr>
        <xdr:cNvPr id="171" name="Multiplication Sign 170">
          <a:extLst>
            <a:ext uri="{FF2B5EF4-FFF2-40B4-BE49-F238E27FC236}">
              <a16:creationId xmlns:a16="http://schemas.microsoft.com/office/drawing/2014/main" id="{0E7840AE-23D8-4A76-836E-3FAE27D85153}"/>
            </a:ext>
          </a:extLst>
        </xdr:cNvPr>
        <xdr:cNvSpPr/>
      </xdr:nvSpPr>
      <xdr:spPr>
        <a:xfrm>
          <a:off x="1368015" y="248172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218326</xdr:colOff>
      <xdr:row>13</xdr:row>
      <xdr:rowOff>53743</xdr:rowOff>
    </xdr:from>
    <xdr:to>
      <xdr:col>2</xdr:col>
      <xdr:colOff>223562</xdr:colOff>
      <xdr:row>18</xdr:row>
      <xdr:rowOff>192075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6C8E9750-1B94-4B98-9CEE-D7DC9DA4A1E7}"/>
            </a:ext>
          </a:extLst>
        </xdr:cNvPr>
        <xdr:cNvCxnSpPr>
          <a:stCxn id="171" idx="3"/>
        </xdr:cNvCxnSpPr>
      </xdr:nvCxnSpPr>
      <xdr:spPr>
        <a:xfrm>
          <a:off x="1414666" y="2629303"/>
          <a:ext cx="5236" cy="112893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182880</xdr:colOff>
      <xdr:row>8</xdr:row>
      <xdr:rowOff>114300</xdr:rowOff>
    </xdr:from>
    <xdr:to>
      <xdr:col>2</xdr:col>
      <xdr:colOff>377116</xdr:colOff>
      <xdr:row>9</xdr:row>
      <xdr:rowOff>109818</xdr:rowOff>
    </xdr:to>
    <xdr:sp macro="" textlink="">
      <xdr:nvSpPr>
        <xdr:cNvPr id="173" name="Multiplication Sign 172">
          <a:extLst>
            <a:ext uri="{FF2B5EF4-FFF2-40B4-BE49-F238E27FC236}">
              <a16:creationId xmlns:a16="http://schemas.microsoft.com/office/drawing/2014/main" id="{865A4CA3-C567-4ED6-8348-A8D219E50319}"/>
            </a:ext>
          </a:extLst>
        </xdr:cNvPr>
        <xdr:cNvSpPr/>
      </xdr:nvSpPr>
      <xdr:spPr>
        <a:xfrm>
          <a:off x="1379220" y="1699260"/>
          <a:ext cx="194236" cy="193638"/>
        </a:xfrm>
        <a:prstGeom prst="mathMultiply">
          <a:avLst/>
        </a:prstGeom>
        <a:solidFill>
          <a:srgbClr val="FFC000">
            <a:alpha val="98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218326</xdr:colOff>
      <xdr:row>9</xdr:row>
      <xdr:rowOff>63311</xdr:rowOff>
    </xdr:from>
    <xdr:to>
      <xdr:col>2</xdr:col>
      <xdr:colOff>229531</xdr:colOff>
      <xdr:row>12</xdr:row>
      <xdr:rowOff>150795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EAD1C820-0F6A-4729-A735-BB9EEECD040E}"/>
            </a:ext>
          </a:extLst>
        </xdr:cNvPr>
        <xdr:cNvCxnSpPr>
          <a:stCxn id="173" idx="3"/>
          <a:endCxn id="171" idx="0"/>
        </xdr:cNvCxnSpPr>
      </xdr:nvCxnSpPr>
      <xdr:spPr>
        <a:xfrm flipH="1">
          <a:off x="1414666" y="1846391"/>
          <a:ext cx="11205" cy="681844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5</xdr:row>
      <xdr:rowOff>15240</xdr:rowOff>
    </xdr:from>
    <xdr:to>
      <xdr:col>2</xdr:col>
      <xdr:colOff>480060</xdr:colOff>
      <xdr:row>5</xdr:row>
      <xdr:rowOff>15240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A0C225FF-9602-4498-8CF0-5FB93D51DC7D}"/>
            </a:ext>
          </a:extLst>
        </xdr:cNvPr>
        <xdr:cNvCxnSpPr/>
      </xdr:nvCxnSpPr>
      <xdr:spPr>
        <a:xfrm>
          <a:off x="1508760" y="1005840"/>
          <a:ext cx="16764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182880</xdr:colOff>
      <xdr:row>4</xdr:row>
      <xdr:rowOff>114300</xdr:rowOff>
    </xdr:from>
    <xdr:to>
      <xdr:col>2</xdr:col>
      <xdr:colOff>377116</xdr:colOff>
      <xdr:row>5</xdr:row>
      <xdr:rowOff>109818</xdr:rowOff>
    </xdr:to>
    <xdr:sp macro="" textlink="">
      <xdr:nvSpPr>
        <xdr:cNvPr id="176" name="Multiplication Sign 175">
          <a:extLst>
            <a:ext uri="{FF2B5EF4-FFF2-40B4-BE49-F238E27FC236}">
              <a16:creationId xmlns:a16="http://schemas.microsoft.com/office/drawing/2014/main" id="{A62E4410-3AA4-4377-B701-D5CE8D097E9A}"/>
            </a:ext>
          </a:extLst>
        </xdr:cNvPr>
        <xdr:cNvSpPr/>
      </xdr:nvSpPr>
      <xdr:spPr>
        <a:xfrm>
          <a:off x="1379220" y="906780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229531</xdr:colOff>
      <xdr:row>5</xdr:row>
      <xdr:rowOff>63311</xdr:rowOff>
    </xdr:from>
    <xdr:to>
      <xdr:col>2</xdr:col>
      <xdr:colOff>229531</xdr:colOff>
      <xdr:row>8</xdr:row>
      <xdr:rowOff>160807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62493E65-CF89-4497-BECD-00ABBC1F5F3C}"/>
            </a:ext>
          </a:extLst>
        </xdr:cNvPr>
        <xdr:cNvCxnSpPr>
          <a:cxnSpLocks/>
          <a:stCxn id="176" idx="3"/>
          <a:endCxn id="173" idx="0"/>
        </xdr:cNvCxnSpPr>
      </xdr:nvCxnSpPr>
      <xdr:spPr>
        <a:xfrm>
          <a:off x="1425871" y="1053911"/>
          <a:ext cx="0" cy="691856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253998</xdr:colOff>
      <xdr:row>2</xdr:row>
      <xdr:rowOff>200121</xdr:rowOff>
    </xdr:from>
    <xdr:to>
      <xdr:col>2</xdr:col>
      <xdr:colOff>384848</xdr:colOff>
      <xdr:row>3</xdr:row>
      <xdr:rowOff>161632</xdr:rowOff>
    </xdr:to>
    <xdr:sp macro="" textlink="">
      <xdr:nvSpPr>
        <xdr:cNvPr id="178" name="Isosceles Triangle 177">
          <a:extLst>
            <a:ext uri="{FF2B5EF4-FFF2-40B4-BE49-F238E27FC236}">
              <a16:creationId xmlns:a16="http://schemas.microsoft.com/office/drawing/2014/main" id="{98D58A5F-3F00-497E-92F9-3E8795CB7F7D}"/>
            </a:ext>
          </a:extLst>
        </xdr:cNvPr>
        <xdr:cNvSpPr/>
      </xdr:nvSpPr>
      <xdr:spPr>
        <a:xfrm rot="10800000">
          <a:off x="1450338" y="596361"/>
          <a:ext cx="130850" cy="159631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299003</xdr:colOff>
      <xdr:row>13</xdr:row>
      <xdr:rowOff>61328</xdr:rowOff>
    </xdr:from>
    <xdr:to>
      <xdr:col>10</xdr:col>
      <xdr:colOff>302115</xdr:colOff>
      <xdr:row>18</xdr:row>
      <xdr:rowOff>198052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9DC099AF-6CAE-4D05-AA9B-9CF86A0A4B94}"/>
            </a:ext>
          </a:extLst>
        </xdr:cNvPr>
        <xdr:cNvCxnSpPr>
          <a:cxnSpLocks/>
          <a:stCxn id="199" idx="2"/>
        </xdr:cNvCxnSpPr>
      </xdr:nvCxnSpPr>
      <xdr:spPr>
        <a:xfrm>
          <a:off x="6135923" y="2636888"/>
          <a:ext cx="3112" cy="112732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299003</xdr:colOff>
      <xdr:row>3</xdr:row>
      <xdr:rowOff>154363</xdr:rowOff>
    </xdr:from>
    <xdr:to>
      <xdr:col>10</xdr:col>
      <xdr:colOff>305553</xdr:colOff>
      <xdr:row>12</xdr:row>
      <xdr:rowOff>140516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DB21E89A-494E-4EE1-9374-F544F4BD262D}"/>
            </a:ext>
          </a:extLst>
        </xdr:cNvPr>
        <xdr:cNvCxnSpPr>
          <a:cxnSpLocks/>
          <a:stCxn id="238" idx="0"/>
          <a:endCxn id="199" idx="0"/>
        </xdr:cNvCxnSpPr>
      </xdr:nvCxnSpPr>
      <xdr:spPr>
        <a:xfrm flipH="1">
          <a:off x="6135923" y="748723"/>
          <a:ext cx="6550" cy="176923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342709</xdr:colOff>
      <xdr:row>14</xdr:row>
      <xdr:rowOff>197718</xdr:rowOff>
    </xdr:from>
    <xdr:to>
      <xdr:col>10</xdr:col>
      <xdr:colOff>486740</xdr:colOff>
      <xdr:row>15</xdr:row>
      <xdr:rowOff>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9BBC010A-B8F6-44F8-92FE-33950E028764}"/>
            </a:ext>
          </a:extLst>
        </xdr:cNvPr>
        <xdr:cNvCxnSpPr>
          <a:stCxn id="184" idx="3"/>
        </xdr:cNvCxnSpPr>
      </xdr:nvCxnSpPr>
      <xdr:spPr>
        <a:xfrm>
          <a:off x="6179629" y="2971398"/>
          <a:ext cx="144031" cy="40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346823</xdr:colOff>
      <xdr:row>17</xdr:row>
      <xdr:rowOff>13393</xdr:rowOff>
    </xdr:from>
    <xdr:to>
      <xdr:col>10</xdr:col>
      <xdr:colOff>486741</xdr:colOff>
      <xdr:row>17</xdr:row>
      <xdr:rowOff>13428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6C7A2FA3-0E4B-4DA3-80B7-B22C1F00FF22}"/>
            </a:ext>
          </a:extLst>
        </xdr:cNvPr>
        <xdr:cNvCxnSpPr>
          <a:stCxn id="183" idx="3"/>
        </xdr:cNvCxnSpPr>
      </xdr:nvCxnSpPr>
      <xdr:spPr>
        <a:xfrm>
          <a:off x="6183743" y="3381433"/>
          <a:ext cx="139918" cy="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16</xdr:row>
      <xdr:rowOff>152013</xdr:rowOff>
    </xdr:from>
    <xdr:to>
      <xdr:col>10</xdr:col>
      <xdr:colOff>346823</xdr:colOff>
      <xdr:row>17</xdr:row>
      <xdr:rowOff>72825</xdr:rowOff>
    </xdr:to>
    <xdr:sp macro="" textlink="">
      <xdr:nvSpPr>
        <xdr:cNvPr id="183" name="Diamond 182">
          <a:extLst>
            <a:ext uri="{FF2B5EF4-FFF2-40B4-BE49-F238E27FC236}">
              <a16:creationId xmlns:a16="http://schemas.microsoft.com/office/drawing/2014/main" id="{AFEA04C9-AC8C-49D9-A5BC-6FC8C0949AE1}"/>
            </a:ext>
          </a:extLst>
        </xdr:cNvPr>
        <xdr:cNvSpPr/>
      </xdr:nvSpPr>
      <xdr:spPr>
        <a:xfrm>
          <a:off x="6094096" y="33219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253062</xdr:colOff>
      <xdr:row>14</xdr:row>
      <xdr:rowOff>138285</xdr:rowOff>
    </xdr:from>
    <xdr:to>
      <xdr:col>10</xdr:col>
      <xdr:colOff>342709</xdr:colOff>
      <xdr:row>15</xdr:row>
      <xdr:rowOff>59097</xdr:rowOff>
    </xdr:to>
    <xdr:sp macro="" textlink="">
      <xdr:nvSpPr>
        <xdr:cNvPr id="184" name="Diamond 183">
          <a:extLst>
            <a:ext uri="{FF2B5EF4-FFF2-40B4-BE49-F238E27FC236}">
              <a16:creationId xmlns:a16="http://schemas.microsoft.com/office/drawing/2014/main" id="{968B5EEE-648D-43DB-A537-DDB243A35C1F}"/>
            </a:ext>
          </a:extLst>
        </xdr:cNvPr>
        <xdr:cNvSpPr/>
      </xdr:nvSpPr>
      <xdr:spPr>
        <a:xfrm>
          <a:off x="6089982" y="291196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255085</xdr:colOff>
      <xdr:row>10</xdr:row>
      <xdr:rowOff>138066</xdr:rowOff>
    </xdr:from>
    <xdr:to>
      <xdr:col>10</xdr:col>
      <xdr:colOff>344732</xdr:colOff>
      <xdr:row>11</xdr:row>
      <xdr:rowOff>58878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C5FC5B35-3CA1-4CA5-9B83-8D107F82BCA5}"/>
            </a:ext>
          </a:extLst>
        </xdr:cNvPr>
        <xdr:cNvSpPr/>
      </xdr:nvSpPr>
      <xdr:spPr>
        <a:xfrm>
          <a:off x="6092005" y="211926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347183</xdr:colOff>
      <xdr:row>9</xdr:row>
      <xdr:rowOff>353</xdr:rowOff>
    </xdr:from>
    <xdr:to>
      <xdr:col>10</xdr:col>
      <xdr:colOff>483384</xdr:colOff>
      <xdr:row>9</xdr:row>
      <xdr:rowOff>3357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217D80D2-66A3-4916-8B53-C0E56F622748}"/>
            </a:ext>
          </a:extLst>
        </xdr:cNvPr>
        <xdr:cNvCxnSpPr>
          <a:stCxn id="200" idx="3"/>
        </xdr:cNvCxnSpPr>
      </xdr:nvCxnSpPr>
      <xdr:spPr>
        <a:xfrm>
          <a:off x="6184103" y="1783433"/>
          <a:ext cx="136201" cy="300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347183</xdr:colOff>
      <xdr:row>6</xdr:row>
      <xdr:rowOff>195686</xdr:rowOff>
    </xdr:from>
    <xdr:to>
      <xdr:col>10</xdr:col>
      <xdr:colOff>490097</xdr:colOff>
      <xdr:row>7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692CC4F6-C674-4841-9B4C-56B629249A47}"/>
            </a:ext>
          </a:extLst>
        </xdr:cNvPr>
        <xdr:cNvCxnSpPr>
          <a:stCxn id="189" idx="3"/>
        </xdr:cNvCxnSpPr>
      </xdr:nvCxnSpPr>
      <xdr:spPr>
        <a:xfrm>
          <a:off x="6184103" y="1384406"/>
          <a:ext cx="142914" cy="24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344732</xdr:colOff>
      <xdr:row>10</xdr:row>
      <xdr:rowOff>197498</xdr:rowOff>
    </xdr:from>
    <xdr:to>
      <xdr:col>10</xdr:col>
      <xdr:colOff>486740</xdr:colOff>
      <xdr:row>10</xdr:row>
      <xdr:rowOff>198052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193CB732-1147-4CEC-A96E-12FFC26885C9}"/>
            </a:ext>
          </a:extLst>
        </xdr:cNvPr>
        <xdr:cNvCxnSpPr>
          <a:stCxn id="185" idx="3"/>
        </xdr:cNvCxnSpPr>
      </xdr:nvCxnSpPr>
      <xdr:spPr>
        <a:xfrm>
          <a:off x="6181652" y="2178698"/>
          <a:ext cx="142008" cy="55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257536</xdr:colOff>
      <xdr:row>6</xdr:row>
      <xdr:rowOff>136253</xdr:rowOff>
    </xdr:from>
    <xdr:to>
      <xdr:col>10</xdr:col>
      <xdr:colOff>347183</xdr:colOff>
      <xdr:row>7</xdr:row>
      <xdr:rowOff>57065</xdr:rowOff>
    </xdr:to>
    <xdr:sp macro="" textlink="">
      <xdr:nvSpPr>
        <xdr:cNvPr id="189" name="Diamond 188">
          <a:extLst>
            <a:ext uri="{FF2B5EF4-FFF2-40B4-BE49-F238E27FC236}">
              <a16:creationId xmlns:a16="http://schemas.microsoft.com/office/drawing/2014/main" id="{50AAB31D-4D84-43A9-8D94-DEE088CED68D}"/>
            </a:ext>
          </a:extLst>
        </xdr:cNvPr>
        <xdr:cNvSpPr/>
      </xdr:nvSpPr>
      <xdr:spPr>
        <a:xfrm>
          <a:off x="6094456" y="132497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343826</xdr:colOff>
      <xdr:row>13</xdr:row>
      <xdr:rowOff>0</xdr:rowOff>
    </xdr:from>
    <xdr:to>
      <xdr:col>10</xdr:col>
      <xdr:colOff>478221</xdr:colOff>
      <xdr:row>13</xdr:row>
      <xdr:rowOff>1074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99E6D73C-E4E3-4C04-8B5D-09E1883E1516}"/>
            </a:ext>
          </a:extLst>
        </xdr:cNvPr>
        <xdr:cNvCxnSpPr>
          <a:stCxn id="199" idx="3"/>
        </xdr:cNvCxnSpPr>
      </xdr:nvCxnSpPr>
      <xdr:spPr>
        <a:xfrm flipV="1">
          <a:off x="6180746" y="2575560"/>
          <a:ext cx="134395" cy="107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362095</xdr:colOff>
      <xdr:row>47</xdr:row>
      <xdr:rowOff>0</xdr:rowOff>
    </xdr:from>
    <xdr:to>
      <xdr:col>2</xdr:col>
      <xdr:colOff>471880</xdr:colOff>
      <xdr:row>47</xdr:row>
      <xdr:rowOff>1522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B46906B4-1B98-4E32-81BA-BA95A3F1457F}"/>
            </a:ext>
          </a:extLst>
        </xdr:cNvPr>
        <xdr:cNvCxnSpPr>
          <a:stCxn id="157" idx="3"/>
        </xdr:cNvCxnSpPr>
      </xdr:nvCxnSpPr>
      <xdr:spPr>
        <a:xfrm flipV="1">
          <a:off x="1558435" y="9311640"/>
          <a:ext cx="109785" cy="152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42</xdr:row>
      <xdr:rowOff>137160</xdr:rowOff>
    </xdr:from>
    <xdr:to>
      <xdr:col>2</xdr:col>
      <xdr:colOff>356347</xdr:colOff>
      <xdr:row>43</xdr:row>
      <xdr:rowOff>57972</xdr:rowOff>
    </xdr:to>
    <xdr:sp macro="" textlink="">
      <xdr:nvSpPr>
        <xdr:cNvPr id="192" name="Diamond 191">
          <a:extLst>
            <a:ext uri="{FF2B5EF4-FFF2-40B4-BE49-F238E27FC236}">
              <a16:creationId xmlns:a16="http://schemas.microsoft.com/office/drawing/2014/main" id="{ECFAE7B1-2F38-4DC5-8DBE-5E78FBB9BA4F}"/>
            </a:ext>
          </a:extLst>
        </xdr:cNvPr>
        <xdr:cNvSpPr/>
      </xdr:nvSpPr>
      <xdr:spPr>
        <a:xfrm>
          <a:off x="1463040" y="845820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41</xdr:row>
      <xdr:rowOff>6991</xdr:rowOff>
    </xdr:from>
    <xdr:to>
      <xdr:col>2</xdr:col>
      <xdr:colOff>482367</xdr:colOff>
      <xdr:row>41</xdr:row>
      <xdr:rowOff>7621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EB506C37-AA5B-4470-BA51-4065200A00EB}"/>
            </a:ext>
          </a:extLst>
        </xdr:cNvPr>
        <xdr:cNvCxnSpPr/>
      </xdr:nvCxnSpPr>
      <xdr:spPr>
        <a:xfrm flipV="1">
          <a:off x="1501140" y="8129911"/>
          <a:ext cx="177567" cy="63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356347</xdr:colOff>
      <xdr:row>38</xdr:row>
      <xdr:rowOff>195743</xdr:rowOff>
    </xdr:from>
    <xdr:to>
      <xdr:col>2</xdr:col>
      <xdr:colOff>468385</xdr:colOff>
      <xdr:row>38</xdr:row>
      <xdr:rowOff>197186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2D59BBC1-4F89-42B5-9AF6-1608E3C9DF54}"/>
            </a:ext>
          </a:extLst>
        </xdr:cNvPr>
        <xdr:cNvCxnSpPr>
          <a:stCxn id="195" idx="3"/>
        </xdr:cNvCxnSpPr>
      </xdr:nvCxnSpPr>
      <xdr:spPr>
        <a:xfrm flipV="1">
          <a:off x="1552687" y="7724303"/>
          <a:ext cx="112038" cy="144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38</xdr:row>
      <xdr:rowOff>137160</xdr:rowOff>
    </xdr:from>
    <xdr:to>
      <xdr:col>2</xdr:col>
      <xdr:colOff>356347</xdr:colOff>
      <xdr:row>39</xdr:row>
      <xdr:rowOff>57972</xdr:rowOff>
    </xdr:to>
    <xdr:sp macro="" textlink="">
      <xdr:nvSpPr>
        <xdr:cNvPr id="195" name="Diamond 194">
          <a:extLst>
            <a:ext uri="{FF2B5EF4-FFF2-40B4-BE49-F238E27FC236}">
              <a16:creationId xmlns:a16="http://schemas.microsoft.com/office/drawing/2014/main" id="{66504C90-DBA1-4BC7-877B-91D13A25311C}"/>
            </a:ext>
          </a:extLst>
        </xdr:cNvPr>
        <xdr:cNvSpPr/>
      </xdr:nvSpPr>
      <xdr:spPr>
        <a:xfrm>
          <a:off x="1463040" y="766572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277535</xdr:colOff>
      <xdr:row>45</xdr:row>
      <xdr:rowOff>3215</xdr:rowOff>
    </xdr:from>
    <xdr:to>
      <xdr:col>2</xdr:col>
      <xdr:colOff>479063</xdr:colOff>
      <xdr:row>45</xdr:row>
      <xdr:rowOff>3216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E39B5ABB-C8C2-4F5E-8E05-5BBD10F62A57}"/>
            </a:ext>
          </a:extLst>
        </xdr:cNvPr>
        <xdr:cNvCxnSpPr/>
      </xdr:nvCxnSpPr>
      <xdr:spPr>
        <a:xfrm flipV="1">
          <a:off x="1473875" y="8918615"/>
          <a:ext cx="201528" cy="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</xdr:colOff>
      <xdr:row>40</xdr:row>
      <xdr:rowOff>106680</xdr:rowOff>
    </xdr:from>
    <xdr:to>
      <xdr:col>2</xdr:col>
      <xdr:colOff>361876</xdr:colOff>
      <xdr:row>41</xdr:row>
      <xdr:rowOff>102198</xdr:rowOff>
    </xdr:to>
    <xdr:sp macro="" textlink="">
      <xdr:nvSpPr>
        <xdr:cNvPr id="197" name="Multiplication Sign 196">
          <a:extLst>
            <a:ext uri="{FF2B5EF4-FFF2-40B4-BE49-F238E27FC236}">
              <a16:creationId xmlns:a16="http://schemas.microsoft.com/office/drawing/2014/main" id="{955CA4D0-0074-446D-9D85-229927DC84B9}"/>
            </a:ext>
          </a:extLst>
        </xdr:cNvPr>
        <xdr:cNvSpPr/>
      </xdr:nvSpPr>
      <xdr:spPr>
        <a:xfrm>
          <a:off x="1363980" y="8031480"/>
          <a:ext cx="194236" cy="193638"/>
        </a:xfrm>
        <a:prstGeom prst="mathMultiply">
          <a:avLst/>
        </a:prstGeom>
        <a:solidFill>
          <a:srgbClr val="FFC000">
            <a:alpha val="98000"/>
          </a:srgb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37</xdr:row>
      <xdr:rowOff>0</xdr:rowOff>
    </xdr:from>
    <xdr:to>
      <xdr:col>2</xdr:col>
      <xdr:colOff>358140</xdr:colOff>
      <xdr:row>37</xdr:row>
      <xdr:rowOff>121920</xdr:rowOff>
    </xdr:to>
    <xdr:sp macro="" textlink="">
      <xdr:nvSpPr>
        <xdr:cNvPr id="198" name="Isosceles Triangle 197">
          <a:extLst>
            <a:ext uri="{FF2B5EF4-FFF2-40B4-BE49-F238E27FC236}">
              <a16:creationId xmlns:a16="http://schemas.microsoft.com/office/drawing/2014/main" id="{7E4C69DC-F8BC-40E6-80DB-BBB4C1415F28}"/>
            </a:ext>
          </a:extLst>
        </xdr:cNvPr>
        <xdr:cNvSpPr/>
      </xdr:nvSpPr>
      <xdr:spPr>
        <a:xfrm rot="10800000">
          <a:off x="1463040" y="7330440"/>
          <a:ext cx="91440" cy="121920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254179</xdr:colOff>
      <xdr:row>12</xdr:row>
      <xdr:rowOff>140516</xdr:rowOff>
    </xdr:from>
    <xdr:to>
      <xdr:col>10</xdr:col>
      <xdr:colOff>343826</xdr:colOff>
      <xdr:row>13</xdr:row>
      <xdr:rowOff>61328</xdr:rowOff>
    </xdr:to>
    <xdr:sp macro="" textlink="">
      <xdr:nvSpPr>
        <xdr:cNvPr id="199" name="Diamond 198">
          <a:extLst>
            <a:ext uri="{FF2B5EF4-FFF2-40B4-BE49-F238E27FC236}">
              <a16:creationId xmlns:a16="http://schemas.microsoft.com/office/drawing/2014/main" id="{53BAC659-4EA8-40CB-A913-B8711A1B6A1A}"/>
            </a:ext>
          </a:extLst>
        </xdr:cNvPr>
        <xdr:cNvSpPr/>
      </xdr:nvSpPr>
      <xdr:spPr>
        <a:xfrm>
          <a:off x="6091099" y="251795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257536</xdr:colOff>
      <xdr:row>8</xdr:row>
      <xdr:rowOff>138973</xdr:rowOff>
    </xdr:from>
    <xdr:to>
      <xdr:col>10</xdr:col>
      <xdr:colOff>347183</xdr:colOff>
      <xdr:row>9</xdr:row>
      <xdr:rowOff>59785</xdr:rowOff>
    </xdr:to>
    <xdr:sp macro="" textlink="">
      <xdr:nvSpPr>
        <xdr:cNvPr id="200" name="Diamond 199">
          <a:extLst>
            <a:ext uri="{FF2B5EF4-FFF2-40B4-BE49-F238E27FC236}">
              <a16:creationId xmlns:a16="http://schemas.microsoft.com/office/drawing/2014/main" id="{DFE7A2E1-0591-4661-A4E1-101B117C32F4}"/>
            </a:ext>
          </a:extLst>
        </xdr:cNvPr>
        <xdr:cNvSpPr/>
      </xdr:nvSpPr>
      <xdr:spPr>
        <a:xfrm>
          <a:off x="6094456" y="17239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353897</xdr:colOff>
      <xdr:row>4</xdr:row>
      <xdr:rowOff>194696</xdr:rowOff>
    </xdr:from>
    <xdr:to>
      <xdr:col>10</xdr:col>
      <xdr:colOff>480027</xdr:colOff>
      <xdr:row>4</xdr:row>
      <xdr:rowOff>196593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22E120CB-28CF-471C-9F75-050A351F7CF0}"/>
            </a:ext>
          </a:extLst>
        </xdr:cNvPr>
        <xdr:cNvCxnSpPr>
          <a:stCxn id="202" idx="3"/>
        </xdr:cNvCxnSpPr>
      </xdr:nvCxnSpPr>
      <xdr:spPr>
        <a:xfrm flipV="1">
          <a:off x="6190817" y="987176"/>
          <a:ext cx="126130" cy="189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264250</xdr:colOff>
      <xdr:row>4</xdr:row>
      <xdr:rowOff>137160</xdr:rowOff>
    </xdr:from>
    <xdr:to>
      <xdr:col>10</xdr:col>
      <xdr:colOff>353897</xdr:colOff>
      <xdr:row>5</xdr:row>
      <xdr:rowOff>57972</xdr:rowOff>
    </xdr:to>
    <xdr:sp macro="" textlink="">
      <xdr:nvSpPr>
        <xdr:cNvPr id="202" name="Diamond 201">
          <a:extLst>
            <a:ext uri="{FF2B5EF4-FFF2-40B4-BE49-F238E27FC236}">
              <a16:creationId xmlns:a16="http://schemas.microsoft.com/office/drawing/2014/main" id="{C017541C-0230-4D81-9540-B746856CB401}"/>
            </a:ext>
          </a:extLst>
        </xdr:cNvPr>
        <xdr:cNvSpPr/>
      </xdr:nvSpPr>
      <xdr:spPr>
        <a:xfrm>
          <a:off x="6101170" y="92964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296037</xdr:colOff>
      <xdr:row>37</xdr:row>
      <xdr:rowOff>178990</xdr:rowOff>
    </xdr:from>
    <xdr:to>
      <xdr:col>10</xdr:col>
      <xdr:colOff>304564</xdr:colOff>
      <xdr:row>44</xdr:row>
      <xdr:rowOff>141274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C0BD033F-DDB3-4E28-A287-A8C1D3E33165}"/>
            </a:ext>
          </a:extLst>
        </xdr:cNvPr>
        <xdr:cNvCxnSpPr>
          <a:cxnSpLocks/>
          <a:stCxn id="214" idx="0"/>
          <a:endCxn id="217" idx="0"/>
        </xdr:cNvCxnSpPr>
      </xdr:nvCxnSpPr>
      <xdr:spPr>
        <a:xfrm flipH="1">
          <a:off x="6132957" y="7509430"/>
          <a:ext cx="8527" cy="134912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349231</xdr:colOff>
      <xdr:row>42</xdr:row>
      <xdr:rowOff>199081</xdr:rowOff>
    </xdr:from>
    <xdr:to>
      <xdr:col>10</xdr:col>
      <xdr:colOff>480540</xdr:colOff>
      <xdr:row>43</xdr:row>
      <xdr:rowOff>1458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A0F8535E-B4EF-44BD-9C42-A22B87C5B59C}"/>
            </a:ext>
          </a:extLst>
        </xdr:cNvPr>
        <xdr:cNvCxnSpPr>
          <a:cxnSpLocks/>
          <a:stCxn id="210" idx="3"/>
        </xdr:cNvCxnSpPr>
      </xdr:nvCxnSpPr>
      <xdr:spPr>
        <a:xfrm flipV="1">
          <a:off x="6186151" y="8520121"/>
          <a:ext cx="131309" cy="49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296037</xdr:colOff>
      <xdr:row>45</xdr:row>
      <xdr:rowOff>62086</xdr:rowOff>
    </xdr:from>
    <xdr:to>
      <xdr:col>10</xdr:col>
      <xdr:colOff>297110</xdr:colOff>
      <xdr:row>50</xdr:row>
      <xdr:rowOff>195743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462DE218-2466-4087-B155-DD39157BE781}"/>
            </a:ext>
          </a:extLst>
        </xdr:cNvPr>
        <xdr:cNvCxnSpPr>
          <a:cxnSpLocks/>
          <a:stCxn id="217" idx="2"/>
        </xdr:cNvCxnSpPr>
      </xdr:nvCxnSpPr>
      <xdr:spPr>
        <a:xfrm>
          <a:off x="6132957" y="8977486"/>
          <a:ext cx="1073" cy="1124257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339103</xdr:colOff>
      <xdr:row>49</xdr:row>
      <xdr:rowOff>6303</xdr:rowOff>
    </xdr:from>
    <xdr:to>
      <xdr:col>10</xdr:col>
      <xdr:colOff>466811</xdr:colOff>
      <xdr:row>49</xdr:row>
      <xdr:rowOff>6865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E91CE5BB-A58B-4113-AA72-98F12CA69E0B}"/>
            </a:ext>
          </a:extLst>
        </xdr:cNvPr>
        <xdr:cNvCxnSpPr>
          <a:cxnSpLocks/>
          <a:stCxn id="208" idx="3"/>
        </xdr:cNvCxnSpPr>
      </xdr:nvCxnSpPr>
      <xdr:spPr>
        <a:xfrm>
          <a:off x="6176023" y="9714183"/>
          <a:ext cx="127708" cy="56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252169</xdr:colOff>
      <xdr:row>46</xdr:row>
      <xdr:rowOff>138813</xdr:rowOff>
    </xdr:from>
    <xdr:to>
      <xdr:col>10</xdr:col>
      <xdr:colOff>341816</xdr:colOff>
      <xdr:row>47</xdr:row>
      <xdr:rowOff>59625</xdr:rowOff>
    </xdr:to>
    <xdr:sp macro="" textlink="">
      <xdr:nvSpPr>
        <xdr:cNvPr id="207" name="Diamond 206">
          <a:extLst>
            <a:ext uri="{FF2B5EF4-FFF2-40B4-BE49-F238E27FC236}">
              <a16:creationId xmlns:a16="http://schemas.microsoft.com/office/drawing/2014/main" id="{07903A64-8CCB-46D8-BA59-A441430082AF}"/>
            </a:ext>
          </a:extLst>
        </xdr:cNvPr>
        <xdr:cNvSpPr/>
      </xdr:nvSpPr>
      <xdr:spPr>
        <a:xfrm>
          <a:off x="6089089" y="9252333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249456</xdr:colOff>
      <xdr:row>48</xdr:row>
      <xdr:rowOff>145437</xdr:rowOff>
    </xdr:from>
    <xdr:to>
      <xdr:col>10</xdr:col>
      <xdr:colOff>339103</xdr:colOff>
      <xdr:row>49</xdr:row>
      <xdr:rowOff>66249</xdr:rowOff>
    </xdr:to>
    <xdr:sp macro="" textlink="">
      <xdr:nvSpPr>
        <xdr:cNvPr id="208" name="Diamond 207">
          <a:extLst>
            <a:ext uri="{FF2B5EF4-FFF2-40B4-BE49-F238E27FC236}">
              <a16:creationId xmlns:a16="http://schemas.microsoft.com/office/drawing/2014/main" id="{B66D70BE-8C1A-4D01-99A9-BB511FDED66C}"/>
            </a:ext>
          </a:extLst>
        </xdr:cNvPr>
        <xdr:cNvSpPr/>
      </xdr:nvSpPr>
      <xdr:spPr>
        <a:xfrm>
          <a:off x="6086376" y="965519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341816</xdr:colOff>
      <xdr:row>46</xdr:row>
      <xdr:rowOff>198839</xdr:rowOff>
    </xdr:from>
    <xdr:to>
      <xdr:col>10</xdr:col>
      <xdr:colOff>475377</xdr:colOff>
      <xdr:row>47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2F6B143C-D301-4A74-B917-F4913A045574}"/>
            </a:ext>
          </a:extLst>
        </xdr:cNvPr>
        <xdr:cNvCxnSpPr>
          <a:stCxn id="207" idx="3"/>
        </xdr:cNvCxnSpPr>
      </xdr:nvCxnSpPr>
      <xdr:spPr>
        <a:xfrm>
          <a:off x="6178736" y="9312359"/>
          <a:ext cx="133561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259584</xdr:colOff>
      <xdr:row>42</xdr:row>
      <xdr:rowOff>140592</xdr:rowOff>
    </xdr:from>
    <xdr:to>
      <xdr:col>10</xdr:col>
      <xdr:colOff>349231</xdr:colOff>
      <xdr:row>43</xdr:row>
      <xdr:rowOff>61404</xdr:rowOff>
    </xdr:to>
    <xdr:sp macro="" textlink="">
      <xdr:nvSpPr>
        <xdr:cNvPr id="210" name="Diamond 209">
          <a:extLst>
            <a:ext uri="{FF2B5EF4-FFF2-40B4-BE49-F238E27FC236}">
              <a16:creationId xmlns:a16="http://schemas.microsoft.com/office/drawing/2014/main" id="{4DF312C4-66C7-41CA-B581-1FBFC21BA0E4}"/>
            </a:ext>
          </a:extLst>
        </xdr:cNvPr>
        <xdr:cNvSpPr/>
      </xdr:nvSpPr>
      <xdr:spPr>
        <a:xfrm>
          <a:off x="6096504" y="846163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350323</xdr:colOff>
      <xdr:row>41</xdr:row>
      <xdr:rowOff>6991</xdr:rowOff>
    </xdr:from>
    <xdr:to>
      <xdr:col>10</xdr:col>
      <xdr:colOff>485863</xdr:colOff>
      <xdr:row>41</xdr:row>
      <xdr:rowOff>8444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8AC135DC-1C69-4775-B7A8-00953861792A}"/>
            </a:ext>
          </a:extLst>
        </xdr:cNvPr>
        <xdr:cNvCxnSpPr>
          <a:stCxn id="218" idx="3"/>
        </xdr:cNvCxnSpPr>
      </xdr:nvCxnSpPr>
      <xdr:spPr>
        <a:xfrm flipV="1">
          <a:off x="6187243" y="8129911"/>
          <a:ext cx="135540" cy="145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350362</xdr:colOff>
      <xdr:row>39</xdr:row>
      <xdr:rowOff>0</xdr:rowOff>
    </xdr:from>
    <xdr:to>
      <xdr:col>10</xdr:col>
      <xdr:colOff>489358</xdr:colOff>
      <xdr:row>39</xdr:row>
      <xdr:rowOff>1291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96BE8ED2-7BE2-4DD3-81DB-4D2C31976F61}"/>
            </a:ext>
          </a:extLst>
        </xdr:cNvPr>
        <xdr:cNvCxnSpPr>
          <a:cxnSpLocks/>
          <a:stCxn id="216" idx="3"/>
        </xdr:cNvCxnSpPr>
      </xdr:nvCxnSpPr>
      <xdr:spPr>
        <a:xfrm flipV="1">
          <a:off x="6187282" y="7726680"/>
          <a:ext cx="138996" cy="129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340860</xdr:colOff>
      <xdr:row>45</xdr:row>
      <xdr:rowOff>0</xdr:rowOff>
    </xdr:from>
    <xdr:to>
      <xdr:col>10</xdr:col>
      <xdr:colOff>487405</xdr:colOff>
      <xdr:row>45</xdr:row>
      <xdr:rowOff>2140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2C6234B9-3812-4253-A01F-9F9A969D7503}"/>
            </a:ext>
          </a:extLst>
        </xdr:cNvPr>
        <xdr:cNvCxnSpPr>
          <a:stCxn id="217" idx="3"/>
        </xdr:cNvCxnSpPr>
      </xdr:nvCxnSpPr>
      <xdr:spPr>
        <a:xfrm flipV="1">
          <a:off x="6177780" y="8915400"/>
          <a:ext cx="146545" cy="214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251149</xdr:colOff>
      <xdr:row>37</xdr:row>
      <xdr:rowOff>14790</xdr:rowOff>
    </xdr:from>
    <xdr:to>
      <xdr:col>10</xdr:col>
      <xdr:colOff>357979</xdr:colOff>
      <xdr:row>37</xdr:row>
      <xdr:rowOff>178990</xdr:rowOff>
    </xdr:to>
    <xdr:sp macro="" textlink="">
      <xdr:nvSpPr>
        <xdr:cNvPr id="214" name="Isosceles Triangle 213">
          <a:extLst>
            <a:ext uri="{FF2B5EF4-FFF2-40B4-BE49-F238E27FC236}">
              <a16:creationId xmlns:a16="http://schemas.microsoft.com/office/drawing/2014/main" id="{6DBA07D9-AF98-4186-AA15-911300AD972B}"/>
            </a:ext>
          </a:extLst>
        </xdr:cNvPr>
        <xdr:cNvSpPr/>
      </xdr:nvSpPr>
      <xdr:spPr>
        <a:xfrm rot="10800000">
          <a:off x="6088069" y="7345230"/>
          <a:ext cx="106830" cy="164200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164129</xdr:colOff>
      <xdr:row>44</xdr:row>
      <xdr:rowOff>104288</xdr:rowOff>
    </xdr:from>
    <xdr:to>
      <xdr:col>2</xdr:col>
      <xdr:colOff>358365</xdr:colOff>
      <xdr:row>45</xdr:row>
      <xdr:rowOff>99806</xdr:rowOff>
    </xdr:to>
    <xdr:sp macro="" textlink="">
      <xdr:nvSpPr>
        <xdr:cNvPr id="215" name="Multiplication Sign 214">
          <a:extLst>
            <a:ext uri="{FF2B5EF4-FFF2-40B4-BE49-F238E27FC236}">
              <a16:creationId xmlns:a16="http://schemas.microsoft.com/office/drawing/2014/main" id="{333F0408-E090-4536-824B-101823DE9656}"/>
            </a:ext>
          </a:extLst>
        </xdr:cNvPr>
        <xdr:cNvSpPr/>
      </xdr:nvSpPr>
      <xdr:spPr>
        <a:xfrm>
          <a:off x="1360469" y="882156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260715</xdr:colOff>
      <xdr:row>38</xdr:row>
      <xdr:rowOff>140504</xdr:rowOff>
    </xdr:from>
    <xdr:to>
      <xdr:col>10</xdr:col>
      <xdr:colOff>350362</xdr:colOff>
      <xdr:row>39</xdr:row>
      <xdr:rowOff>61317</xdr:rowOff>
    </xdr:to>
    <xdr:sp macro="" textlink="">
      <xdr:nvSpPr>
        <xdr:cNvPr id="216" name="Diamond 215">
          <a:extLst>
            <a:ext uri="{FF2B5EF4-FFF2-40B4-BE49-F238E27FC236}">
              <a16:creationId xmlns:a16="http://schemas.microsoft.com/office/drawing/2014/main" id="{B50FCAE8-1419-4247-9588-6BFE44D1F78C}"/>
            </a:ext>
          </a:extLst>
        </xdr:cNvPr>
        <xdr:cNvSpPr/>
      </xdr:nvSpPr>
      <xdr:spPr>
        <a:xfrm>
          <a:off x="6097635" y="7669064"/>
          <a:ext cx="89647" cy="118933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251213</xdr:colOff>
      <xdr:row>44</xdr:row>
      <xdr:rowOff>141274</xdr:rowOff>
    </xdr:from>
    <xdr:to>
      <xdr:col>10</xdr:col>
      <xdr:colOff>340860</xdr:colOff>
      <xdr:row>45</xdr:row>
      <xdr:rowOff>62086</xdr:rowOff>
    </xdr:to>
    <xdr:sp macro="" textlink="">
      <xdr:nvSpPr>
        <xdr:cNvPr id="217" name="Diamond 216">
          <a:extLst>
            <a:ext uri="{FF2B5EF4-FFF2-40B4-BE49-F238E27FC236}">
              <a16:creationId xmlns:a16="http://schemas.microsoft.com/office/drawing/2014/main" id="{89C32A28-A59E-46A3-B243-D89598D11B11}"/>
            </a:ext>
          </a:extLst>
        </xdr:cNvPr>
        <xdr:cNvSpPr/>
      </xdr:nvSpPr>
      <xdr:spPr>
        <a:xfrm>
          <a:off x="6088133" y="885855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260676</xdr:colOff>
      <xdr:row>40</xdr:row>
      <xdr:rowOff>147657</xdr:rowOff>
    </xdr:from>
    <xdr:to>
      <xdr:col>10</xdr:col>
      <xdr:colOff>350323</xdr:colOff>
      <xdr:row>41</xdr:row>
      <xdr:rowOff>68469</xdr:rowOff>
    </xdr:to>
    <xdr:sp macro="" textlink="">
      <xdr:nvSpPr>
        <xdr:cNvPr id="218" name="Diamond 217">
          <a:extLst>
            <a:ext uri="{FF2B5EF4-FFF2-40B4-BE49-F238E27FC236}">
              <a16:creationId xmlns:a16="http://schemas.microsoft.com/office/drawing/2014/main" id="{138D2B44-9120-448A-8923-FE99498EBAB9}"/>
            </a:ext>
          </a:extLst>
        </xdr:cNvPr>
        <xdr:cNvSpPr/>
      </xdr:nvSpPr>
      <xdr:spPr>
        <a:xfrm>
          <a:off x="6097596" y="807245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304676</xdr:colOff>
      <xdr:row>69</xdr:row>
      <xdr:rowOff>141889</xdr:rowOff>
    </xdr:from>
    <xdr:to>
      <xdr:col>10</xdr:col>
      <xdr:colOff>309200</xdr:colOff>
      <xdr:row>76</xdr:row>
      <xdr:rowOff>135457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F712E533-5F92-47B4-A264-E7F69472E164}"/>
            </a:ext>
          </a:extLst>
        </xdr:cNvPr>
        <xdr:cNvCxnSpPr>
          <a:cxnSpLocks/>
          <a:stCxn id="229" idx="0"/>
          <a:endCxn id="223" idx="0"/>
        </xdr:cNvCxnSpPr>
      </xdr:nvCxnSpPr>
      <xdr:spPr>
        <a:xfrm flipH="1">
          <a:off x="6141596" y="13812169"/>
          <a:ext cx="4524" cy="134992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356498</xdr:colOff>
      <xdr:row>73</xdr:row>
      <xdr:rowOff>3578</xdr:rowOff>
    </xdr:from>
    <xdr:to>
      <xdr:col>10</xdr:col>
      <xdr:colOff>472225</xdr:colOff>
      <xdr:row>73</xdr:row>
      <xdr:rowOff>6196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954A945D-7D0C-40C7-BE74-36D281EED6A2}"/>
            </a:ext>
          </a:extLst>
        </xdr:cNvPr>
        <xdr:cNvCxnSpPr>
          <a:cxnSpLocks/>
          <a:stCxn id="226" idx="3"/>
        </xdr:cNvCxnSpPr>
      </xdr:nvCxnSpPr>
      <xdr:spPr>
        <a:xfrm flipV="1">
          <a:off x="6193418" y="14458718"/>
          <a:ext cx="115727" cy="261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302115</xdr:colOff>
      <xdr:row>77</xdr:row>
      <xdr:rowOff>56269</xdr:rowOff>
    </xdr:from>
    <xdr:to>
      <xdr:col>10</xdr:col>
      <xdr:colOff>304676</xdr:colOff>
      <xdr:row>81</xdr:row>
      <xdr:rowOff>3357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9700564F-068F-4C10-A241-61E40FC54BC4}"/>
            </a:ext>
          </a:extLst>
        </xdr:cNvPr>
        <xdr:cNvCxnSpPr>
          <a:cxnSpLocks/>
          <a:stCxn id="223" idx="2"/>
        </xdr:cNvCxnSpPr>
      </xdr:nvCxnSpPr>
      <xdr:spPr>
        <a:xfrm flipH="1">
          <a:off x="6139035" y="15273409"/>
          <a:ext cx="2561" cy="76242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349954</xdr:colOff>
      <xdr:row>79</xdr:row>
      <xdr:rowOff>7155</xdr:rowOff>
    </xdr:from>
    <xdr:to>
      <xdr:col>10</xdr:col>
      <xdr:colOff>475803</xdr:colOff>
      <xdr:row>79</xdr:row>
      <xdr:rowOff>7545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D8AE8EE3-DF82-4D97-9755-0EB353FDF8FA}"/>
            </a:ext>
          </a:extLst>
        </xdr:cNvPr>
        <xdr:cNvCxnSpPr>
          <a:cxnSpLocks/>
          <a:stCxn id="224" idx="3"/>
        </xdr:cNvCxnSpPr>
      </xdr:nvCxnSpPr>
      <xdr:spPr>
        <a:xfrm flipV="1">
          <a:off x="6186874" y="15605295"/>
          <a:ext cx="125849" cy="3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259852</xdr:colOff>
      <xdr:row>76</xdr:row>
      <xdr:rowOff>135457</xdr:rowOff>
    </xdr:from>
    <xdr:to>
      <xdr:col>10</xdr:col>
      <xdr:colOff>349499</xdr:colOff>
      <xdr:row>77</xdr:row>
      <xdr:rowOff>56269</xdr:rowOff>
    </xdr:to>
    <xdr:sp macro="" textlink="">
      <xdr:nvSpPr>
        <xdr:cNvPr id="223" name="Diamond 222">
          <a:extLst>
            <a:ext uri="{FF2B5EF4-FFF2-40B4-BE49-F238E27FC236}">
              <a16:creationId xmlns:a16="http://schemas.microsoft.com/office/drawing/2014/main" id="{3AD3880B-5144-4657-9882-24BFAA1469ED}"/>
            </a:ext>
          </a:extLst>
        </xdr:cNvPr>
        <xdr:cNvSpPr/>
      </xdr:nvSpPr>
      <xdr:spPr>
        <a:xfrm>
          <a:off x="6096772" y="15162097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260307</xdr:colOff>
      <xdr:row>78</xdr:row>
      <xdr:rowOff>141942</xdr:rowOff>
    </xdr:from>
    <xdr:to>
      <xdr:col>10</xdr:col>
      <xdr:colOff>349954</xdr:colOff>
      <xdr:row>79</xdr:row>
      <xdr:rowOff>62754</xdr:rowOff>
    </xdr:to>
    <xdr:sp macro="" textlink="">
      <xdr:nvSpPr>
        <xdr:cNvPr id="224" name="Diamond 223">
          <a:extLst>
            <a:ext uri="{FF2B5EF4-FFF2-40B4-BE49-F238E27FC236}">
              <a16:creationId xmlns:a16="http://schemas.microsoft.com/office/drawing/2014/main" id="{26FE7B61-66A9-4A0D-8545-DD778D17F204}"/>
            </a:ext>
          </a:extLst>
        </xdr:cNvPr>
        <xdr:cNvSpPr/>
      </xdr:nvSpPr>
      <xdr:spPr>
        <a:xfrm>
          <a:off x="6097227" y="15549582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349499</xdr:colOff>
      <xdr:row>77</xdr:row>
      <xdr:rowOff>0</xdr:rowOff>
    </xdr:from>
    <xdr:to>
      <xdr:col>10</xdr:col>
      <xdr:colOff>482958</xdr:colOff>
      <xdr:row>77</xdr:row>
      <xdr:rowOff>1060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324F0B36-4373-42AD-A4E3-E90E51C4A831}"/>
            </a:ext>
          </a:extLst>
        </xdr:cNvPr>
        <xdr:cNvCxnSpPr>
          <a:stCxn id="223" idx="3"/>
        </xdr:cNvCxnSpPr>
      </xdr:nvCxnSpPr>
      <xdr:spPr>
        <a:xfrm flipV="1">
          <a:off x="6186419" y="15217140"/>
          <a:ext cx="133459" cy="106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266851</xdr:colOff>
      <xdr:row>72</xdr:row>
      <xdr:rowOff>140592</xdr:rowOff>
    </xdr:from>
    <xdr:to>
      <xdr:col>10</xdr:col>
      <xdr:colOff>356498</xdr:colOff>
      <xdr:row>73</xdr:row>
      <xdr:rowOff>61404</xdr:rowOff>
    </xdr:to>
    <xdr:sp macro="" textlink="">
      <xdr:nvSpPr>
        <xdr:cNvPr id="226" name="Diamond 225">
          <a:extLst>
            <a:ext uri="{FF2B5EF4-FFF2-40B4-BE49-F238E27FC236}">
              <a16:creationId xmlns:a16="http://schemas.microsoft.com/office/drawing/2014/main" id="{FE0BA464-47F5-4A71-B168-16E533744D24}"/>
            </a:ext>
          </a:extLst>
        </xdr:cNvPr>
        <xdr:cNvSpPr/>
      </xdr:nvSpPr>
      <xdr:spPr>
        <a:xfrm>
          <a:off x="6103771" y="14405232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354095</xdr:colOff>
      <xdr:row>71</xdr:row>
      <xdr:rowOff>2831</xdr:rowOff>
    </xdr:from>
    <xdr:to>
      <xdr:col>10</xdr:col>
      <xdr:colOff>461493</xdr:colOff>
      <xdr:row>71</xdr:row>
      <xdr:rowOff>3577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396456A0-1CD9-441E-AE22-F5C48B025A94}"/>
            </a:ext>
          </a:extLst>
        </xdr:cNvPr>
        <xdr:cNvCxnSpPr>
          <a:stCxn id="231" idx="3"/>
        </xdr:cNvCxnSpPr>
      </xdr:nvCxnSpPr>
      <xdr:spPr>
        <a:xfrm>
          <a:off x="6191015" y="14069351"/>
          <a:ext cx="107398" cy="74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355292</xdr:colOff>
      <xdr:row>75</xdr:row>
      <xdr:rowOff>3578</xdr:rowOff>
    </xdr:from>
    <xdr:to>
      <xdr:col>10</xdr:col>
      <xdr:colOff>472225</xdr:colOff>
      <xdr:row>75</xdr:row>
      <xdr:rowOff>6878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BE88138A-9A55-4E63-91FC-C0D65D1A1F87}"/>
            </a:ext>
          </a:extLst>
        </xdr:cNvPr>
        <xdr:cNvCxnSpPr>
          <a:stCxn id="230" idx="3"/>
        </xdr:cNvCxnSpPr>
      </xdr:nvCxnSpPr>
      <xdr:spPr>
        <a:xfrm flipV="1">
          <a:off x="6192212" y="14839718"/>
          <a:ext cx="116933" cy="33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245283</xdr:colOff>
      <xdr:row>68</xdr:row>
      <xdr:rowOff>187146</xdr:rowOff>
    </xdr:from>
    <xdr:to>
      <xdr:col>10</xdr:col>
      <xdr:colOff>373117</xdr:colOff>
      <xdr:row>69</xdr:row>
      <xdr:rowOff>141889</xdr:rowOff>
    </xdr:to>
    <xdr:sp macro="" textlink="">
      <xdr:nvSpPr>
        <xdr:cNvPr id="229" name="Isosceles Triangle 228">
          <a:extLst>
            <a:ext uri="{FF2B5EF4-FFF2-40B4-BE49-F238E27FC236}">
              <a16:creationId xmlns:a16="http://schemas.microsoft.com/office/drawing/2014/main" id="{55FEDFA7-4F7E-4D85-B921-281F11FD2964}"/>
            </a:ext>
          </a:extLst>
        </xdr:cNvPr>
        <xdr:cNvSpPr/>
      </xdr:nvSpPr>
      <xdr:spPr>
        <a:xfrm rot="10800000">
          <a:off x="6082203" y="13659306"/>
          <a:ext cx="127834" cy="152863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265645</xdr:colOff>
      <xdr:row>74</xdr:row>
      <xdr:rowOff>141274</xdr:rowOff>
    </xdr:from>
    <xdr:to>
      <xdr:col>10</xdr:col>
      <xdr:colOff>355292</xdr:colOff>
      <xdr:row>75</xdr:row>
      <xdr:rowOff>62086</xdr:rowOff>
    </xdr:to>
    <xdr:sp macro="" textlink="">
      <xdr:nvSpPr>
        <xdr:cNvPr id="230" name="Diamond 229">
          <a:extLst>
            <a:ext uri="{FF2B5EF4-FFF2-40B4-BE49-F238E27FC236}">
              <a16:creationId xmlns:a16="http://schemas.microsoft.com/office/drawing/2014/main" id="{C3D5BC4B-1B38-479A-AD4A-0D5A593E4184}"/>
            </a:ext>
          </a:extLst>
        </xdr:cNvPr>
        <xdr:cNvSpPr/>
      </xdr:nvSpPr>
      <xdr:spPr>
        <a:xfrm>
          <a:off x="6102565" y="14786914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264448</xdr:colOff>
      <xdr:row>70</xdr:row>
      <xdr:rowOff>140805</xdr:rowOff>
    </xdr:from>
    <xdr:to>
      <xdr:col>10</xdr:col>
      <xdr:colOff>354095</xdr:colOff>
      <xdr:row>71</xdr:row>
      <xdr:rowOff>61617</xdr:rowOff>
    </xdr:to>
    <xdr:sp macro="" textlink="">
      <xdr:nvSpPr>
        <xdr:cNvPr id="231" name="Diamond 230">
          <a:extLst>
            <a:ext uri="{FF2B5EF4-FFF2-40B4-BE49-F238E27FC236}">
              <a16:creationId xmlns:a16="http://schemas.microsoft.com/office/drawing/2014/main" id="{F9C87766-9869-4BA0-A6AB-B560FC744474}"/>
            </a:ext>
          </a:extLst>
        </xdr:cNvPr>
        <xdr:cNvSpPr/>
      </xdr:nvSpPr>
      <xdr:spPr>
        <a:xfrm>
          <a:off x="6101368" y="14009205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366134</xdr:colOff>
      <xdr:row>79</xdr:row>
      <xdr:rowOff>1930</xdr:rowOff>
    </xdr:from>
    <xdr:to>
      <xdr:col>2</xdr:col>
      <xdr:colOff>482702</xdr:colOff>
      <xdr:row>79</xdr:row>
      <xdr:rowOff>4273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4C70CDD7-8CB6-4297-9826-4B87791E7E13}"/>
            </a:ext>
          </a:extLst>
        </xdr:cNvPr>
        <xdr:cNvCxnSpPr>
          <a:cxnSpLocks/>
          <a:stCxn id="234" idx="3"/>
        </xdr:cNvCxnSpPr>
      </xdr:nvCxnSpPr>
      <xdr:spPr>
        <a:xfrm flipV="1">
          <a:off x="1562474" y="15600070"/>
          <a:ext cx="116568" cy="234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267521</xdr:colOff>
      <xdr:row>76</xdr:row>
      <xdr:rowOff>140737</xdr:rowOff>
    </xdr:from>
    <xdr:to>
      <xdr:col>2</xdr:col>
      <xdr:colOff>357168</xdr:colOff>
      <xdr:row>77</xdr:row>
      <xdr:rowOff>61549</xdr:rowOff>
    </xdr:to>
    <xdr:sp macro="" textlink="">
      <xdr:nvSpPr>
        <xdr:cNvPr id="233" name="Diamond 232">
          <a:extLst>
            <a:ext uri="{FF2B5EF4-FFF2-40B4-BE49-F238E27FC236}">
              <a16:creationId xmlns:a16="http://schemas.microsoft.com/office/drawing/2014/main" id="{1C38EF4B-D60D-44AB-A4CA-528F7A1CC159}"/>
            </a:ext>
          </a:extLst>
        </xdr:cNvPr>
        <xdr:cNvSpPr/>
      </xdr:nvSpPr>
      <xdr:spPr>
        <a:xfrm>
          <a:off x="1463861" y="15167377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276487</xdr:colOff>
      <xdr:row>78</xdr:row>
      <xdr:rowOff>139496</xdr:rowOff>
    </xdr:from>
    <xdr:to>
      <xdr:col>2</xdr:col>
      <xdr:colOff>366134</xdr:colOff>
      <xdr:row>79</xdr:row>
      <xdr:rowOff>60308</xdr:rowOff>
    </xdr:to>
    <xdr:sp macro="" textlink="">
      <xdr:nvSpPr>
        <xdr:cNvPr id="234" name="Diamond 233">
          <a:extLst>
            <a:ext uri="{FF2B5EF4-FFF2-40B4-BE49-F238E27FC236}">
              <a16:creationId xmlns:a16="http://schemas.microsoft.com/office/drawing/2014/main" id="{01CAB837-42CA-4056-968E-8CCA391BF976}"/>
            </a:ext>
          </a:extLst>
        </xdr:cNvPr>
        <xdr:cNvSpPr/>
      </xdr:nvSpPr>
      <xdr:spPr>
        <a:xfrm>
          <a:off x="1472827" y="15547136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357168</xdr:colOff>
      <xdr:row>77</xdr:row>
      <xdr:rowOff>3358</xdr:rowOff>
    </xdr:from>
    <xdr:to>
      <xdr:col>2</xdr:col>
      <xdr:colOff>475101</xdr:colOff>
      <xdr:row>77</xdr:row>
      <xdr:rowOff>5474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3D1DD6E0-8D30-4FF9-A97C-28B1FFD383B2}"/>
            </a:ext>
          </a:extLst>
        </xdr:cNvPr>
        <xdr:cNvCxnSpPr>
          <a:stCxn id="233" idx="3"/>
        </xdr:cNvCxnSpPr>
      </xdr:nvCxnSpPr>
      <xdr:spPr>
        <a:xfrm flipV="1">
          <a:off x="1553508" y="15220498"/>
          <a:ext cx="117933" cy="211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306457</xdr:colOff>
      <xdr:row>71</xdr:row>
      <xdr:rowOff>0</xdr:rowOff>
    </xdr:from>
    <xdr:to>
      <xdr:col>2</xdr:col>
      <xdr:colOff>473594</xdr:colOff>
      <xdr:row>71</xdr:row>
      <xdr:rowOff>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E3FAAB57-9033-4BF3-8E37-DB190FA42598}"/>
            </a:ext>
          </a:extLst>
        </xdr:cNvPr>
        <xdr:cNvCxnSpPr/>
      </xdr:nvCxnSpPr>
      <xdr:spPr>
        <a:xfrm>
          <a:off x="1502797" y="14066520"/>
          <a:ext cx="167137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231566</xdr:colOff>
      <xdr:row>68</xdr:row>
      <xdr:rowOff>190500</xdr:rowOff>
    </xdr:from>
    <xdr:to>
      <xdr:col>2</xdr:col>
      <xdr:colOff>380999</xdr:colOff>
      <xdr:row>69</xdr:row>
      <xdr:rowOff>111815</xdr:rowOff>
    </xdr:to>
    <xdr:sp macro="" textlink="">
      <xdr:nvSpPr>
        <xdr:cNvPr id="237" name="Isosceles Triangle 236">
          <a:extLst>
            <a:ext uri="{FF2B5EF4-FFF2-40B4-BE49-F238E27FC236}">
              <a16:creationId xmlns:a16="http://schemas.microsoft.com/office/drawing/2014/main" id="{906F5FD9-0C0C-40FC-A888-B9BDB7796F66}"/>
            </a:ext>
          </a:extLst>
        </xdr:cNvPr>
        <xdr:cNvSpPr/>
      </xdr:nvSpPr>
      <xdr:spPr>
        <a:xfrm rot="10800000">
          <a:off x="1427906" y="13662660"/>
          <a:ext cx="149433" cy="119435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248403</xdr:colOff>
      <xdr:row>2</xdr:row>
      <xdr:rowOff>196430</xdr:rowOff>
    </xdr:from>
    <xdr:to>
      <xdr:col>10</xdr:col>
      <xdr:colOff>362703</xdr:colOff>
      <xdr:row>3</xdr:row>
      <xdr:rowOff>154363</xdr:rowOff>
    </xdr:to>
    <xdr:sp macro="" textlink="">
      <xdr:nvSpPr>
        <xdr:cNvPr id="238" name="Isosceles Triangle 237">
          <a:extLst>
            <a:ext uri="{FF2B5EF4-FFF2-40B4-BE49-F238E27FC236}">
              <a16:creationId xmlns:a16="http://schemas.microsoft.com/office/drawing/2014/main" id="{861FB3BB-1CB8-4037-8C31-918567B20688}"/>
            </a:ext>
          </a:extLst>
        </xdr:cNvPr>
        <xdr:cNvSpPr/>
      </xdr:nvSpPr>
      <xdr:spPr>
        <a:xfrm rot="10800000">
          <a:off x="6085323" y="592670"/>
          <a:ext cx="114300" cy="156053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304676</xdr:colOff>
      <xdr:row>5</xdr:row>
      <xdr:rowOff>149359</xdr:rowOff>
    </xdr:from>
    <xdr:to>
      <xdr:col>27</xdr:col>
      <xdr:colOff>309200</xdr:colOff>
      <xdr:row>10</xdr:row>
      <xdr:rowOff>135457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DF4FFA6D-BBE5-4788-8981-1ABFF6A5FA11}"/>
            </a:ext>
          </a:extLst>
        </xdr:cNvPr>
        <xdr:cNvCxnSpPr>
          <a:cxnSpLocks/>
          <a:stCxn id="248" idx="0"/>
          <a:endCxn id="243" idx="0"/>
        </xdr:cNvCxnSpPr>
      </xdr:nvCxnSpPr>
      <xdr:spPr>
        <a:xfrm flipH="1">
          <a:off x="16100936" y="1139959"/>
          <a:ext cx="4524" cy="97669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356498</xdr:colOff>
      <xdr:row>7</xdr:row>
      <xdr:rowOff>2618</xdr:rowOff>
    </xdr:from>
    <xdr:to>
      <xdr:col>27</xdr:col>
      <xdr:colOff>468648</xdr:colOff>
      <xdr:row>7</xdr:row>
      <xdr:rowOff>3577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AAAFCCFF-8492-4AC4-A3D0-8A88660DD9FC}"/>
            </a:ext>
          </a:extLst>
        </xdr:cNvPr>
        <xdr:cNvCxnSpPr>
          <a:cxnSpLocks/>
          <a:stCxn id="246" idx="3"/>
        </xdr:cNvCxnSpPr>
      </xdr:nvCxnSpPr>
      <xdr:spPr>
        <a:xfrm>
          <a:off x="16152758" y="1389458"/>
          <a:ext cx="112150" cy="95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302115</xdr:colOff>
      <xdr:row>11</xdr:row>
      <xdr:rowOff>56269</xdr:rowOff>
    </xdr:from>
    <xdr:to>
      <xdr:col>27</xdr:col>
      <xdr:colOff>304676</xdr:colOff>
      <xdr:row>15</xdr:row>
      <xdr:rowOff>3357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1A263FE4-31BC-4362-9E29-A92773CC9589}"/>
            </a:ext>
          </a:extLst>
        </xdr:cNvPr>
        <xdr:cNvCxnSpPr>
          <a:cxnSpLocks/>
          <a:stCxn id="243" idx="2"/>
        </xdr:cNvCxnSpPr>
      </xdr:nvCxnSpPr>
      <xdr:spPr>
        <a:xfrm flipH="1">
          <a:off x="16098375" y="223558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349954</xdr:colOff>
      <xdr:row>13</xdr:row>
      <xdr:rowOff>3578</xdr:rowOff>
    </xdr:from>
    <xdr:to>
      <xdr:col>27</xdr:col>
      <xdr:colOff>472225</xdr:colOff>
      <xdr:row>13</xdr:row>
      <xdr:rowOff>3968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9AFDBEC7-FD0E-48D1-B900-17C7640BF0CE}"/>
            </a:ext>
          </a:extLst>
        </xdr:cNvPr>
        <xdr:cNvCxnSpPr>
          <a:cxnSpLocks/>
          <a:stCxn id="244" idx="3"/>
        </xdr:cNvCxnSpPr>
      </xdr:nvCxnSpPr>
      <xdr:spPr>
        <a:xfrm flipV="1">
          <a:off x="16146214" y="2579138"/>
          <a:ext cx="122271" cy="3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259852</xdr:colOff>
      <xdr:row>10</xdr:row>
      <xdr:rowOff>135457</xdr:rowOff>
    </xdr:from>
    <xdr:to>
      <xdr:col>27</xdr:col>
      <xdr:colOff>349499</xdr:colOff>
      <xdr:row>11</xdr:row>
      <xdr:rowOff>56269</xdr:rowOff>
    </xdr:to>
    <xdr:sp macro="" textlink="">
      <xdr:nvSpPr>
        <xdr:cNvPr id="243" name="Diamond 242">
          <a:extLst>
            <a:ext uri="{FF2B5EF4-FFF2-40B4-BE49-F238E27FC236}">
              <a16:creationId xmlns:a16="http://schemas.microsoft.com/office/drawing/2014/main" id="{893FF9F5-FA6D-4AAB-8CE0-276BB723227B}"/>
            </a:ext>
          </a:extLst>
        </xdr:cNvPr>
        <xdr:cNvSpPr/>
      </xdr:nvSpPr>
      <xdr:spPr>
        <a:xfrm>
          <a:off x="16056112" y="211665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260307</xdr:colOff>
      <xdr:row>12</xdr:row>
      <xdr:rowOff>141942</xdr:rowOff>
    </xdr:from>
    <xdr:to>
      <xdr:col>27</xdr:col>
      <xdr:colOff>349954</xdr:colOff>
      <xdr:row>13</xdr:row>
      <xdr:rowOff>62754</xdr:rowOff>
    </xdr:to>
    <xdr:sp macro="" textlink="">
      <xdr:nvSpPr>
        <xdr:cNvPr id="244" name="Diamond 243">
          <a:extLst>
            <a:ext uri="{FF2B5EF4-FFF2-40B4-BE49-F238E27FC236}">
              <a16:creationId xmlns:a16="http://schemas.microsoft.com/office/drawing/2014/main" id="{216FF99B-2134-43BE-AC39-A7F71F8E7A72}"/>
            </a:ext>
          </a:extLst>
        </xdr:cNvPr>
        <xdr:cNvSpPr/>
      </xdr:nvSpPr>
      <xdr:spPr>
        <a:xfrm>
          <a:off x="16056567" y="251938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349499</xdr:colOff>
      <xdr:row>10</xdr:row>
      <xdr:rowOff>193183</xdr:rowOff>
    </xdr:from>
    <xdr:to>
      <xdr:col>27</xdr:col>
      <xdr:colOff>461493</xdr:colOff>
      <xdr:row>10</xdr:row>
      <xdr:rowOff>194243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C2F9A89F-1481-43DA-98E8-58092C06F817}"/>
            </a:ext>
          </a:extLst>
        </xdr:cNvPr>
        <xdr:cNvCxnSpPr>
          <a:stCxn id="243" idx="3"/>
        </xdr:cNvCxnSpPr>
      </xdr:nvCxnSpPr>
      <xdr:spPr>
        <a:xfrm flipV="1">
          <a:off x="16145759" y="2174383"/>
          <a:ext cx="111994" cy="106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266851</xdr:colOff>
      <xdr:row>6</xdr:row>
      <xdr:rowOff>140592</xdr:rowOff>
    </xdr:from>
    <xdr:to>
      <xdr:col>27</xdr:col>
      <xdr:colOff>356498</xdr:colOff>
      <xdr:row>7</xdr:row>
      <xdr:rowOff>61404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D76D9A33-CAF8-4CE3-A2F1-D25076991C23}"/>
            </a:ext>
          </a:extLst>
        </xdr:cNvPr>
        <xdr:cNvSpPr/>
      </xdr:nvSpPr>
      <xdr:spPr>
        <a:xfrm>
          <a:off x="16063111" y="132931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355292</xdr:colOff>
      <xdr:row>9</xdr:row>
      <xdr:rowOff>3300</xdr:rowOff>
    </xdr:from>
    <xdr:to>
      <xdr:col>27</xdr:col>
      <xdr:colOff>475803</xdr:colOff>
      <xdr:row>9</xdr:row>
      <xdr:rowOff>3578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FA42FB93-7D46-49F3-90F7-BE6C4A1E80DB}"/>
            </a:ext>
          </a:extLst>
        </xdr:cNvPr>
        <xdr:cNvCxnSpPr>
          <a:stCxn id="249" idx="3"/>
        </xdr:cNvCxnSpPr>
      </xdr:nvCxnSpPr>
      <xdr:spPr>
        <a:xfrm>
          <a:off x="16151552" y="1786380"/>
          <a:ext cx="120511" cy="27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245283</xdr:colOff>
      <xdr:row>4</xdr:row>
      <xdr:rowOff>194616</xdr:rowOff>
    </xdr:from>
    <xdr:to>
      <xdr:col>27</xdr:col>
      <xdr:colOff>373117</xdr:colOff>
      <xdr:row>5</xdr:row>
      <xdr:rowOff>149359</xdr:rowOff>
    </xdr:to>
    <xdr:sp macro="" textlink="">
      <xdr:nvSpPr>
        <xdr:cNvPr id="248" name="Isosceles Triangle 247">
          <a:extLst>
            <a:ext uri="{FF2B5EF4-FFF2-40B4-BE49-F238E27FC236}">
              <a16:creationId xmlns:a16="http://schemas.microsoft.com/office/drawing/2014/main" id="{1CD6F40B-A99B-4A7C-9A07-4B79FB44C255}"/>
            </a:ext>
          </a:extLst>
        </xdr:cNvPr>
        <xdr:cNvSpPr/>
      </xdr:nvSpPr>
      <xdr:spPr>
        <a:xfrm rot="10800000">
          <a:off x="16041543" y="987096"/>
          <a:ext cx="127834" cy="152863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265645</xdr:colOff>
      <xdr:row>8</xdr:row>
      <xdr:rowOff>141274</xdr:rowOff>
    </xdr:from>
    <xdr:to>
      <xdr:col>27</xdr:col>
      <xdr:colOff>355292</xdr:colOff>
      <xdr:row>9</xdr:row>
      <xdr:rowOff>62086</xdr:rowOff>
    </xdr:to>
    <xdr:sp macro="" textlink="">
      <xdr:nvSpPr>
        <xdr:cNvPr id="249" name="Diamond 248">
          <a:extLst>
            <a:ext uri="{FF2B5EF4-FFF2-40B4-BE49-F238E27FC236}">
              <a16:creationId xmlns:a16="http://schemas.microsoft.com/office/drawing/2014/main" id="{C6B01E89-7528-4E3C-BDFB-D513C30A1F23}"/>
            </a:ext>
          </a:extLst>
        </xdr:cNvPr>
        <xdr:cNvSpPr/>
      </xdr:nvSpPr>
      <xdr:spPr>
        <a:xfrm>
          <a:off x="16061905" y="172623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304676</xdr:colOff>
      <xdr:row>40</xdr:row>
      <xdr:rowOff>164301</xdr:rowOff>
    </xdr:from>
    <xdr:to>
      <xdr:col>27</xdr:col>
      <xdr:colOff>309200</xdr:colOff>
      <xdr:row>43</xdr:row>
      <xdr:rowOff>135457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9E5729F3-A587-4F2A-A4D6-A4D1690581F9}"/>
            </a:ext>
          </a:extLst>
        </xdr:cNvPr>
        <xdr:cNvCxnSpPr>
          <a:cxnSpLocks/>
          <a:stCxn id="257" idx="0"/>
          <a:endCxn id="253" idx="0"/>
        </xdr:cNvCxnSpPr>
      </xdr:nvCxnSpPr>
      <xdr:spPr>
        <a:xfrm flipH="1">
          <a:off x="16100936" y="8089101"/>
          <a:ext cx="4524" cy="56551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302115</xdr:colOff>
      <xdr:row>44</xdr:row>
      <xdr:rowOff>56269</xdr:rowOff>
    </xdr:from>
    <xdr:to>
      <xdr:col>27</xdr:col>
      <xdr:colOff>304676</xdr:colOff>
      <xdr:row>48</xdr:row>
      <xdr:rowOff>3357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1C94A108-ED4D-4140-91AF-2524BB3ABF2A}"/>
            </a:ext>
          </a:extLst>
        </xdr:cNvPr>
        <xdr:cNvCxnSpPr>
          <a:cxnSpLocks/>
          <a:stCxn id="253" idx="2"/>
        </xdr:cNvCxnSpPr>
      </xdr:nvCxnSpPr>
      <xdr:spPr>
        <a:xfrm flipH="1">
          <a:off x="16098375" y="877354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349954</xdr:colOff>
      <xdr:row>46</xdr:row>
      <xdr:rowOff>3285</xdr:rowOff>
    </xdr:from>
    <xdr:to>
      <xdr:col>27</xdr:col>
      <xdr:colOff>472965</xdr:colOff>
      <xdr:row>46</xdr:row>
      <xdr:rowOff>3814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9D09120A-FE56-408C-BDE9-B62D110B497E}"/>
            </a:ext>
          </a:extLst>
        </xdr:cNvPr>
        <xdr:cNvCxnSpPr>
          <a:cxnSpLocks/>
          <a:stCxn id="254" idx="3"/>
        </xdr:cNvCxnSpPr>
      </xdr:nvCxnSpPr>
      <xdr:spPr>
        <a:xfrm flipV="1">
          <a:off x="16146214" y="9116805"/>
          <a:ext cx="123011" cy="52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259852</xdr:colOff>
      <xdr:row>43</xdr:row>
      <xdr:rowOff>135457</xdr:rowOff>
    </xdr:from>
    <xdr:to>
      <xdr:col>27</xdr:col>
      <xdr:colOff>349499</xdr:colOff>
      <xdr:row>44</xdr:row>
      <xdr:rowOff>56269</xdr:rowOff>
    </xdr:to>
    <xdr:sp macro="" textlink="">
      <xdr:nvSpPr>
        <xdr:cNvPr id="253" name="Diamond 252">
          <a:extLst>
            <a:ext uri="{FF2B5EF4-FFF2-40B4-BE49-F238E27FC236}">
              <a16:creationId xmlns:a16="http://schemas.microsoft.com/office/drawing/2014/main" id="{8222BCE2-2F96-4DDA-8D87-A641E942C68D}"/>
            </a:ext>
          </a:extLst>
        </xdr:cNvPr>
        <xdr:cNvSpPr/>
      </xdr:nvSpPr>
      <xdr:spPr>
        <a:xfrm>
          <a:off x="16056112" y="865461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260307</xdr:colOff>
      <xdr:row>45</xdr:row>
      <xdr:rowOff>141942</xdr:rowOff>
    </xdr:from>
    <xdr:to>
      <xdr:col>27</xdr:col>
      <xdr:colOff>349954</xdr:colOff>
      <xdr:row>46</xdr:row>
      <xdr:rowOff>62754</xdr:rowOff>
    </xdr:to>
    <xdr:sp macro="" textlink="">
      <xdr:nvSpPr>
        <xdr:cNvPr id="254" name="Diamond 253">
          <a:extLst>
            <a:ext uri="{FF2B5EF4-FFF2-40B4-BE49-F238E27FC236}">
              <a16:creationId xmlns:a16="http://schemas.microsoft.com/office/drawing/2014/main" id="{71FAA91A-E81E-452C-9511-B461F5439DAB}"/>
            </a:ext>
          </a:extLst>
        </xdr:cNvPr>
        <xdr:cNvSpPr/>
      </xdr:nvSpPr>
      <xdr:spPr>
        <a:xfrm>
          <a:off x="16056567" y="905734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349499</xdr:colOff>
      <xdr:row>43</xdr:row>
      <xdr:rowOff>193784</xdr:rowOff>
    </xdr:from>
    <xdr:to>
      <xdr:col>27</xdr:col>
      <xdr:colOff>469681</xdr:colOff>
      <xdr:row>43</xdr:row>
      <xdr:rowOff>194397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4D842592-58A4-4A09-AAC2-DD0356CAF2B7}"/>
            </a:ext>
          </a:extLst>
        </xdr:cNvPr>
        <xdr:cNvCxnSpPr>
          <a:stCxn id="253" idx="3"/>
        </xdr:cNvCxnSpPr>
      </xdr:nvCxnSpPr>
      <xdr:spPr>
        <a:xfrm flipV="1">
          <a:off x="16145759" y="8712944"/>
          <a:ext cx="120182" cy="613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355292</xdr:colOff>
      <xdr:row>42</xdr:row>
      <xdr:rowOff>3146</xdr:rowOff>
    </xdr:from>
    <xdr:to>
      <xdr:col>27</xdr:col>
      <xdr:colOff>472965</xdr:colOff>
      <xdr:row>42</xdr:row>
      <xdr:rowOff>3284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12205183-D5F4-42F3-AAC8-E4EB31BE80C6}"/>
            </a:ext>
          </a:extLst>
        </xdr:cNvPr>
        <xdr:cNvCxnSpPr>
          <a:stCxn id="258" idx="3"/>
        </xdr:cNvCxnSpPr>
      </xdr:nvCxnSpPr>
      <xdr:spPr>
        <a:xfrm>
          <a:off x="16151552" y="8324186"/>
          <a:ext cx="117673" cy="13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245283</xdr:colOff>
      <xdr:row>40</xdr:row>
      <xdr:rowOff>7852</xdr:rowOff>
    </xdr:from>
    <xdr:to>
      <xdr:col>27</xdr:col>
      <xdr:colOff>373117</xdr:colOff>
      <xdr:row>40</xdr:row>
      <xdr:rowOff>164301</xdr:rowOff>
    </xdr:to>
    <xdr:sp macro="" textlink="">
      <xdr:nvSpPr>
        <xdr:cNvPr id="257" name="Isosceles Triangle 256">
          <a:extLst>
            <a:ext uri="{FF2B5EF4-FFF2-40B4-BE49-F238E27FC236}">
              <a16:creationId xmlns:a16="http://schemas.microsoft.com/office/drawing/2014/main" id="{65883DB9-2B3B-463A-9A17-9DC2BD128990}"/>
            </a:ext>
          </a:extLst>
        </xdr:cNvPr>
        <xdr:cNvSpPr/>
      </xdr:nvSpPr>
      <xdr:spPr>
        <a:xfrm rot="10800000">
          <a:off x="16041543" y="7932652"/>
          <a:ext cx="127834" cy="156449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265645</xdr:colOff>
      <xdr:row>41</xdr:row>
      <xdr:rowOff>141274</xdr:rowOff>
    </xdr:from>
    <xdr:to>
      <xdr:col>27</xdr:col>
      <xdr:colOff>355292</xdr:colOff>
      <xdr:row>42</xdr:row>
      <xdr:rowOff>62086</xdr:rowOff>
    </xdr:to>
    <xdr:sp macro="" textlink="">
      <xdr:nvSpPr>
        <xdr:cNvPr id="258" name="Diamond 257">
          <a:extLst>
            <a:ext uri="{FF2B5EF4-FFF2-40B4-BE49-F238E27FC236}">
              <a16:creationId xmlns:a16="http://schemas.microsoft.com/office/drawing/2014/main" id="{C73AF52D-AE3F-44CE-A0CE-5C9462CAB694}"/>
            </a:ext>
          </a:extLst>
        </xdr:cNvPr>
        <xdr:cNvSpPr/>
      </xdr:nvSpPr>
      <xdr:spPr>
        <a:xfrm>
          <a:off x="16061905" y="8264194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301729</xdr:colOff>
      <xdr:row>65</xdr:row>
      <xdr:rowOff>171772</xdr:rowOff>
    </xdr:from>
    <xdr:to>
      <xdr:col>19</xdr:col>
      <xdr:colOff>304676</xdr:colOff>
      <xdr:row>66</xdr:row>
      <xdr:rowOff>135457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71E50E5B-D131-41A6-B8DC-F8D0A56BB012}"/>
            </a:ext>
          </a:extLst>
        </xdr:cNvPr>
        <xdr:cNvCxnSpPr>
          <a:cxnSpLocks/>
          <a:stCxn id="265" idx="0"/>
          <a:endCxn id="262" idx="0"/>
        </xdr:cNvCxnSpPr>
      </xdr:nvCxnSpPr>
      <xdr:spPr>
        <a:xfrm>
          <a:off x="11586949" y="13049572"/>
          <a:ext cx="2947" cy="16180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302115</xdr:colOff>
      <xdr:row>67</xdr:row>
      <xdr:rowOff>56269</xdr:rowOff>
    </xdr:from>
    <xdr:to>
      <xdr:col>19</xdr:col>
      <xdr:colOff>304676</xdr:colOff>
      <xdr:row>71</xdr:row>
      <xdr:rowOff>3357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1431B464-A1D0-46EF-BD54-309CFE45C6FD}"/>
            </a:ext>
          </a:extLst>
        </xdr:cNvPr>
        <xdr:cNvCxnSpPr>
          <a:cxnSpLocks/>
          <a:stCxn id="262" idx="2"/>
        </xdr:cNvCxnSpPr>
      </xdr:nvCxnSpPr>
      <xdr:spPr>
        <a:xfrm flipH="1">
          <a:off x="11587335" y="13330309"/>
          <a:ext cx="2561" cy="73956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349954</xdr:colOff>
      <xdr:row>69</xdr:row>
      <xdr:rowOff>0</xdr:rowOff>
    </xdr:from>
    <xdr:to>
      <xdr:col>19</xdr:col>
      <xdr:colOff>472587</xdr:colOff>
      <xdr:row>69</xdr:row>
      <xdr:rowOff>3435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31E9B59-EEB6-4471-BC4D-FEC3D57FF481}"/>
            </a:ext>
          </a:extLst>
        </xdr:cNvPr>
        <xdr:cNvCxnSpPr>
          <a:cxnSpLocks/>
          <a:stCxn id="263" idx="3"/>
        </xdr:cNvCxnSpPr>
      </xdr:nvCxnSpPr>
      <xdr:spPr>
        <a:xfrm flipV="1">
          <a:off x="11635174" y="13670280"/>
          <a:ext cx="122633" cy="34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259852</xdr:colOff>
      <xdr:row>66</xdr:row>
      <xdr:rowOff>135457</xdr:rowOff>
    </xdr:from>
    <xdr:to>
      <xdr:col>19</xdr:col>
      <xdr:colOff>349499</xdr:colOff>
      <xdr:row>67</xdr:row>
      <xdr:rowOff>56269</xdr:rowOff>
    </xdr:to>
    <xdr:sp macro="" textlink="">
      <xdr:nvSpPr>
        <xdr:cNvPr id="262" name="Diamond 261">
          <a:extLst>
            <a:ext uri="{FF2B5EF4-FFF2-40B4-BE49-F238E27FC236}">
              <a16:creationId xmlns:a16="http://schemas.microsoft.com/office/drawing/2014/main" id="{19F4275F-FDEE-41F5-A6C0-C04C910092DD}"/>
            </a:ext>
          </a:extLst>
        </xdr:cNvPr>
        <xdr:cNvSpPr/>
      </xdr:nvSpPr>
      <xdr:spPr>
        <a:xfrm>
          <a:off x="11545072" y="1321137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260307</xdr:colOff>
      <xdr:row>68</xdr:row>
      <xdr:rowOff>141942</xdr:rowOff>
    </xdr:from>
    <xdr:to>
      <xdr:col>19</xdr:col>
      <xdr:colOff>349954</xdr:colOff>
      <xdr:row>69</xdr:row>
      <xdr:rowOff>62754</xdr:rowOff>
    </xdr:to>
    <xdr:sp macro="" textlink="">
      <xdr:nvSpPr>
        <xdr:cNvPr id="263" name="Diamond 262">
          <a:extLst>
            <a:ext uri="{FF2B5EF4-FFF2-40B4-BE49-F238E27FC236}">
              <a16:creationId xmlns:a16="http://schemas.microsoft.com/office/drawing/2014/main" id="{7D4D40A4-CDEE-4A66-B0D5-35E3279D5556}"/>
            </a:ext>
          </a:extLst>
        </xdr:cNvPr>
        <xdr:cNvSpPr/>
      </xdr:nvSpPr>
      <xdr:spPr>
        <a:xfrm>
          <a:off x="11545527" y="13614102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349499</xdr:colOff>
      <xdr:row>66</xdr:row>
      <xdr:rowOff>194163</xdr:rowOff>
    </xdr:from>
    <xdr:to>
      <xdr:col>19</xdr:col>
      <xdr:colOff>472587</xdr:colOff>
      <xdr:row>66</xdr:row>
      <xdr:rowOff>194777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68C5E771-D1C9-4BB4-AE7E-7832CF5EB3BC}"/>
            </a:ext>
          </a:extLst>
        </xdr:cNvPr>
        <xdr:cNvCxnSpPr>
          <a:stCxn id="262" idx="3"/>
        </xdr:cNvCxnSpPr>
      </xdr:nvCxnSpPr>
      <xdr:spPr>
        <a:xfrm flipV="1">
          <a:off x="11634719" y="13270083"/>
          <a:ext cx="123088" cy="61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237812</xdr:colOff>
      <xdr:row>65</xdr:row>
      <xdr:rowOff>15323</xdr:rowOff>
    </xdr:from>
    <xdr:to>
      <xdr:col>19</xdr:col>
      <xdr:colOff>365646</xdr:colOff>
      <xdr:row>65</xdr:row>
      <xdr:rowOff>171772</xdr:rowOff>
    </xdr:to>
    <xdr:sp macro="" textlink="">
      <xdr:nvSpPr>
        <xdr:cNvPr id="265" name="Isosceles Triangle 264">
          <a:extLst>
            <a:ext uri="{FF2B5EF4-FFF2-40B4-BE49-F238E27FC236}">
              <a16:creationId xmlns:a16="http://schemas.microsoft.com/office/drawing/2014/main" id="{2C031248-6EF1-4C54-9458-2F455C4621C0}"/>
            </a:ext>
          </a:extLst>
        </xdr:cNvPr>
        <xdr:cNvSpPr/>
      </xdr:nvSpPr>
      <xdr:spPr>
        <a:xfrm rot="10800000">
          <a:off x="11523032" y="12893123"/>
          <a:ext cx="127834" cy="156449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312025</xdr:colOff>
      <xdr:row>82</xdr:row>
      <xdr:rowOff>149360</xdr:rowOff>
    </xdr:from>
    <xdr:to>
      <xdr:col>19</xdr:col>
      <xdr:colOff>316670</xdr:colOff>
      <xdr:row>83</xdr:row>
      <xdr:rowOff>149373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1139C2ED-C714-40C2-ADF0-DF4CC966D0A7}"/>
            </a:ext>
          </a:extLst>
        </xdr:cNvPr>
        <xdr:cNvCxnSpPr>
          <a:cxnSpLocks/>
          <a:stCxn id="270" idx="0"/>
          <a:endCxn id="269" idx="0"/>
        </xdr:cNvCxnSpPr>
      </xdr:nvCxnSpPr>
      <xdr:spPr>
        <a:xfrm flipH="1">
          <a:off x="11597245" y="16372340"/>
          <a:ext cx="4645" cy="19051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311814</xdr:colOff>
      <xdr:row>84</xdr:row>
      <xdr:rowOff>70185</xdr:rowOff>
    </xdr:from>
    <xdr:to>
      <xdr:col>19</xdr:col>
      <xdr:colOff>312025</xdr:colOff>
      <xdr:row>86</xdr:row>
      <xdr:rowOff>17477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7B09BB7B-176A-4383-AAB5-2159A4E4B558}"/>
            </a:ext>
          </a:extLst>
        </xdr:cNvPr>
        <xdr:cNvCxnSpPr>
          <a:cxnSpLocks/>
          <a:stCxn id="269" idx="2"/>
        </xdr:cNvCxnSpPr>
      </xdr:nvCxnSpPr>
      <xdr:spPr>
        <a:xfrm flipH="1">
          <a:off x="11597034" y="16674165"/>
          <a:ext cx="211" cy="328292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356848</xdr:colOff>
      <xdr:row>84</xdr:row>
      <xdr:rowOff>13655</xdr:rowOff>
    </xdr:from>
    <xdr:to>
      <xdr:col>19</xdr:col>
      <xdr:colOff>468385</xdr:colOff>
      <xdr:row>84</xdr:row>
      <xdr:rowOff>13981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1E378635-98B8-4E02-A867-4D2150A8A319}"/>
            </a:ext>
          </a:extLst>
        </xdr:cNvPr>
        <xdr:cNvCxnSpPr>
          <a:cxnSpLocks/>
          <a:stCxn id="269" idx="3"/>
        </xdr:cNvCxnSpPr>
      </xdr:nvCxnSpPr>
      <xdr:spPr>
        <a:xfrm>
          <a:off x="11642068" y="16617635"/>
          <a:ext cx="111537" cy="32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267201</xdr:colOff>
      <xdr:row>83</xdr:row>
      <xdr:rowOff>149373</xdr:rowOff>
    </xdr:from>
    <xdr:to>
      <xdr:col>19</xdr:col>
      <xdr:colOff>356848</xdr:colOff>
      <xdr:row>84</xdr:row>
      <xdr:rowOff>70185</xdr:rowOff>
    </xdr:to>
    <xdr:sp macro="" textlink="">
      <xdr:nvSpPr>
        <xdr:cNvPr id="269" name="Diamond 268">
          <a:extLst>
            <a:ext uri="{FF2B5EF4-FFF2-40B4-BE49-F238E27FC236}">
              <a16:creationId xmlns:a16="http://schemas.microsoft.com/office/drawing/2014/main" id="{D7D43223-A90B-445C-80ED-3A454770D42B}"/>
            </a:ext>
          </a:extLst>
        </xdr:cNvPr>
        <xdr:cNvSpPr/>
      </xdr:nvSpPr>
      <xdr:spPr>
        <a:xfrm>
          <a:off x="11552421" y="16562853"/>
          <a:ext cx="89647" cy="11131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252753</xdr:colOff>
      <xdr:row>81</xdr:row>
      <xdr:rowOff>187146</xdr:rowOff>
    </xdr:from>
    <xdr:to>
      <xdr:col>19</xdr:col>
      <xdr:colOff>380587</xdr:colOff>
      <xdr:row>82</xdr:row>
      <xdr:rowOff>149360</xdr:rowOff>
    </xdr:to>
    <xdr:sp macro="" textlink="">
      <xdr:nvSpPr>
        <xdr:cNvPr id="270" name="Isosceles Triangle 269">
          <a:extLst>
            <a:ext uri="{FF2B5EF4-FFF2-40B4-BE49-F238E27FC236}">
              <a16:creationId xmlns:a16="http://schemas.microsoft.com/office/drawing/2014/main" id="{49131EC2-AEC1-4A5F-8DE2-1CEBDCF58502}"/>
            </a:ext>
          </a:extLst>
        </xdr:cNvPr>
        <xdr:cNvSpPr/>
      </xdr:nvSpPr>
      <xdr:spPr>
        <a:xfrm rot="10800000">
          <a:off x="11537973" y="16219626"/>
          <a:ext cx="127834" cy="152714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287671</xdr:colOff>
      <xdr:row>70</xdr:row>
      <xdr:rowOff>148979</xdr:rowOff>
    </xdr:from>
    <xdr:to>
      <xdr:col>28</xdr:col>
      <xdr:colOff>289560</xdr:colOff>
      <xdr:row>71</xdr:row>
      <xdr:rowOff>190500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8CAE3BA1-DC16-473B-84E5-668CA2149615}"/>
            </a:ext>
          </a:extLst>
        </xdr:cNvPr>
        <xdr:cNvCxnSpPr>
          <a:cxnSpLocks/>
          <a:stCxn id="272" idx="0"/>
        </xdr:cNvCxnSpPr>
      </xdr:nvCxnSpPr>
      <xdr:spPr>
        <a:xfrm>
          <a:off x="16716391" y="14017379"/>
          <a:ext cx="1889" cy="23964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223754</xdr:colOff>
      <xdr:row>69</xdr:row>
      <xdr:rowOff>189298</xdr:rowOff>
    </xdr:from>
    <xdr:to>
      <xdr:col>28</xdr:col>
      <xdr:colOff>351588</xdr:colOff>
      <xdr:row>70</xdr:row>
      <xdr:rowOff>148979</xdr:rowOff>
    </xdr:to>
    <xdr:sp macro="" textlink="">
      <xdr:nvSpPr>
        <xdr:cNvPr id="272" name="Isosceles Triangle 271">
          <a:extLst>
            <a:ext uri="{FF2B5EF4-FFF2-40B4-BE49-F238E27FC236}">
              <a16:creationId xmlns:a16="http://schemas.microsoft.com/office/drawing/2014/main" id="{980ABF31-F0FF-456D-9DE6-CE9360E6BC1A}"/>
            </a:ext>
          </a:extLst>
        </xdr:cNvPr>
        <xdr:cNvSpPr/>
      </xdr:nvSpPr>
      <xdr:spPr>
        <a:xfrm rot="10800000">
          <a:off x="16652474" y="13859578"/>
          <a:ext cx="127834" cy="157801"/>
        </a:xfrm>
        <a:prstGeom prst="triangle">
          <a:avLst/>
        </a:prstGeom>
        <a:solidFill>
          <a:srgbClr val="6DD9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311714</xdr:colOff>
      <xdr:row>5</xdr:row>
      <xdr:rowOff>164690</xdr:rowOff>
    </xdr:from>
    <xdr:to>
      <xdr:col>18</xdr:col>
      <xdr:colOff>313643</xdr:colOff>
      <xdr:row>8</xdr:row>
      <xdr:rowOff>151064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A7ECC2A-6C32-4A2C-990A-5963FB4F56CD}"/>
            </a:ext>
          </a:extLst>
        </xdr:cNvPr>
        <xdr:cNvCxnSpPr>
          <a:stCxn id="284" idx="0"/>
          <a:endCxn id="285" idx="1"/>
        </xdr:cNvCxnSpPr>
      </xdr:nvCxnSpPr>
      <xdr:spPr>
        <a:xfrm flipH="1">
          <a:off x="10956854" y="1155290"/>
          <a:ext cx="1929" cy="580734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356347</xdr:colOff>
      <xdr:row>6</xdr:row>
      <xdr:rowOff>197185</xdr:rowOff>
    </xdr:from>
    <xdr:to>
      <xdr:col>18</xdr:col>
      <xdr:colOff>485862</xdr:colOff>
      <xdr:row>7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2D37E39D-9D90-4E5D-B7D0-6D3CDA4118D0}"/>
            </a:ext>
          </a:extLst>
        </xdr:cNvPr>
        <xdr:cNvCxnSpPr>
          <a:cxnSpLocks/>
          <a:stCxn id="282" idx="3"/>
        </xdr:cNvCxnSpPr>
      </xdr:nvCxnSpPr>
      <xdr:spPr>
        <a:xfrm>
          <a:off x="11001487" y="1385905"/>
          <a:ext cx="129515" cy="9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311092</xdr:colOff>
      <xdr:row>9</xdr:row>
      <xdr:rowOff>53030</xdr:rowOff>
    </xdr:from>
    <xdr:to>
      <xdr:col>18</xdr:col>
      <xdr:colOff>311714</xdr:colOff>
      <xdr:row>14</xdr:row>
      <xdr:rowOff>199238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576C184B-8C39-4F5C-9C48-91BB0BAACA3C}"/>
            </a:ext>
          </a:extLst>
        </xdr:cNvPr>
        <xdr:cNvCxnSpPr>
          <a:stCxn id="285" idx="2"/>
        </xdr:cNvCxnSpPr>
      </xdr:nvCxnSpPr>
      <xdr:spPr>
        <a:xfrm flipH="1">
          <a:off x="10956232" y="1836110"/>
          <a:ext cx="622" cy="1136808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209938</xdr:colOff>
      <xdr:row>9</xdr:row>
      <xdr:rowOff>54195</xdr:rowOff>
    </xdr:from>
    <xdr:to>
      <xdr:col>18</xdr:col>
      <xdr:colOff>210780</xdr:colOff>
      <xdr:row>15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30F3B7ED-74A8-4F8C-8FD5-CEF874FE8720}"/>
            </a:ext>
          </a:extLst>
        </xdr:cNvPr>
        <xdr:cNvCxnSpPr>
          <a:stCxn id="285" idx="3"/>
        </xdr:cNvCxnSpPr>
      </xdr:nvCxnSpPr>
      <xdr:spPr>
        <a:xfrm flipH="1">
          <a:off x="10855078" y="1837275"/>
          <a:ext cx="842" cy="1134525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359143</xdr:colOff>
      <xdr:row>13</xdr:row>
      <xdr:rowOff>3148</xdr:rowOff>
    </xdr:from>
    <xdr:to>
      <xdr:col>18</xdr:col>
      <xdr:colOff>481760</xdr:colOff>
      <xdr:row>13</xdr:row>
      <xdr:rowOff>4857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2114062F-19E2-4273-9409-E121412DAD13}"/>
            </a:ext>
          </a:extLst>
        </xdr:cNvPr>
        <xdr:cNvCxnSpPr>
          <a:cxnSpLocks/>
          <a:stCxn id="279" idx="3"/>
        </xdr:cNvCxnSpPr>
      </xdr:nvCxnSpPr>
      <xdr:spPr>
        <a:xfrm flipV="1">
          <a:off x="11004283" y="2578708"/>
          <a:ext cx="122617" cy="17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268814</xdr:colOff>
      <xdr:row>10</xdr:row>
      <xdr:rowOff>140736</xdr:rowOff>
    </xdr:from>
    <xdr:to>
      <xdr:col>18</xdr:col>
      <xdr:colOff>358461</xdr:colOff>
      <xdr:row>11</xdr:row>
      <xdr:rowOff>61548</xdr:rowOff>
    </xdr:to>
    <xdr:sp macro="" textlink="">
      <xdr:nvSpPr>
        <xdr:cNvPr id="278" name="Diamond 277">
          <a:extLst>
            <a:ext uri="{FF2B5EF4-FFF2-40B4-BE49-F238E27FC236}">
              <a16:creationId xmlns:a16="http://schemas.microsoft.com/office/drawing/2014/main" id="{E355E7BE-8B7A-4684-98BA-F172EDA55500}"/>
            </a:ext>
          </a:extLst>
        </xdr:cNvPr>
        <xdr:cNvSpPr/>
      </xdr:nvSpPr>
      <xdr:spPr>
        <a:xfrm>
          <a:off x="10913954" y="2121936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269496</xdr:colOff>
      <xdr:row>12</xdr:row>
      <xdr:rowOff>143637</xdr:rowOff>
    </xdr:from>
    <xdr:to>
      <xdr:col>18</xdr:col>
      <xdr:colOff>359143</xdr:colOff>
      <xdr:row>13</xdr:row>
      <xdr:rowOff>64449</xdr:rowOff>
    </xdr:to>
    <xdr:sp macro="" textlink="">
      <xdr:nvSpPr>
        <xdr:cNvPr id="279" name="Diamond 278">
          <a:extLst>
            <a:ext uri="{FF2B5EF4-FFF2-40B4-BE49-F238E27FC236}">
              <a16:creationId xmlns:a16="http://schemas.microsoft.com/office/drawing/2014/main" id="{395FEDA5-064E-48C8-8678-E9DDFE333756}"/>
            </a:ext>
          </a:extLst>
        </xdr:cNvPr>
        <xdr:cNvSpPr/>
      </xdr:nvSpPr>
      <xdr:spPr>
        <a:xfrm>
          <a:off x="10914636" y="2521077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274320</xdr:colOff>
      <xdr:row>9</xdr:row>
      <xdr:rowOff>0</xdr:rowOff>
    </xdr:from>
    <xdr:to>
      <xdr:col>18</xdr:col>
      <xdr:colOff>472440</xdr:colOff>
      <xdr:row>9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46BE7A83-4951-4F4E-BF41-C4CD52608AA7}"/>
            </a:ext>
          </a:extLst>
        </xdr:cNvPr>
        <xdr:cNvCxnSpPr/>
      </xdr:nvCxnSpPr>
      <xdr:spPr>
        <a:xfrm>
          <a:off x="10919460" y="178308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358461</xdr:colOff>
      <xdr:row>10</xdr:row>
      <xdr:rowOff>199238</xdr:rowOff>
    </xdr:from>
    <xdr:to>
      <xdr:col>18</xdr:col>
      <xdr:colOff>489358</xdr:colOff>
      <xdr:row>11</xdr:row>
      <xdr:rowOff>1523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3477F4C4-9726-478B-A268-68EA25C3ADEB}"/>
            </a:ext>
          </a:extLst>
        </xdr:cNvPr>
        <xdr:cNvCxnSpPr>
          <a:stCxn id="278" idx="3"/>
        </xdr:cNvCxnSpPr>
      </xdr:nvCxnSpPr>
      <xdr:spPr>
        <a:xfrm flipV="1">
          <a:off x="11003601" y="2180438"/>
          <a:ext cx="130897" cy="40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6</xdr:row>
      <xdr:rowOff>137160</xdr:rowOff>
    </xdr:from>
    <xdr:to>
      <xdr:col>18</xdr:col>
      <xdr:colOff>356347</xdr:colOff>
      <xdr:row>7</xdr:row>
      <xdr:rowOff>57972</xdr:rowOff>
    </xdr:to>
    <xdr:sp macro="" textlink="">
      <xdr:nvSpPr>
        <xdr:cNvPr id="282" name="Diamond 281">
          <a:extLst>
            <a:ext uri="{FF2B5EF4-FFF2-40B4-BE49-F238E27FC236}">
              <a16:creationId xmlns:a16="http://schemas.microsoft.com/office/drawing/2014/main" id="{6AC5922B-3D65-44ED-9762-A547F80E6B5E}"/>
            </a:ext>
          </a:extLst>
        </xdr:cNvPr>
        <xdr:cNvSpPr/>
      </xdr:nvSpPr>
      <xdr:spPr>
        <a:xfrm>
          <a:off x="10911840" y="132588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274320</xdr:colOff>
      <xdr:row>9</xdr:row>
      <xdr:rowOff>0</xdr:rowOff>
    </xdr:from>
    <xdr:to>
      <xdr:col>18</xdr:col>
      <xdr:colOff>481760</xdr:colOff>
      <xdr:row>9</xdr:row>
      <xdr:rowOff>1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C2BC7071-809C-4FE8-9E40-0624DE7FE9C1}"/>
            </a:ext>
          </a:extLst>
        </xdr:cNvPr>
        <xdr:cNvCxnSpPr/>
      </xdr:nvCxnSpPr>
      <xdr:spPr>
        <a:xfrm flipV="1">
          <a:off x="10919460" y="1783080"/>
          <a:ext cx="207440" cy="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258660</xdr:colOff>
      <xdr:row>5</xdr:row>
      <xdr:rowOff>13982</xdr:rowOff>
    </xdr:from>
    <xdr:to>
      <xdr:col>18</xdr:col>
      <xdr:colOff>368627</xdr:colOff>
      <xdr:row>5</xdr:row>
      <xdr:rowOff>164690</xdr:rowOff>
    </xdr:to>
    <xdr:sp macro="" textlink="">
      <xdr:nvSpPr>
        <xdr:cNvPr id="284" name="Isosceles Triangle 283">
          <a:extLst>
            <a:ext uri="{FF2B5EF4-FFF2-40B4-BE49-F238E27FC236}">
              <a16:creationId xmlns:a16="http://schemas.microsoft.com/office/drawing/2014/main" id="{70084E57-CA39-4E90-8510-21E7A2C0AD0E}"/>
            </a:ext>
          </a:extLst>
        </xdr:cNvPr>
        <xdr:cNvSpPr/>
      </xdr:nvSpPr>
      <xdr:spPr>
        <a:xfrm rot="10800000">
          <a:off x="10903800" y="1004582"/>
          <a:ext cx="109967" cy="150708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164129</xdr:colOff>
      <xdr:row>8</xdr:row>
      <xdr:rowOff>104288</xdr:rowOff>
    </xdr:from>
    <xdr:to>
      <xdr:col>18</xdr:col>
      <xdr:colOff>358365</xdr:colOff>
      <xdr:row>9</xdr:row>
      <xdr:rowOff>99806</xdr:rowOff>
    </xdr:to>
    <xdr:sp macro="" textlink="">
      <xdr:nvSpPr>
        <xdr:cNvPr id="285" name="Multiplication Sign 284">
          <a:extLst>
            <a:ext uri="{FF2B5EF4-FFF2-40B4-BE49-F238E27FC236}">
              <a16:creationId xmlns:a16="http://schemas.microsoft.com/office/drawing/2014/main" id="{5D54C5FE-E4B2-487F-85D8-5A9CF504C447}"/>
            </a:ext>
          </a:extLst>
        </xdr:cNvPr>
        <xdr:cNvSpPr/>
      </xdr:nvSpPr>
      <xdr:spPr>
        <a:xfrm>
          <a:off x="10809269" y="1689248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307369</xdr:colOff>
      <xdr:row>40</xdr:row>
      <xdr:rowOff>153573</xdr:rowOff>
    </xdr:from>
    <xdr:to>
      <xdr:col>18</xdr:col>
      <xdr:colOff>307639</xdr:colOff>
      <xdr:row>41</xdr:row>
      <xdr:rowOff>146856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32F54DA2-ACF5-4B27-8ECE-61C293044773}"/>
            </a:ext>
          </a:extLst>
        </xdr:cNvPr>
        <xdr:cNvCxnSpPr>
          <a:stCxn id="294" idx="0"/>
          <a:endCxn id="295" idx="1"/>
        </xdr:cNvCxnSpPr>
      </xdr:nvCxnSpPr>
      <xdr:spPr>
        <a:xfrm>
          <a:off x="10952509" y="8078373"/>
          <a:ext cx="270" cy="19140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307017</xdr:colOff>
      <xdr:row>42</xdr:row>
      <xdr:rowOff>49161</xdr:rowOff>
    </xdr:from>
    <xdr:to>
      <xdr:col>18</xdr:col>
      <xdr:colOff>307639</xdr:colOff>
      <xdr:row>47</xdr:row>
      <xdr:rowOff>193794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73848B53-62F8-4DA3-A5C5-E7585805DBAF}"/>
            </a:ext>
          </a:extLst>
        </xdr:cNvPr>
        <xdr:cNvCxnSpPr>
          <a:stCxn id="295" idx="2"/>
        </xdr:cNvCxnSpPr>
      </xdr:nvCxnSpPr>
      <xdr:spPr>
        <a:xfrm flipH="1">
          <a:off x="10952157" y="8370201"/>
          <a:ext cx="622" cy="1135233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205863</xdr:colOff>
      <xdr:row>42</xdr:row>
      <xdr:rowOff>50326</xdr:rowOff>
    </xdr:from>
    <xdr:to>
      <xdr:col>18</xdr:col>
      <xdr:colOff>206705</xdr:colOff>
      <xdr:row>47</xdr:row>
      <xdr:rowOff>193958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1967B8D1-D6E8-4E59-A28D-7A7906816C66}"/>
            </a:ext>
          </a:extLst>
        </xdr:cNvPr>
        <xdr:cNvCxnSpPr>
          <a:stCxn id="295" idx="3"/>
        </xdr:cNvCxnSpPr>
      </xdr:nvCxnSpPr>
      <xdr:spPr>
        <a:xfrm flipH="1">
          <a:off x="10851003" y="8371366"/>
          <a:ext cx="842" cy="1134232"/>
        </a:xfrm>
        <a:prstGeom prst="line">
          <a:avLst/>
        </a:prstGeom>
        <a:ln w="25400">
          <a:solidFill>
            <a:srgbClr val="00206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351817</xdr:colOff>
      <xdr:row>45</xdr:row>
      <xdr:rowOff>193648</xdr:rowOff>
    </xdr:from>
    <xdr:to>
      <xdr:col>18</xdr:col>
      <xdr:colOff>471286</xdr:colOff>
      <xdr:row>45</xdr:row>
      <xdr:rowOff>195357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1A57E63A-01C4-4933-A2BC-C5A7CF1DB1CC}"/>
            </a:ext>
          </a:extLst>
        </xdr:cNvPr>
        <xdr:cNvCxnSpPr>
          <a:cxnSpLocks/>
          <a:stCxn id="291" idx="3"/>
        </xdr:cNvCxnSpPr>
      </xdr:nvCxnSpPr>
      <xdr:spPr>
        <a:xfrm flipV="1">
          <a:off x="10996957" y="9109048"/>
          <a:ext cx="119469" cy="17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265151</xdr:colOff>
      <xdr:row>43</xdr:row>
      <xdr:rowOff>144400</xdr:rowOff>
    </xdr:from>
    <xdr:to>
      <xdr:col>18</xdr:col>
      <xdr:colOff>354798</xdr:colOff>
      <xdr:row>44</xdr:row>
      <xdr:rowOff>65212</xdr:rowOff>
    </xdr:to>
    <xdr:sp macro="" textlink="">
      <xdr:nvSpPr>
        <xdr:cNvPr id="290" name="Diamond 289">
          <a:extLst>
            <a:ext uri="{FF2B5EF4-FFF2-40B4-BE49-F238E27FC236}">
              <a16:creationId xmlns:a16="http://schemas.microsoft.com/office/drawing/2014/main" id="{B448E9D8-B978-4CED-87E3-9F00DB2DE3C5}"/>
            </a:ext>
          </a:extLst>
        </xdr:cNvPr>
        <xdr:cNvSpPr/>
      </xdr:nvSpPr>
      <xdr:spPr>
        <a:xfrm>
          <a:off x="10910291" y="866356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262170</xdr:colOff>
      <xdr:row>45</xdr:row>
      <xdr:rowOff>136310</xdr:rowOff>
    </xdr:from>
    <xdr:to>
      <xdr:col>18</xdr:col>
      <xdr:colOff>351817</xdr:colOff>
      <xdr:row>46</xdr:row>
      <xdr:rowOff>57122</xdr:rowOff>
    </xdr:to>
    <xdr:sp macro="" textlink="">
      <xdr:nvSpPr>
        <xdr:cNvPr id="291" name="Diamond 290">
          <a:extLst>
            <a:ext uri="{FF2B5EF4-FFF2-40B4-BE49-F238E27FC236}">
              <a16:creationId xmlns:a16="http://schemas.microsoft.com/office/drawing/2014/main" id="{D9AEF931-65A4-4A46-BBBB-C0F8B847437C}"/>
            </a:ext>
          </a:extLst>
        </xdr:cNvPr>
        <xdr:cNvSpPr/>
      </xdr:nvSpPr>
      <xdr:spPr>
        <a:xfrm>
          <a:off x="10907310" y="9051710"/>
          <a:ext cx="89647" cy="118932"/>
        </a:xfrm>
        <a:prstGeom prst="diamond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354798</xdr:colOff>
      <xdr:row>44</xdr:row>
      <xdr:rowOff>3664</xdr:rowOff>
    </xdr:from>
    <xdr:to>
      <xdr:col>18</xdr:col>
      <xdr:colOff>478097</xdr:colOff>
      <xdr:row>44</xdr:row>
      <xdr:rowOff>5620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4F08DA6C-0836-4780-BF63-77990BA97594}"/>
            </a:ext>
          </a:extLst>
        </xdr:cNvPr>
        <xdr:cNvCxnSpPr>
          <a:stCxn id="290" idx="3"/>
        </xdr:cNvCxnSpPr>
      </xdr:nvCxnSpPr>
      <xdr:spPr>
        <a:xfrm flipV="1">
          <a:off x="10999938" y="8720944"/>
          <a:ext cx="123299" cy="195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281440</xdr:colOff>
      <xdr:row>42</xdr:row>
      <xdr:rowOff>0</xdr:rowOff>
    </xdr:from>
    <xdr:to>
      <xdr:col>18</xdr:col>
      <xdr:colOff>479560</xdr:colOff>
      <xdr:row>42</xdr:row>
      <xdr:rowOff>0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81AED9EA-675D-4A71-A5FD-C4A884CA6AFA}"/>
            </a:ext>
          </a:extLst>
        </xdr:cNvPr>
        <xdr:cNvCxnSpPr/>
      </xdr:nvCxnSpPr>
      <xdr:spPr>
        <a:xfrm>
          <a:off x="10926580" y="8321040"/>
          <a:ext cx="19812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239361</xdr:colOff>
      <xdr:row>39</xdr:row>
      <xdr:rowOff>181387</xdr:rowOff>
    </xdr:from>
    <xdr:to>
      <xdr:col>18</xdr:col>
      <xdr:colOff>375377</xdr:colOff>
      <xdr:row>40</xdr:row>
      <xdr:rowOff>153573</xdr:rowOff>
    </xdr:to>
    <xdr:sp macro="" textlink="">
      <xdr:nvSpPr>
        <xdr:cNvPr id="294" name="Isosceles Triangle 293">
          <a:extLst>
            <a:ext uri="{FF2B5EF4-FFF2-40B4-BE49-F238E27FC236}">
              <a16:creationId xmlns:a16="http://schemas.microsoft.com/office/drawing/2014/main" id="{AD2020C0-A138-445F-B915-483D696DA56D}"/>
            </a:ext>
          </a:extLst>
        </xdr:cNvPr>
        <xdr:cNvSpPr/>
      </xdr:nvSpPr>
      <xdr:spPr>
        <a:xfrm rot="10800000">
          <a:off x="10884501" y="7908067"/>
          <a:ext cx="136016" cy="170306"/>
        </a:xfrm>
        <a:prstGeom prst="triangle">
          <a:avLst/>
        </a:prstGeom>
        <a:solidFill>
          <a:srgbClr val="6DD9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160054</xdr:colOff>
      <xdr:row>41</xdr:row>
      <xdr:rowOff>100419</xdr:rowOff>
    </xdr:from>
    <xdr:to>
      <xdr:col>18</xdr:col>
      <xdr:colOff>354290</xdr:colOff>
      <xdr:row>42</xdr:row>
      <xdr:rowOff>95937</xdr:rowOff>
    </xdr:to>
    <xdr:sp macro="" textlink="">
      <xdr:nvSpPr>
        <xdr:cNvPr id="295" name="Multiplication Sign 294">
          <a:extLst>
            <a:ext uri="{FF2B5EF4-FFF2-40B4-BE49-F238E27FC236}">
              <a16:creationId xmlns:a16="http://schemas.microsoft.com/office/drawing/2014/main" id="{DBDB9D18-3B8D-4CE5-94F3-0F4A566648C2}"/>
            </a:ext>
          </a:extLst>
        </xdr:cNvPr>
        <xdr:cNvSpPr/>
      </xdr:nvSpPr>
      <xdr:spPr>
        <a:xfrm>
          <a:off x="10805194" y="8223339"/>
          <a:ext cx="194236" cy="193638"/>
        </a:xfrm>
        <a:prstGeom prst="mathMultiply">
          <a:avLst/>
        </a:prstGeom>
        <a:solidFill>
          <a:srgbClr val="FFC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387609</xdr:colOff>
      <xdr:row>55</xdr:row>
      <xdr:rowOff>46182</xdr:rowOff>
    </xdr:from>
    <xdr:to>
      <xdr:col>6</xdr:col>
      <xdr:colOff>500303</xdr:colOff>
      <xdr:row>55</xdr:row>
      <xdr:rowOff>153939</xdr:rowOff>
    </xdr:to>
    <xdr:sp macro="" textlink="">
      <xdr:nvSpPr>
        <xdr:cNvPr id="296" name="Isosceles Triangle 295">
          <a:extLst>
            <a:ext uri="{FF2B5EF4-FFF2-40B4-BE49-F238E27FC236}">
              <a16:creationId xmlns:a16="http://schemas.microsoft.com/office/drawing/2014/main" id="{693FBC98-F388-4774-88EE-1A783943997D}"/>
            </a:ext>
          </a:extLst>
        </xdr:cNvPr>
        <xdr:cNvSpPr/>
      </xdr:nvSpPr>
      <xdr:spPr>
        <a:xfrm>
          <a:off x="4060449" y="10942782"/>
          <a:ext cx="112694" cy="107757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431321</xdr:colOff>
      <xdr:row>54</xdr:row>
      <xdr:rowOff>48228</xdr:rowOff>
    </xdr:from>
    <xdr:to>
      <xdr:col>8</xdr:col>
      <xdr:colOff>554181</xdr:colOff>
      <xdr:row>54</xdr:row>
      <xdr:rowOff>161637</xdr:rowOff>
    </xdr:to>
    <xdr:sp macro="" textlink="">
      <xdr:nvSpPr>
        <xdr:cNvPr id="297" name="Isosceles Triangle 296">
          <a:extLst>
            <a:ext uri="{FF2B5EF4-FFF2-40B4-BE49-F238E27FC236}">
              <a16:creationId xmlns:a16="http://schemas.microsoft.com/office/drawing/2014/main" id="{8C0BC7C5-B497-440B-9545-B91B1C173F9B}"/>
            </a:ext>
          </a:extLst>
        </xdr:cNvPr>
        <xdr:cNvSpPr/>
      </xdr:nvSpPr>
      <xdr:spPr>
        <a:xfrm>
          <a:off x="5155721" y="10746708"/>
          <a:ext cx="122860" cy="113409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315576</xdr:colOff>
      <xdr:row>55</xdr:row>
      <xdr:rowOff>46182</xdr:rowOff>
    </xdr:from>
    <xdr:to>
      <xdr:col>7</xdr:col>
      <xdr:colOff>445030</xdr:colOff>
      <xdr:row>55</xdr:row>
      <xdr:rowOff>163180</xdr:rowOff>
    </xdr:to>
    <xdr:sp macro="" textlink="">
      <xdr:nvSpPr>
        <xdr:cNvPr id="298" name="Isosceles Triangle 297">
          <a:extLst>
            <a:ext uri="{FF2B5EF4-FFF2-40B4-BE49-F238E27FC236}">
              <a16:creationId xmlns:a16="http://schemas.microsoft.com/office/drawing/2014/main" id="{B8918F04-B2BF-4809-8A32-E2F1308AF60A}"/>
            </a:ext>
          </a:extLst>
        </xdr:cNvPr>
        <xdr:cNvSpPr/>
      </xdr:nvSpPr>
      <xdr:spPr>
        <a:xfrm>
          <a:off x="4529436" y="10942782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323565</xdr:colOff>
      <xdr:row>87</xdr:row>
      <xdr:rowOff>32834</xdr:rowOff>
    </xdr:from>
    <xdr:to>
      <xdr:col>7</xdr:col>
      <xdr:colOff>445399</xdr:colOff>
      <xdr:row>87</xdr:row>
      <xdr:rowOff>149832</xdr:rowOff>
    </xdr:to>
    <xdr:sp macro="" textlink="">
      <xdr:nvSpPr>
        <xdr:cNvPr id="299" name="Isosceles Triangle 298">
          <a:extLst>
            <a:ext uri="{FF2B5EF4-FFF2-40B4-BE49-F238E27FC236}">
              <a16:creationId xmlns:a16="http://schemas.microsoft.com/office/drawing/2014/main" id="{17F2B79B-DC10-4BCA-B4C5-CF126E61494C}"/>
            </a:ext>
          </a:extLst>
        </xdr:cNvPr>
        <xdr:cNvSpPr/>
      </xdr:nvSpPr>
      <xdr:spPr>
        <a:xfrm>
          <a:off x="4537425" y="17208314"/>
          <a:ext cx="12183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377152</xdr:colOff>
      <xdr:row>87</xdr:row>
      <xdr:rowOff>30788</xdr:rowOff>
    </xdr:from>
    <xdr:to>
      <xdr:col>6</xdr:col>
      <xdr:colOff>491366</xdr:colOff>
      <xdr:row>87</xdr:row>
      <xdr:rowOff>147786</xdr:rowOff>
    </xdr:to>
    <xdr:sp macro="" textlink="">
      <xdr:nvSpPr>
        <xdr:cNvPr id="300" name="Isosceles Triangle 299">
          <a:extLst>
            <a:ext uri="{FF2B5EF4-FFF2-40B4-BE49-F238E27FC236}">
              <a16:creationId xmlns:a16="http://schemas.microsoft.com/office/drawing/2014/main" id="{E0063F6A-B67E-4EEF-9F0F-E1A3A42BDA5A}"/>
            </a:ext>
          </a:extLst>
        </xdr:cNvPr>
        <xdr:cNvSpPr/>
      </xdr:nvSpPr>
      <xdr:spPr>
        <a:xfrm>
          <a:off x="4049992" y="17206268"/>
          <a:ext cx="11421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372215</xdr:colOff>
      <xdr:row>18</xdr:row>
      <xdr:rowOff>37314</xdr:rowOff>
    </xdr:from>
    <xdr:to>
      <xdr:col>22</xdr:col>
      <xdr:colOff>501669</xdr:colOff>
      <xdr:row>18</xdr:row>
      <xdr:rowOff>154312</xdr:rowOff>
    </xdr:to>
    <xdr:sp macro="" textlink="">
      <xdr:nvSpPr>
        <xdr:cNvPr id="301" name="Isosceles Triangle 300">
          <a:extLst>
            <a:ext uri="{FF2B5EF4-FFF2-40B4-BE49-F238E27FC236}">
              <a16:creationId xmlns:a16="http://schemas.microsoft.com/office/drawing/2014/main" id="{07E43703-9EC1-4304-80F4-3CB222140D72}"/>
            </a:ext>
          </a:extLst>
        </xdr:cNvPr>
        <xdr:cNvSpPr/>
      </xdr:nvSpPr>
      <xdr:spPr>
        <a:xfrm>
          <a:off x="13455755" y="3603474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284788</xdr:colOff>
      <xdr:row>18</xdr:row>
      <xdr:rowOff>38485</xdr:rowOff>
    </xdr:from>
    <xdr:to>
      <xdr:col>23</xdr:col>
      <xdr:colOff>414242</xdr:colOff>
      <xdr:row>18</xdr:row>
      <xdr:rowOff>155483</xdr:rowOff>
    </xdr:to>
    <xdr:sp macro="" textlink="">
      <xdr:nvSpPr>
        <xdr:cNvPr id="302" name="Isosceles Triangle 301">
          <a:extLst>
            <a:ext uri="{FF2B5EF4-FFF2-40B4-BE49-F238E27FC236}">
              <a16:creationId xmlns:a16="http://schemas.microsoft.com/office/drawing/2014/main" id="{03D19155-A717-4DDD-B2E9-C9595E656A1A}"/>
            </a:ext>
          </a:extLst>
        </xdr:cNvPr>
        <xdr:cNvSpPr/>
      </xdr:nvSpPr>
      <xdr:spPr>
        <a:xfrm>
          <a:off x="13916968" y="3604645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364518</xdr:colOff>
      <xdr:row>52</xdr:row>
      <xdr:rowOff>37314</xdr:rowOff>
    </xdr:from>
    <xdr:to>
      <xdr:col>22</xdr:col>
      <xdr:colOff>493972</xdr:colOff>
      <xdr:row>52</xdr:row>
      <xdr:rowOff>154312</xdr:rowOff>
    </xdr:to>
    <xdr:sp macro="" textlink="">
      <xdr:nvSpPr>
        <xdr:cNvPr id="303" name="Isosceles Triangle 302">
          <a:extLst>
            <a:ext uri="{FF2B5EF4-FFF2-40B4-BE49-F238E27FC236}">
              <a16:creationId xmlns:a16="http://schemas.microsoft.com/office/drawing/2014/main" id="{49B3D9B1-8CE4-49BB-B546-97B69963E84A}"/>
            </a:ext>
          </a:extLst>
        </xdr:cNvPr>
        <xdr:cNvSpPr/>
      </xdr:nvSpPr>
      <xdr:spPr>
        <a:xfrm>
          <a:off x="13448058" y="10339554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361758</xdr:colOff>
      <xdr:row>52</xdr:row>
      <xdr:rowOff>38485</xdr:rowOff>
    </xdr:from>
    <xdr:to>
      <xdr:col>23</xdr:col>
      <xdr:colOff>491212</xdr:colOff>
      <xdr:row>52</xdr:row>
      <xdr:rowOff>155483</xdr:rowOff>
    </xdr:to>
    <xdr:sp macro="" textlink="">
      <xdr:nvSpPr>
        <xdr:cNvPr id="304" name="Isosceles Triangle 303">
          <a:extLst>
            <a:ext uri="{FF2B5EF4-FFF2-40B4-BE49-F238E27FC236}">
              <a16:creationId xmlns:a16="http://schemas.microsoft.com/office/drawing/2014/main" id="{88D6F7A1-0227-4090-8010-302A17F8AFB5}"/>
            </a:ext>
          </a:extLst>
        </xdr:cNvPr>
        <xdr:cNvSpPr/>
      </xdr:nvSpPr>
      <xdr:spPr>
        <a:xfrm>
          <a:off x="13993938" y="10340725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29</xdr:col>
      <xdr:colOff>275254</xdr:colOff>
      <xdr:row>82</xdr:row>
      <xdr:rowOff>111790</xdr:rowOff>
    </xdr:from>
    <xdr:to>
      <xdr:col>31</xdr:col>
      <xdr:colOff>199055</xdr:colOff>
      <xdr:row>86</xdr:row>
      <xdr:rowOff>177030</xdr:rowOff>
    </xdr:to>
    <xdr:pic>
      <xdr:nvPicPr>
        <xdr:cNvPr id="305" name="Picture 304">
          <a:extLst>
            <a:ext uri="{FF2B5EF4-FFF2-40B4-BE49-F238E27FC236}">
              <a16:creationId xmlns:a16="http://schemas.microsoft.com/office/drawing/2014/main" id="{988FAE3C-85E0-4605-85B6-C43AF878F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4994" y="16334770"/>
          <a:ext cx="922021" cy="827240"/>
        </a:xfrm>
        <a:prstGeom prst="rect">
          <a:avLst/>
        </a:prstGeom>
      </xdr:spPr>
    </xdr:pic>
    <xdr:clientData/>
  </xdr:twoCellAnchor>
  <xdr:twoCellAnchor editAs="oneCell">
    <xdr:from>
      <xdr:col>30</xdr:col>
      <xdr:colOff>124097</xdr:colOff>
      <xdr:row>88</xdr:row>
      <xdr:rowOff>62204</xdr:rowOff>
    </xdr:from>
    <xdr:to>
      <xdr:col>32</xdr:col>
      <xdr:colOff>322679</xdr:colOff>
      <xdr:row>91</xdr:row>
      <xdr:rowOff>180121</xdr:rowOff>
    </xdr:to>
    <xdr:pic>
      <xdr:nvPicPr>
        <xdr:cNvPr id="306" name="Picture 305">
          <a:extLst>
            <a:ext uri="{FF2B5EF4-FFF2-40B4-BE49-F238E27FC236}">
              <a16:creationId xmlns:a16="http://schemas.microsoft.com/office/drawing/2014/main" id="{9EF56098-F791-4D93-A8F0-8ADC12750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7717" y="17428184"/>
          <a:ext cx="1120602" cy="689417"/>
        </a:xfrm>
        <a:prstGeom prst="rect">
          <a:avLst/>
        </a:prstGeom>
      </xdr:spPr>
    </xdr:pic>
    <xdr:clientData/>
  </xdr:twoCellAnchor>
  <xdr:twoCellAnchor>
    <xdr:from>
      <xdr:col>3</xdr:col>
      <xdr:colOff>76969</xdr:colOff>
      <xdr:row>54</xdr:row>
      <xdr:rowOff>69273</xdr:rowOff>
    </xdr:from>
    <xdr:to>
      <xdr:col>3</xdr:col>
      <xdr:colOff>206423</xdr:colOff>
      <xdr:row>54</xdr:row>
      <xdr:rowOff>186271</xdr:rowOff>
    </xdr:to>
    <xdr:sp macro="" textlink="">
      <xdr:nvSpPr>
        <xdr:cNvPr id="307" name="Isosceles Triangle 306">
          <a:extLst>
            <a:ext uri="{FF2B5EF4-FFF2-40B4-BE49-F238E27FC236}">
              <a16:creationId xmlns:a16="http://schemas.microsoft.com/office/drawing/2014/main" id="{8700F467-629A-487C-8463-59CE657130B2}"/>
            </a:ext>
          </a:extLst>
        </xdr:cNvPr>
        <xdr:cNvSpPr/>
      </xdr:nvSpPr>
      <xdr:spPr>
        <a:xfrm>
          <a:off x="1913389" y="1076775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</xdr:col>
      <xdr:colOff>76969</xdr:colOff>
      <xdr:row>86</xdr:row>
      <xdr:rowOff>69273</xdr:rowOff>
    </xdr:from>
    <xdr:to>
      <xdr:col>3</xdr:col>
      <xdr:colOff>206423</xdr:colOff>
      <xdr:row>86</xdr:row>
      <xdr:rowOff>186271</xdr:rowOff>
    </xdr:to>
    <xdr:sp macro="" textlink="">
      <xdr:nvSpPr>
        <xdr:cNvPr id="308" name="Isosceles Triangle 307">
          <a:extLst>
            <a:ext uri="{FF2B5EF4-FFF2-40B4-BE49-F238E27FC236}">
              <a16:creationId xmlns:a16="http://schemas.microsoft.com/office/drawing/2014/main" id="{C5DDD758-5C4A-4E30-975D-3524A713F56B}"/>
            </a:ext>
          </a:extLst>
        </xdr:cNvPr>
        <xdr:cNvSpPr/>
      </xdr:nvSpPr>
      <xdr:spPr>
        <a:xfrm>
          <a:off x="1913389" y="1705425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6</xdr:col>
      <xdr:colOff>387609</xdr:colOff>
      <xdr:row>22</xdr:row>
      <xdr:rowOff>46182</xdr:rowOff>
    </xdr:from>
    <xdr:to>
      <xdr:col>6</xdr:col>
      <xdr:colOff>500303</xdr:colOff>
      <xdr:row>22</xdr:row>
      <xdr:rowOff>153939</xdr:rowOff>
    </xdr:to>
    <xdr:sp macro="" textlink="">
      <xdr:nvSpPr>
        <xdr:cNvPr id="309" name="Isosceles Triangle 308">
          <a:extLst>
            <a:ext uri="{FF2B5EF4-FFF2-40B4-BE49-F238E27FC236}">
              <a16:creationId xmlns:a16="http://schemas.microsoft.com/office/drawing/2014/main" id="{AB90A473-D238-4344-A01C-221BE4E5AD38}"/>
            </a:ext>
          </a:extLst>
        </xdr:cNvPr>
        <xdr:cNvSpPr/>
      </xdr:nvSpPr>
      <xdr:spPr>
        <a:xfrm>
          <a:off x="4060449" y="4404822"/>
          <a:ext cx="112694" cy="107757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315576</xdr:colOff>
      <xdr:row>22</xdr:row>
      <xdr:rowOff>46182</xdr:rowOff>
    </xdr:from>
    <xdr:to>
      <xdr:col>7</xdr:col>
      <xdr:colOff>445030</xdr:colOff>
      <xdr:row>22</xdr:row>
      <xdr:rowOff>163180</xdr:rowOff>
    </xdr:to>
    <xdr:sp macro="" textlink="">
      <xdr:nvSpPr>
        <xdr:cNvPr id="310" name="Isosceles Triangle 309">
          <a:extLst>
            <a:ext uri="{FF2B5EF4-FFF2-40B4-BE49-F238E27FC236}">
              <a16:creationId xmlns:a16="http://schemas.microsoft.com/office/drawing/2014/main" id="{6B871F54-DC23-4B50-8547-64210DEB37E7}"/>
            </a:ext>
          </a:extLst>
        </xdr:cNvPr>
        <xdr:cNvSpPr/>
      </xdr:nvSpPr>
      <xdr:spPr>
        <a:xfrm>
          <a:off x="4529436" y="4404822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76969</xdr:colOff>
      <xdr:row>21</xdr:row>
      <xdr:rowOff>69273</xdr:rowOff>
    </xdr:from>
    <xdr:to>
      <xdr:col>3</xdr:col>
      <xdr:colOff>206423</xdr:colOff>
      <xdr:row>21</xdr:row>
      <xdr:rowOff>186271</xdr:rowOff>
    </xdr:to>
    <xdr:sp macro="" textlink="">
      <xdr:nvSpPr>
        <xdr:cNvPr id="311" name="Isosceles Triangle 310">
          <a:extLst>
            <a:ext uri="{FF2B5EF4-FFF2-40B4-BE49-F238E27FC236}">
              <a16:creationId xmlns:a16="http://schemas.microsoft.com/office/drawing/2014/main" id="{7DB589D3-DB28-4EDE-80C3-D555CC7021AA}"/>
            </a:ext>
          </a:extLst>
        </xdr:cNvPr>
        <xdr:cNvSpPr/>
      </xdr:nvSpPr>
      <xdr:spPr>
        <a:xfrm>
          <a:off x="1913389" y="422979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13</xdr:col>
      <xdr:colOff>76969</xdr:colOff>
      <xdr:row>21</xdr:row>
      <xdr:rowOff>69273</xdr:rowOff>
    </xdr:from>
    <xdr:to>
      <xdr:col>13</xdr:col>
      <xdr:colOff>206423</xdr:colOff>
      <xdr:row>21</xdr:row>
      <xdr:rowOff>186271</xdr:rowOff>
    </xdr:to>
    <xdr:sp macro="" textlink="">
      <xdr:nvSpPr>
        <xdr:cNvPr id="312" name="Isosceles Triangle 311">
          <a:extLst>
            <a:ext uri="{FF2B5EF4-FFF2-40B4-BE49-F238E27FC236}">
              <a16:creationId xmlns:a16="http://schemas.microsoft.com/office/drawing/2014/main" id="{2910A013-27B4-4976-892B-349507BB05BC}"/>
            </a:ext>
          </a:extLst>
        </xdr:cNvPr>
        <xdr:cNvSpPr/>
      </xdr:nvSpPr>
      <xdr:spPr>
        <a:xfrm>
          <a:off x="7834129" y="422979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13</xdr:col>
      <xdr:colOff>53879</xdr:colOff>
      <xdr:row>54</xdr:row>
      <xdr:rowOff>53879</xdr:rowOff>
    </xdr:from>
    <xdr:to>
      <xdr:col>13</xdr:col>
      <xdr:colOff>183333</xdr:colOff>
      <xdr:row>54</xdr:row>
      <xdr:rowOff>170877</xdr:rowOff>
    </xdr:to>
    <xdr:sp macro="" textlink="">
      <xdr:nvSpPr>
        <xdr:cNvPr id="313" name="Isosceles Triangle 312">
          <a:extLst>
            <a:ext uri="{FF2B5EF4-FFF2-40B4-BE49-F238E27FC236}">
              <a16:creationId xmlns:a16="http://schemas.microsoft.com/office/drawing/2014/main" id="{2F12F09F-1561-449C-A43E-E3A40382BB6A}"/>
            </a:ext>
          </a:extLst>
        </xdr:cNvPr>
        <xdr:cNvSpPr/>
      </xdr:nvSpPr>
      <xdr:spPr>
        <a:xfrm>
          <a:off x="7811039" y="10752359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13</xdr:col>
      <xdr:colOff>76969</xdr:colOff>
      <xdr:row>86</xdr:row>
      <xdr:rowOff>69273</xdr:rowOff>
    </xdr:from>
    <xdr:to>
      <xdr:col>13</xdr:col>
      <xdr:colOff>206423</xdr:colOff>
      <xdr:row>86</xdr:row>
      <xdr:rowOff>186271</xdr:rowOff>
    </xdr:to>
    <xdr:sp macro="" textlink="">
      <xdr:nvSpPr>
        <xdr:cNvPr id="314" name="Isosceles Triangle 313">
          <a:extLst>
            <a:ext uri="{FF2B5EF4-FFF2-40B4-BE49-F238E27FC236}">
              <a16:creationId xmlns:a16="http://schemas.microsoft.com/office/drawing/2014/main" id="{98670E13-A631-4F33-ADA9-ADCDD60F870A}"/>
            </a:ext>
          </a:extLst>
        </xdr:cNvPr>
        <xdr:cNvSpPr/>
      </xdr:nvSpPr>
      <xdr:spPr>
        <a:xfrm>
          <a:off x="7834129" y="1705425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8</xdr:col>
      <xdr:colOff>431321</xdr:colOff>
      <xdr:row>21</xdr:row>
      <xdr:rowOff>48228</xdr:rowOff>
    </xdr:from>
    <xdr:to>
      <xdr:col>8</xdr:col>
      <xdr:colOff>554181</xdr:colOff>
      <xdr:row>21</xdr:row>
      <xdr:rowOff>161637</xdr:rowOff>
    </xdr:to>
    <xdr:sp macro="" textlink="">
      <xdr:nvSpPr>
        <xdr:cNvPr id="315" name="Isosceles Triangle 314">
          <a:extLst>
            <a:ext uri="{FF2B5EF4-FFF2-40B4-BE49-F238E27FC236}">
              <a16:creationId xmlns:a16="http://schemas.microsoft.com/office/drawing/2014/main" id="{D402813D-866C-45A1-A219-477DE0FDEDEC}"/>
            </a:ext>
          </a:extLst>
        </xdr:cNvPr>
        <xdr:cNvSpPr/>
      </xdr:nvSpPr>
      <xdr:spPr>
        <a:xfrm>
          <a:off x="5155721" y="4208748"/>
          <a:ext cx="122860" cy="113409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431321</xdr:colOff>
      <xdr:row>86</xdr:row>
      <xdr:rowOff>48228</xdr:rowOff>
    </xdr:from>
    <xdr:to>
      <xdr:col>8</xdr:col>
      <xdr:colOff>554181</xdr:colOff>
      <xdr:row>86</xdr:row>
      <xdr:rowOff>161637</xdr:rowOff>
    </xdr:to>
    <xdr:sp macro="" textlink="">
      <xdr:nvSpPr>
        <xdr:cNvPr id="316" name="Isosceles Triangle 315">
          <a:extLst>
            <a:ext uri="{FF2B5EF4-FFF2-40B4-BE49-F238E27FC236}">
              <a16:creationId xmlns:a16="http://schemas.microsoft.com/office/drawing/2014/main" id="{1A039182-5975-4307-AC15-E57403C13504}"/>
            </a:ext>
          </a:extLst>
        </xdr:cNvPr>
        <xdr:cNvSpPr/>
      </xdr:nvSpPr>
      <xdr:spPr>
        <a:xfrm>
          <a:off x="5155721" y="17033208"/>
          <a:ext cx="122860" cy="113409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76969</xdr:colOff>
      <xdr:row>17</xdr:row>
      <xdr:rowOff>69273</xdr:rowOff>
    </xdr:from>
    <xdr:to>
      <xdr:col>19</xdr:col>
      <xdr:colOff>206423</xdr:colOff>
      <xdr:row>17</xdr:row>
      <xdr:rowOff>186271</xdr:rowOff>
    </xdr:to>
    <xdr:sp macro="" textlink="">
      <xdr:nvSpPr>
        <xdr:cNvPr id="317" name="Isosceles Triangle 316">
          <a:extLst>
            <a:ext uri="{FF2B5EF4-FFF2-40B4-BE49-F238E27FC236}">
              <a16:creationId xmlns:a16="http://schemas.microsoft.com/office/drawing/2014/main" id="{5E161F8D-FFA3-4F91-80CD-442C44814D04}"/>
            </a:ext>
          </a:extLst>
        </xdr:cNvPr>
        <xdr:cNvSpPr/>
      </xdr:nvSpPr>
      <xdr:spPr>
        <a:xfrm>
          <a:off x="11362189" y="343731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30</xdr:col>
      <xdr:colOff>46181</xdr:colOff>
      <xdr:row>17</xdr:row>
      <xdr:rowOff>61576</xdr:rowOff>
    </xdr:from>
    <xdr:to>
      <xdr:col>30</xdr:col>
      <xdr:colOff>175635</xdr:colOff>
      <xdr:row>17</xdr:row>
      <xdr:rowOff>178574</xdr:rowOff>
    </xdr:to>
    <xdr:sp macro="" textlink="">
      <xdr:nvSpPr>
        <xdr:cNvPr id="318" name="Isosceles Triangle 317">
          <a:extLst>
            <a:ext uri="{FF2B5EF4-FFF2-40B4-BE49-F238E27FC236}">
              <a16:creationId xmlns:a16="http://schemas.microsoft.com/office/drawing/2014/main" id="{321E4E7B-5F4D-4B95-AEC2-D87210B42D8C}"/>
            </a:ext>
          </a:extLst>
        </xdr:cNvPr>
        <xdr:cNvSpPr/>
      </xdr:nvSpPr>
      <xdr:spPr>
        <a:xfrm>
          <a:off x="17579801" y="3429616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19</xdr:col>
      <xdr:colOff>76969</xdr:colOff>
      <xdr:row>51</xdr:row>
      <xdr:rowOff>69273</xdr:rowOff>
    </xdr:from>
    <xdr:to>
      <xdr:col>19</xdr:col>
      <xdr:colOff>206423</xdr:colOff>
      <xdr:row>51</xdr:row>
      <xdr:rowOff>186271</xdr:rowOff>
    </xdr:to>
    <xdr:sp macro="" textlink="">
      <xdr:nvSpPr>
        <xdr:cNvPr id="319" name="Isosceles Triangle 318">
          <a:extLst>
            <a:ext uri="{FF2B5EF4-FFF2-40B4-BE49-F238E27FC236}">
              <a16:creationId xmlns:a16="http://schemas.microsoft.com/office/drawing/2014/main" id="{7853530E-0C30-491E-AFE5-A8F7A2A3B3A5}"/>
            </a:ext>
          </a:extLst>
        </xdr:cNvPr>
        <xdr:cNvSpPr/>
      </xdr:nvSpPr>
      <xdr:spPr>
        <a:xfrm>
          <a:off x="11362189" y="10173393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30</xdr:col>
      <xdr:colOff>46181</xdr:colOff>
      <xdr:row>51</xdr:row>
      <xdr:rowOff>46182</xdr:rowOff>
    </xdr:from>
    <xdr:to>
      <xdr:col>30</xdr:col>
      <xdr:colOff>175635</xdr:colOff>
      <xdr:row>51</xdr:row>
      <xdr:rowOff>163180</xdr:rowOff>
    </xdr:to>
    <xdr:sp macro="" textlink="">
      <xdr:nvSpPr>
        <xdr:cNvPr id="320" name="Isosceles Triangle 319">
          <a:extLst>
            <a:ext uri="{FF2B5EF4-FFF2-40B4-BE49-F238E27FC236}">
              <a16:creationId xmlns:a16="http://schemas.microsoft.com/office/drawing/2014/main" id="{0DDAF421-BCE7-42C4-8FA4-9A147B946164}"/>
            </a:ext>
          </a:extLst>
        </xdr:cNvPr>
        <xdr:cNvSpPr/>
      </xdr:nvSpPr>
      <xdr:spPr>
        <a:xfrm>
          <a:off x="17579801" y="10150302"/>
          <a:ext cx="129454" cy="116998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24</xdr:col>
      <xdr:colOff>385139</xdr:colOff>
      <xdr:row>17</xdr:row>
      <xdr:rowOff>32834</xdr:rowOff>
    </xdr:from>
    <xdr:to>
      <xdr:col>24</xdr:col>
      <xdr:colOff>492759</xdr:colOff>
      <xdr:row>17</xdr:row>
      <xdr:rowOff>146243</xdr:rowOff>
    </xdr:to>
    <xdr:sp macro="" textlink="">
      <xdr:nvSpPr>
        <xdr:cNvPr id="321" name="Isosceles Triangle 320">
          <a:extLst>
            <a:ext uri="{FF2B5EF4-FFF2-40B4-BE49-F238E27FC236}">
              <a16:creationId xmlns:a16="http://schemas.microsoft.com/office/drawing/2014/main" id="{BC8C54E6-C6F6-4389-8B04-7D475FF3BD10}"/>
            </a:ext>
          </a:extLst>
        </xdr:cNvPr>
        <xdr:cNvSpPr/>
      </xdr:nvSpPr>
      <xdr:spPr>
        <a:xfrm>
          <a:off x="14581199" y="3400874"/>
          <a:ext cx="107620" cy="113409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385139</xdr:colOff>
      <xdr:row>51</xdr:row>
      <xdr:rowOff>32834</xdr:rowOff>
    </xdr:from>
    <xdr:to>
      <xdr:col>24</xdr:col>
      <xdr:colOff>492759</xdr:colOff>
      <xdr:row>51</xdr:row>
      <xdr:rowOff>146243</xdr:rowOff>
    </xdr:to>
    <xdr:sp macro="" textlink="">
      <xdr:nvSpPr>
        <xdr:cNvPr id="322" name="Isosceles Triangle 321">
          <a:extLst>
            <a:ext uri="{FF2B5EF4-FFF2-40B4-BE49-F238E27FC236}">
              <a16:creationId xmlns:a16="http://schemas.microsoft.com/office/drawing/2014/main" id="{95FD2C51-B18A-411B-8DBD-5EF0A8FF7E18}"/>
            </a:ext>
          </a:extLst>
        </xdr:cNvPr>
        <xdr:cNvSpPr/>
      </xdr:nvSpPr>
      <xdr:spPr>
        <a:xfrm>
          <a:off x="14581199" y="10136954"/>
          <a:ext cx="107620" cy="113409"/>
        </a:xfrm>
        <a:prstGeom prst="triangl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28</xdr:col>
      <xdr:colOff>415636</xdr:colOff>
      <xdr:row>33</xdr:row>
      <xdr:rowOff>115455</xdr:rowOff>
    </xdr:from>
    <xdr:to>
      <xdr:col>30</xdr:col>
      <xdr:colOff>129511</xdr:colOff>
      <xdr:row>37</xdr:row>
      <xdr:rowOff>7698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id="{4E81C2F6-11AC-418B-A037-BC4CF54D4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4356" y="6653415"/>
          <a:ext cx="773055" cy="684723"/>
        </a:xfrm>
        <a:prstGeom prst="rect">
          <a:avLst/>
        </a:prstGeom>
      </xdr:spPr>
    </xdr:pic>
    <xdr:clientData/>
  </xdr:twoCellAnchor>
  <xdr:twoCellAnchor editAs="oneCell">
    <xdr:from>
      <xdr:col>25</xdr:col>
      <xdr:colOff>223212</xdr:colOff>
      <xdr:row>25</xdr:row>
      <xdr:rowOff>53879</xdr:rowOff>
    </xdr:from>
    <xdr:to>
      <xdr:col>27</xdr:col>
      <xdr:colOff>139393</xdr:colOff>
      <xdr:row>29</xdr:row>
      <xdr:rowOff>88331</xdr:rowOff>
    </xdr:to>
    <xdr:pic>
      <xdr:nvPicPr>
        <xdr:cNvPr id="324" name="Picture 323">
          <a:extLst>
            <a:ext uri="{FF2B5EF4-FFF2-40B4-BE49-F238E27FC236}">
              <a16:creationId xmlns:a16="http://schemas.microsoft.com/office/drawing/2014/main" id="{18AA2987-DAB2-4D6D-850D-F925463D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3152" y="5006879"/>
          <a:ext cx="914401" cy="826932"/>
        </a:xfrm>
        <a:prstGeom prst="rect">
          <a:avLst/>
        </a:prstGeom>
      </xdr:spPr>
    </xdr:pic>
    <xdr:clientData/>
  </xdr:twoCellAnchor>
  <xdr:twoCellAnchor editAs="oneCell">
    <xdr:from>
      <xdr:col>12</xdr:col>
      <xdr:colOff>246303</xdr:colOff>
      <xdr:row>82</xdr:row>
      <xdr:rowOff>100061</xdr:rowOff>
    </xdr:from>
    <xdr:to>
      <xdr:col>13</xdr:col>
      <xdr:colOff>262892</xdr:colOff>
      <xdr:row>85</xdr:row>
      <xdr:rowOff>92363</xdr:rowOff>
    </xdr:to>
    <xdr:pic>
      <xdr:nvPicPr>
        <xdr:cNvPr id="325" name="Picture 324">
          <a:extLst>
            <a:ext uri="{FF2B5EF4-FFF2-40B4-BE49-F238E27FC236}">
              <a16:creationId xmlns:a16="http://schemas.microsoft.com/office/drawing/2014/main" id="{02DB1392-BF2C-458C-AEA4-ACF8BF044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3383" y="16323041"/>
          <a:ext cx="626189" cy="563802"/>
        </a:xfrm>
        <a:prstGeom prst="rect">
          <a:avLst/>
        </a:prstGeom>
      </xdr:spPr>
    </xdr:pic>
    <xdr:clientData/>
  </xdr:twoCellAnchor>
  <xdr:twoCellAnchor editAs="oneCell">
    <xdr:from>
      <xdr:col>12</xdr:col>
      <xdr:colOff>100061</xdr:colOff>
      <xdr:row>32</xdr:row>
      <xdr:rowOff>23090</xdr:rowOff>
    </xdr:from>
    <xdr:to>
      <xdr:col>12</xdr:col>
      <xdr:colOff>517586</xdr:colOff>
      <xdr:row>34</xdr:row>
      <xdr:rowOff>23091</xdr:rowOff>
    </xdr:to>
    <xdr:pic>
      <xdr:nvPicPr>
        <xdr:cNvPr id="326" name="Picture 325">
          <a:extLst>
            <a:ext uri="{FF2B5EF4-FFF2-40B4-BE49-F238E27FC236}">
              <a16:creationId xmlns:a16="http://schemas.microsoft.com/office/drawing/2014/main" id="{5D68ECD8-92B5-4F9D-8FE8-96161788B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7141" y="6362930"/>
          <a:ext cx="417525" cy="396241"/>
        </a:xfrm>
        <a:prstGeom prst="rect">
          <a:avLst/>
        </a:prstGeom>
      </xdr:spPr>
    </xdr:pic>
    <xdr:clientData/>
  </xdr:twoCellAnchor>
  <xdr:twoCellAnchor editAs="oneCell">
    <xdr:from>
      <xdr:col>15</xdr:col>
      <xdr:colOff>99983</xdr:colOff>
      <xdr:row>3</xdr:row>
      <xdr:rowOff>153633</xdr:rowOff>
    </xdr:from>
    <xdr:to>
      <xdr:col>15</xdr:col>
      <xdr:colOff>500226</xdr:colOff>
      <xdr:row>5</xdr:row>
      <xdr:rowOff>137066</xdr:rowOff>
    </xdr:to>
    <xdr:pic>
      <xdr:nvPicPr>
        <xdr:cNvPr id="327" name="Picture 326">
          <a:extLst>
            <a:ext uri="{FF2B5EF4-FFF2-40B4-BE49-F238E27FC236}">
              <a16:creationId xmlns:a16="http://schemas.microsoft.com/office/drawing/2014/main" id="{9ACBD291-1417-4038-BC08-34150008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0143" y="747993"/>
          <a:ext cx="400243" cy="379673"/>
        </a:xfrm>
        <a:prstGeom prst="rect">
          <a:avLst/>
        </a:prstGeom>
      </xdr:spPr>
    </xdr:pic>
    <xdr:clientData/>
  </xdr:twoCellAnchor>
  <xdr:twoCellAnchor editAs="oneCell">
    <xdr:from>
      <xdr:col>19</xdr:col>
      <xdr:colOff>446424</xdr:colOff>
      <xdr:row>33</xdr:row>
      <xdr:rowOff>107758</xdr:rowOff>
    </xdr:from>
    <xdr:to>
      <xdr:col>21</xdr:col>
      <xdr:colOff>176491</xdr:colOff>
      <xdr:row>36</xdr:row>
      <xdr:rowOff>43079</xdr:rowOff>
    </xdr:to>
    <xdr:pic>
      <xdr:nvPicPr>
        <xdr:cNvPr id="328" name="Picture 327">
          <a:extLst>
            <a:ext uri="{FF2B5EF4-FFF2-40B4-BE49-F238E27FC236}">
              <a16:creationId xmlns:a16="http://schemas.microsoft.com/office/drawing/2014/main" id="{E4FBBBD7-2FC0-4622-AA70-4F79D0831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1644" y="6645718"/>
          <a:ext cx="880687" cy="529681"/>
        </a:xfrm>
        <a:prstGeom prst="rect">
          <a:avLst/>
        </a:prstGeom>
      </xdr:spPr>
    </xdr:pic>
    <xdr:clientData/>
  </xdr:twoCellAnchor>
  <xdr:twoCellAnchor editAs="oneCell">
    <xdr:from>
      <xdr:col>21</xdr:col>
      <xdr:colOff>554182</xdr:colOff>
      <xdr:row>25</xdr:row>
      <xdr:rowOff>76970</xdr:rowOff>
    </xdr:from>
    <xdr:to>
      <xdr:col>24</xdr:col>
      <xdr:colOff>230188</xdr:colOff>
      <xdr:row>29</xdr:row>
      <xdr:rowOff>82498</xdr:rowOff>
    </xdr:to>
    <xdr:pic>
      <xdr:nvPicPr>
        <xdr:cNvPr id="329" name="Picture 328">
          <a:extLst>
            <a:ext uri="{FF2B5EF4-FFF2-40B4-BE49-F238E27FC236}">
              <a16:creationId xmlns:a16="http://schemas.microsoft.com/office/drawing/2014/main" id="{F3195BE1-6A63-4CB1-858B-000BA5E48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3362" y="5029970"/>
          <a:ext cx="1314306" cy="798008"/>
        </a:xfrm>
        <a:prstGeom prst="rect">
          <a:avLst/>
        </a:prstGeom>
      </xdr:spPr>
    </xdr:pic>
    <xdr:clientData/>
  </xdr:twoCellAnchor>
  <xdr:twoCellAnchor editAs="oneCell">
    <xdr:from>
      <xdr:col>4</xdr:col>
      <xdr:colOff>361757</xdr:colOff>
      <xdr:row>32</xdr:row>
      <xdr:rowOff>38485</xdr:rowOff>
    </xdr:from>
    <xdr:to>
      <xdr:col>5</xdr:col>
      <xdr:colOff>293017</xdr:colOff>
      <xdr:row>33</xdr:row>
      <xdr:rowOff>169333</xdr:rowOff>
    </xdr:to>
    <xdr:pic>
      <xdr:nvPicPr>
        <xdr:cNvPr id="330" name="Picture 329">
          <a:extLst>
            <a:ext uri="{FF2B5EF4-FFF2-40B4-BE49-F238E27FC236}">
              <a16:creationId xmlns:a16="http://schemas.microsoft.com/office/drawing/2014/main" id="{1E1FFDCB-2758-4AB1-94BC-B89378C6C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437" y="6378325"/>
          <a:ext cx="540860" cy="328968"/>
        </a:xfrm>
        <a:prstGeom prst="rect">
          <a:avLst/>
        </a:prstGeom>
      </xdr:spPr>
    </xdr:pic>
    <xdr:clientData/>
  </xdr:twoCellAnchor>
  <xdr:twoCellAnchor editAs="oneCell">
    <xdr:from>
      <xdr:col>15</xdr:col>
      <xdr:colOff>38485</xdr:colOff>
      <xdr:row>6</xdr:row>
      <xdr:rowOff>46184</xdr:rowOff>
    </xdr:from>
    <xdr:to>
      <xdr:col>15</xdr:col>
      <xdr:colOff>547326</xdr:colOff>
      <xdr:row>7</xdr:row>
      <xdr:rowOff>177033</xdr:rowOff>
    </xdr:to>
    <xdr:pic>
      <xdr:nvPicPr>
        <xdr:cNvPr id="331" name="Picture 330">
          <a:extLst>
            <a:ext uri="{FF2B5EF4-FFF2-40B4-BE49-F238E27FC236}">
              <a16:creationId xmlns:a16="http://schemas.microsoft.com/office/drawing/2014/main" id="{A3EB7A71-90D2-4A9F-ACA8-2D25895DA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645" y="1234904"/>
          <a:ext cx="508841" cy="328969"/>
        </a:xfrm>
        <a:prstGeom prst="rect">
          <a:avLst/>
        </a:prstGeom>
      </xdr:spPr>
    </xdr:pic>
    <xdr:clientData/>
  </xdr:twoCellAnchor>
  <xdr:twoCellAnchor editAs="oneCell">
    <xdr:from>
      <xdr:col>4</xdr:col>
      <xdr:colOff>138545</xdr:colOff>
      <xdr:row>82</xdr:row>
      <xdr:rowOff>53879</xdr:rowOff>
    </xdr:from>
    <xdr:to>
      <xdr:col>5</xdr:col>
      <xdr:colOff>538479</xdr:colOff>
      <xdr:row>85</xdr:row>
      <xdr:rowOff>112418</xdr:rowOff>
    </xdr:to>
    <xdr:pic>
      <xdr:nvPicPr>
        <xdr:cNvPr id="332" name="Picture 331">
          <a:extLst>
            <a:ext uri="{FF2B5EF4-FFF2-40B4-BE49-F238E27FC236}">
              <a16:creationId xmlns:a16="http://schemas.microsoft.com/office/drawing/2014/main" id="{D3A2DE8D-F322-4461-BACE-E7D49177E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1225" y="16276859"/>
          <a:ext cx="1009534" cy="630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FD8E-B217-4D12-98BC-4F865FBD4ECE}">
  <dimension ref="A1:AP110"/>
  <sheetViews>
    <sheetView tabSelected="1" showWhiteSpace="0" view="pageLayout" zoomScaleNormal="100" workbookViewId="0">
      <selection activeCell="B13" sqref="B13"/>
    </sheetView>
  </sheetViews>
  <sheetFormatPr defaultRowHeight="14.4" x14ac:dyDescent="0.3"/>
  <cols>
    <col min="1" max="1" width="7.77734375" style="6" customWidth="1"/>
    <col min="2" max="3" width="8.88671875" style="6"/>
    <col min="4" max="4" width="7.77734375" style="6" customWidth="1"/>
    <col min="5" max="6" width="8.88671875" style="6"/>
    <col min="7" max="7" width="7.5546875" style="6" customWidth="1"/>
    <col min="8" max="8" width="7.109375" style="6" customWidth="1"/>
    <col min="9" max="9" width="9.33203125" style="6" customWidth="1"/>
    <col min="10" max="10" width="6.21875" style="6" customWidth="1"/>
    <col min="11" max="13" width="8.88671875" style="6"/>
    <col min="14" max="14" width="7.77734375" style="6" customWidth="1"/>
    <col min="15" max="15" width="8.21875" style="6" customWidth="1"/>
    <col min="16" max="16" width="8.5546875" style="6" customWidth="1"/>
    <col min="17" max="17" width="6.88671875" style="6" customWidth="1"/>
    <col min="18" max="19" width="8.88671875" style="6"/>
    <col min="20" max="20" width="7.88671875" style="6" customWidth="1"/>
    <col min="21" max="21" width="8.88671875" style="6"/>
    <col min="22" max="22" width="8.33203125" style="6" customWidth="1"/>
    <col min="23" max="23" width="7.6640625" style="6" customWidth="1"/>
    <col min="24" max="25" width="7.88671875" style="6" customWidth="1"/>
    <col min="26" max="26" width="5.88671875" style="6" customWidth="1"/>
    <col min="27" max="27" width="8.6640625" style="6" customWidth="1"/>
    <col min="28" max="28" width="8.77734375" style="6" customWidth="1"/>
    <col min="29" max="29" width="7.5546875" style="6" customWidth="1"/>
    <col min="30" max="30" width="7.88671875" style="6" customWidth="1"/>
    <col min="31" max="31" width="6.6640625" style="6" customWidth="1"/>
    <col min="32" max="32" width="6.77734375" style="6" customWidth="1"/>
    <col min="33" max="33" width="8.109375" style="6" customWidth="1"/>
    <col min="34" max="34" width="6.6640625" style="6" customWidth="1"/>
    <col min="35" max="35" width="5" style="6" customWidth="1"/>
    <col min="36" max="36" width="9.44140625" style="6" customWidth="1"/>
    <col min="37" max="38" width="5.77734375" style="6" customWidth="1"/>
    <col min="39" max="39" width="6.33203125" style="6" customWidth="1"/>
    <col min="40" max="40" width="7.33203125" style="6" customWidth="1"/>
    <col min="41" max="41" width="5.77734375" style="6" customWidth="1"/>
    <col min="42" max="44" width="8.88671875" style="6"/>
    <col min="45" max="49" width="5.77734375" style="6" customWidth="1"/>
    <col min="50" max="16384" width="8.88671875" style="6"/>
  </cols>
  <sheetData>
    <row r="1" spans="1:42" ht="15.6" customHeight="1" thickBot="1" x14ac:dyDescent="0.35">
      <c r="A1" s="704" t="s">
        <v>0</v>
      </c>
      <c r="B1" s="705"/>
      <c r="C1" s="828">
        <f ca="1">TODAY()</f>
        <v>43978</v>
      </c>
      <c r="D1" s="806" t="s">
        <v>1</v>
      </c>
      <c r="E1" s="807"/>
      <c r="F1" s="807"/>
      <c r="G1" s="808"/>
      <c r="H1" s="1"/>
      <c r="I1" s="809" t="s">
        <v>0</v>
      </c>
      <c r="J1" s="810"/>
      <c r="K1" s="2"/>
      <c r="L1" s="3" t="s">
        <v>2</v>
      </c>
      <c r="M1" s="4"/>
      <c r="N1" s="4"/>
      <c r="O1" s="4"/>
      <c r="P1" s="831" t="s">
        <v>64</v>
      </c>
      <c r="Q1" s="829" t="s">
        <v>0</v>
      </c>
      <c r="R1" s="705"/>
      <c r="S1" s="4"/>
      <c r="T1" s="4"/>
      <c r="U1" s="4"/>
      <c r="V1" s="4"/>
      <c r="W1" s="5"/>
      <c r="Z1" s="704" t="s">
        <v>0</v>
      </c>
      <c r="AA1" s="705"/>
      <c r="AB1" s="4"/>
      <c r="AC1" s="4"/>
      <c r="AD1" s="4"/>
      <c r="AE1" s="4"/>
      <c r="AF1" s="5"/>
      <c r="AH1" s="7"/>
    </row>
    <row r="2" spans="1:42" ht="15.6" customHeight="1" thickTop="1" thickBot="1" x14ac:dyDescent="0.4">
      <c r="A2" s="8" t="s">
        <v>3</v>
      </c>
      <c r="B2" s="842">
        <f ca="1">IF(P2-C1&lt;0,"Ask",35)</f>
        <v>35</v>
      </c>
      <c r="C2" s="9"/>
      <c r="D2" s="811" t="s">
        <v>4</v>
      </c>
      <c r="E2" s="812"/>
      <c r="F2" s="812"/>
      <c r="G2" s="813"/>
      <c r="H2" s="1"/>
      <c r="I2" s="10" t="s">
        <v>3</v>
      </c>
      <c r="J2" s="11">
        <f ca="1">B2</f>
        <v>35</v>
      </c>
      <c r="K2" s="9"/>
      <c r="O2" s="12"/>
      <c r="P2" s="832">
        <v>43992</v>
      </c>
      <c r="Q2" s="830" t="s">
        <v>3</v>
      </c>
      <c r="R2" s="14">
        <f ca="1">J2</f>
        <v>35</v>
      </c>
      <c r="S2" s="9"/>
      <c r="W2" s="15"/>
      <c r="Z2" s="13" t="s">
        <v>3</v>
      </c>
      <c r="AA2" s="14">
        <f ca="1">J2</f>
        <v>35</v>
      </c>
      <c r="AB2" s="9"/>
      <c r="AF2" s="16"/>
      <c r="AH2" s="17"/>
      <c r="AK2" s="18"/>
      <c r="AO2" s="17"/>
    </row>
    <row r="3" spans="1:42" ht="15.6" customHeight="1" thickBot="1" x14ac:dyDescent="0.4">
      <c r="A3" s="19" t="s">
        <v>5</v>
      </c>
      <c r="B3" s="843">
        <f ca="1">IF(P2-C1&lt;0,"Cal Fire",250)</f>
        <v>250</v>
      </c>
      <c r="C3" s="611">
        <f>B6</f>
        <v>60</v>
      </c>
      <c r="D3" s="21" t="s">
        <v>6</v>
      </c>
      <c r="E3" s="22" t="s">
        <v>7</v>
      </c>
      <c r="F3" s="23" t="s">
        <v>8</v>
      </c>
      <c r="G3" s="819" t="s">
        <v>9</v>
      </c>
      <c r="H3" s="1"/>
      <c r="I3" s="24" t="s">
        <v>5</v>
      </c>
      <c r="J3" s="25">
        <f ca="1">B3</f>
        <v>250</v>
      </c>
      <c r="K3" s="26">
        <f>C3</f>
        <v>60</v>
      </c>
      <c r="L3" s="27" t="s">
        <v>6</v>
      </c>
      <c r="M3" s="22" t="s">
        <v>7</v>
      </c>
      <c r="N3" s="28" t="s">
        <v>8</v>
      </c>
      <c r="O3" s="821" t="s">
        <v>9</v>
      </c>
      <c r="P3" s="29"/>
      <c r="Q3" s="30" t="s">
        <v>5</v>
      </c>
      <c r="R3" s="31">
        <f ca="1">J3</f>
        <v>250</v>
      </c>
      <c r="S3" s="32"/>
      <c r="T3" s="711" t="s">
        <v>1</v>
      </c>
      <c r="U3" s="712"/>
      <c r="V3" s="712"/>
      <c r="W3" s="713"/>
      <c r="X3" s="18"/>
      <c r="Y3" s="33"/>
      <c r="Z3" s="30" t="s">
        <v>5</v>
      </c>
      <c r="AA3" s="31">
        <f ca="1">J3</f>
        <v>250</v>
      </c>
      <c r="AB3" s="32"/>
      <c r="AC3" s="714" t="s">
        <v>2</v>
      </c>
      <c r="AD3" s="714"/>
      <c r="AE3" s="714"/>
      <c r="AF3" s="745"/>
      <c r="AG3" s="33"/>
      <c r="AH3" s="17"/>
    </row>
    <row r="4" spans="1:42" ht="15.6" customHeight="1" thickBot="1" x14ac:dyDescent="0.35">
      <c r="A4" s="1"/>
      <c r="C4" s="34"/>
      <c r="D4" s="35">
        <f>C3</f>
        <v>60</v>
      </c>
      <c r="E4" s="36">
        <f ca="1">(D4/100)^2*B2</f>
        <v>12.6</v>
      </c>
      <c r="F4" s="823">
        <f ca="1">((C5/100)^2)*B3</f>
        <v>2.5000000000000004</v>
      </c>
      <c r="G4" s="820"/>
      <c r="H4" s="1"/>
      <c r="I4" s="1"/>
      <c r="K4" s="34"/>
      <c r="L4" s="37">
        <f>K3</f>
        <v>60</v>
      </c>
      <c r="M4" s="36">
        <f ca="1">(L4/100)^2*J2</f>
        <v>12.6</v>
      </c>
      <c r="N4" s="825">
        <f ca="1">((K5/100)^2)*J3</f>
        <v>2.5000000000000004</v>
      </c>
      <c r="O4" s="822"/>
      <c r="P4" s="29"/>
      <c r="Q4" s="1"/>
      <c r="S4" s="9"/>
      <c r="T4" s="38"/>
      <c r="U4" s="17"/>
      <c r="V4" s="17"/>
      <c r="W4" s="15"/>
      <c r="X4" s="18"/>
      <c r="Y4" s="33"/>
      <c r="Z4" s="39"/>
      <c r="AA4" s="17"/>
      <c r="AB4" s="9"/>
      <c r="AD4" s="18"/>
      <c r="AE4" s="33"/>
      <c r="AF4" s="40"/>
      <c r="AG4" s="17"/>
      <c r="AH4" s="17"/>
    </row>
    <row r="5" spans="1:42" ht="15.6" customHeight="1" thickBot="1" x14ac:dyDescent="0.35">
      <c r="A5" s="1"/>
      <c r="B5" s="41" t="s">
        <v>10</v>
      </c>
      <c r="C5" s="786">
        <f>B13</f>
        <v>10</v>
      </c>
      <c r="D5" s="42">
        <f>C3</f>
        <v>60</v>
      </c>
      <c r="E5" s="43">
        <f ca="1">(D5/100)^2*B2</f>
        <v>12.6</v>
      </c>
      <c r="F5" s="824"/>
      <c r="G5" s="796" t="s">
        <v>11</v>
      </c>
      <c r="H5" s="1"/>
      <c r="I5" s="1"/>
      <c r="J5" s="44" t="s">
        <v>10</v>
      </c>
      <c r="K5" s="668">
        <f>C5</f>
        <v>10</v>
      </c>
      <c r="L5" s="45">
        <f>K3</f>
        <v>60</v>
      </c>
      <c r="M5" s="43">
        <f ca="1">(L5/100)^2*J2</f>
        <v>12.6</v>
      </c>
      <c r="N5" s="826"/>
      <c r="O5" s="798" t="s">
        <v>11</v>
      </c>
      <c r="P5" s="29"/>
      <c r="Q5" s="1"/>
      <c r="R5" s="44" t="s">
        <v>10</v>
      </c>
      <c r="S5" s="46">
        <f>R6</f>
        <v>60</v>
      </c>
      <c r="T5" s="27" t="s">
        <v>6</v>
      </c>
      <c r="U5" s="22" t="s">
        <v>7</v>
      </c>
      <c r="V5" s="23" t="s">
        <v>8</v>
      </c>
      <c r="W5" s="617" t="s">
        <v>12</v>
      </c>
      <c r="X5" s="9"/>
      <c r="Y5" s="38"/>
      <c r="Z5" s="1"/>
      <c r="AA5" s="44" t="s">
        <v>10</v>
      </c>
      <c r="AB5" s="46">
        <f>B6</f>
        <v>60</v>
      </c>
      <c r="AC5" s="27" t="s">
        <v>6</v>
      </c>
      <c r="AD5" s="47" t="s">
        <v>7</v>
      </c>
      <c r="AE5" s="23" t="s">
        <v>8</v>
      </c>
      <c r="AF5" s="617" t="s">
        <v>12</v>
      </c>
      <c r="AG5" s="17"/>
      <c r="AH5" s="17"/>
    </row>
    <row r="6" spans="1:42" ht="15.6" customHeight="1" thickTop="1" thickBot="1" x14ac:dyDescent="0.35">
      <c r="A6" s="48" t="s">
        <v>13</v>
      </c>
      <c r="B6" s="49">
        <v>60</v>
      </c>
      <c r="C6" s="770"/>
      <c r="D6" s="50">
        <f>SUM(C2:C6)/2</f>
        <v>35</v>
      </c>
      <c r="E6" s="51">
        <f ca="1">(D6/100)^2*B2</f>
        <v>4.2874999999999996</v>
      </c>
      <c r="F6" s="815">
        <f ca="1">((C7/100)^2)*B3</f>
        <v>2.5000000000000004</v>
      </c>
      <c r="G6" s="797"/>
      <c r="H6" s="1"/>
      <c r="I6" s="48" t="s">
        <v>13</v>
      </c>
      <c r="J6" s="52">
        <f>B6</f>
        <v>60</v>
      </c>
      <c r="K6" s="668"/>
      <c r="L6" s="53">
        <f>SUM(K2:K6)</f>
        <v>70</v>
      </c>
      <c r="M6" s="51">
        <f ca="1">(L6/100)^2*J2</f>
        <v>17.149999999999999</v>
      </c>
      <c r="N6" s="780">
        <f ca="1">((K7/100)^2)*J3</f>
        <v>2.5000000000000004</v>
      </c>
      <c r="O6" s="785"/>
      <c r="P6" s="29"/>
      <c r="Q6" s="48" t="s">
        <v>13</v>
      </c>
      <c r="R6" s="54">
        <f>B6</f>
        <v>60</v>
      </c>
      <c r="S6" s="55"/>
      <c r="T6" s="56">
        <f>S5</f>
        <v>60</v>
      </c>
      <c r="U6" s="51">
        <f ca="1">(T6/100)^2*R2</f>
        <v>12.6</v>
      </c>
      <c r="V6" s="746">
        <f ca="1">(S7/100)^2*R3</f>
        <v>2.5000000000000004</v>
      </c>
      <c r="W6" s="618"/>
      <c r="X6" s="9"/>
      <c r="Y6" s="38"/>
      <c r="Z6" s="48" t="s">
        <v>13</v>
      </c>
      <c r="AA6" s="54">
        <f>B6</f>
        <v>60</v>
      </c>
      <c r="AB6" s="55"/>
      <c r="AC6" s="56">
        <f>AB5</f>
        <v>60</v>
      </c>
      <c r="AD6" s="51">
        <f ca="1">(AC6/100)^2*AA2</f>
        <v>12.6</v>
      </c>
      <c r="AE6" s="817">
        <f ca="1">(AB7/100)^2*AA3</f>
        <v>2.5000000000000004</v>
      </c>
      <c r="AF6" s="814"/>
      <c r="AG6" s="17"/>
      <c r="AH6" s="17"/>
    </row>
    <row r="7" spans="1:42" ht="15.6" customHeight="1" thickTop="1" thickBot="1" x14ac:dyDescent="0.35">
      <c r="A7" s="1"/>
      <c r="C7" s="786">
        <f>B13</f>
        <v>10</v>
      </c>
      <c r="D7" s="57">
        <f>SUM(C2:C6)/2</f>
        <v>35</v>
      </c>
      <c r="E7" s="58">
        <f ca="1">(D7/100)^2*B2</f>
        <v>4.2874999999999996</v>
      </c>
      <c r="F7" s="816"/>
      <c r="G7" s="733" t="s">
        <v>14</v>
      </c>
      <c r="H7" s="1"/>
      <c r="I7" s="1"/>
      <c r="K7" s="668">
        <f>C7</f>
        <v>10</v>
      </c>
      <c r="L7" s="59">
        <f>SUM(K2:K6)</f>
        <v>70</v>
      </c>
      <c r="M7" s="58">
        <f ca="1">(L7/100)^2*J2</f>
        <v>17.149999999999999</v>
      </c>
      <c r="N7" s="781"/>
      <c r="O7" s="827" t="s">
        <v>14</v>
      </c>
      <c r="P7" s="29"/>
      <c r="Q7" s="1"/>
      <c r="S7" s="666">
        <f>R13</f>
        <v>10</v>
      </c>
      <c r="T7" s="60">
        <f>S5</f>
        <v>60</v>
      </c>
      <c r="U7" s="58">
        <f ca="1">(T7/100)^2*R2</f>
        <v>12.6</v>
      </c>
      <c r="V7" s="747"/>
      <c r="W7" s="728" t="s">
        <v>15</v>
      </c>
      <c r="X7" s="9"/>
      <c r="Y7" s="38"/>
      <c r="Z7" s="1"/>
      <c r="AB7" s="668">
        <f>S7</f>
        <v>10</v>
      </c>
      <c r="AC7" s="60">
        <f>AB5</f>
        <v>60</v>
      </c>
      <c r="AD7" s="58">
        <f ca="1">(AC7/100)^2*AA2</f>
        <v>12.6</v>
      </c>
      <c r="AE7" s="818"/>
      <c r="AF7" s="799" t="s">
        <v>15</v>
      </c>
      <c r="AG7" s="17"/>
      <c r="AH7" s="17"/>
    </row>
    <row r="8" spans="1:42" ht="15.6" customHeight="1" thickBot="1" x14ac:dyDescent="0.35">
      <c r="A8" s="1"/>
      <c r="B8" s="61" t="s">
        <v>16</v>
      </c>
      <c r="C8" s="786"/>
      <c r="D8" s="57">
        <f>D7+C7</f>
        <v>45</v>
      </c>
      <c r="E8" s="58">
        <f ca="1">(D8/100)^2*B2</f>
        <v>7.0875000000000004</v>
      </c>
      <c r="F8" s="800">
        <f ca="1">((C9/100)^2)*B3</f>
        <v>2.5000000000000004</v>
      </c>
      <c r="G8" s="636"/>
      <c r="H8" s="1"/>
      <c r="I8" s="1"/>
      <c r="J8" s="22" t="s">
        <v>16</v>
      </c>
      <c r="K8" s="668"/>
      <c r="L8" s="62">
        <f>L7+K7</f>
        <v>80</v>
      </c>
      <c r="M8" s="58">
        <f ca="1">(L8/100)^2*J2</f>
        <v>22.400000000000006</v>
      </c>
      <c r="N8" s="791">
        <f ca="1">((K9/100)^2)*J3</f>
        <v>2.5000000000000004</v>
      </c>
      <c r="O8" s="772"/>
      <c r="P8" s="29"/>
      <c r="Q8" s="1"/>
      <c r="R8" s="22" t="s">
        <v>16</v>
      </c>
      <c r="S8" s="666"/>
      <c r="T8" s="60">
        <f>S7+T7</f>
        <v>70</v>
      </c>
      <c r="U8" s="58">
        <f ca="1">(T8/100)^2*R2</f>
        <v>17.149999999999999</v>
      </c>
      <c r="V8" s="734">
        <f ca="1">(S9/100)^2*R3</f>
        <v>2.5000000000000004</v>
      </c>
      <c r="W8" s="728"/>
      <c r="Z8" s="1"/>
      <c r="AA8" s="22" t="s">
        <v>16</v>
      </c>
      <c r="AB8" s="668"/>
      <c r="AC8" s="63">
        <f>AB7+AC7</f>
        <v>70</v>
      </c>
      <c r="AD8" s="58">
        <f ca="1">(AC8/100)^2*AA2</f>
        <v>17.149999999999999</v>
      </c>
      <c r="AE8" s="716">
        <f ca="1">(AB9/100)^2*AA3</f>
        <v>2.5000000000000004</v>
      </c>
      <c r="AF8" s="623"/>
      <c r="AG8" s="17"/>
      <c r="AH8" s="17"/>
    </row>
    <row r="9" spans="1:42" ht="15.6" customHeight="1" thickTop="1" thickBot="1" x14ac:dyDescent="0.35">
      <c r="A9" s="48" t="s">
        <v>17</v>
      </c>
      <c r="B9" s="64">
        <v>0</v>
      </c>
      <c r="C9" s="770">
        <f>B13</f>
        <v>10</v>
      </c>
      <c r="D9" s="65">
        <f>D7+C7</f>
        <v>45</v>
      </c>
      <c r="E9" s="43">
        <f ca="1">(D9/100)^2*B2</f>
        <v>7.0875000000000004</v>
      </c>
      <c r="F9" s="801"/>
      <c r="G9" s="787" t="s">
        <v>12</v>
      </c>
      <c r="H9" s="1"/>
      <c r="I9" s="48" t="s">
        <v>17</v>
      </c>
      <c r="J9" s="66">
        <f>B9</f>
        <v>0</v>
      </c>
      <c r="K9" s="668">
        <f>C9</f>
        <v>10</v>
      </c>
      <c r="L9" s="67">
        <f>L7+K7</f>
        <v>80</v>
      </c>
      <c r="M9" s="43">
        <f ca="1">(L9/100)^2*J2</f>
        <v>22.400000000000006</v>
      </c>
      <c r="N9" s="802"/>
      <c r="O9" s="756" t="s">
        <v>12</v>
      </c>
      <c r="P9" s="29"/>
      <c r="Q9" s="48" t="s">
        <v>17</v>
      </c>
      <c r="R9" s="66">
        <f>B9</f>
        <v>0</v>
      </c>
      <c r="S9" s="666">
        <f>R13</f>
        <v>10</v>
      </c>
      <c r="T9" s="68">
        <f>S7+T7</f>
        <v>70</v>
      </c>
      <c r="U9" s="43">
        <f ca="1">(T9/100)^2*R2</f>
        <v>17.149999999999999</v>
      </c>
      <c r="V9" s="803"/>
      <c r="W9" s="788" t="s">
        <v>18</v>
      </c>
      <c r="Z9" s="48" t="s">
        <v>17</v>
      </c>
      <c r="AA9" s="66">
        <f>B9</f>
        <v>0</v>
      </c>
      <c r="AB9" s="668">
        <f>S9</f>
        <v>10</v>
      </c>
      <c r="AC9" s="69">
        <f>AB7+AC7</f>
        <v>70</v>
      </c>
      <c r="AD9" s="43">
        <f ca="1">(AC9/100)^2*AA2</f>
        <v>17.149999999999999</v>
      </c>
      <c r="AE9" s="741"/>
      <c r="AF9" s="629" t="s">
        <v>18</v>
      </c>
      <c r="AG9" s="17"/>
      <c r="AH9" s="17"/>
      <c r="AP9" s="70"/>
    </row>
    <row r="10" spans="1:42" ht="15.6" customHeight="1" thickTop="1" thickBot="1" x14ac:dyDescent="0.35">
      <c r="A10" s="48" t="s">
        <v>19</v>
      </c>
      <c r="B10" s="71">
        <f>B9*0.434</f>
        <v>0</v>
      </c>
      <c r="C10" s="786"/>
      <c r="D10" s="72">
        <f>SUM(C2:C10)/2</f>
        <v>45</v>
      </c>
      <c r="E10" s="51">
        <f ca="1">(D10/100)^2*B2</f>
        <v>7.0875000000000004</v>
      </c>
      <c r="F10" s="790">
        <f ca="1">((C11/100)^2)*B3</f>
        <v>2.5000000000000004</v>
      </c>
      <c r="G10" s="675"/>
      <c r="H10" s="1"/>
      <c r="I10" s="48" t="s">
        <v>19</v>
      </c>
      <c r="J10" s="73">
        <f>J9*0.434</f>
        <v>0</v>
      </c>
      <c r="K10" s="668"/>
      <c r="L10" s="74">
        <f>SUM(K2:K10)</f>
        <v>90</v>
      </c>
      <c r="M10" s="51">
        <f ca="1">(L10/100)^2*J2</f>
        <v>28.35</v>
      </c>
      <c r="N10" s="792">
        <f ca="1">((K11/100)^2)*J3</f>
        <v>2.5000000000000004</v>
      </c>
      <c r="O10" s="757"/>
      <c r="P10" s="29"/>
      <c r="Q10" s="48" t="s">
        <v>19</v>
      </c>
      <c r="R10" s="73">
        <f>R9*0.434</f>
        <v>0</v>
      </c>
      <c r="S10" s="666"/>
      <c r="T10" s="75">
        <f>SUM(S5:S10)/2</f>
        <v>40</v>
      </c>
      <c r="U10" s="51">
        <f ca="1">(T10/100)^2*R2</f>
        <v>5.6000000000000014</v>
      </c>
      <c r="V10" s="794">
        <f ca="1">(S11/100)^2*R3</f>
        <v>2.5000000000000004</v>
      </c>
      <c r="W10" s="789"/>
      <c r="Z10" s="48" t="s">
        <v>19</v>
      </c>
      <c r="AA10" s="73">
        <f>AA9*0.434</f>
        <v>0</v>
      </c>
      <c r="AB10" s="668"/>
      <c r="AC10" s="56">
        <f>SUM(AB5:AB10)</f>
        <v>80</v>
      </c>
      <c r="AD10" s="51">
        <f ca="1">(AC10/100)^2*AA2</f>
        <v>22.400000000000006</v>
      </c>
      <c r="AE10" s="804">
        <f ca="1">(AB11/100)^2*AA3</f>
        <v>2.5000000000000004</v>
      </c>
      <c r="AF10" s="630"/>
      <c r="AG10" s="17"/>
      <c r="AH10" s="17"/>
      <c r="AP10" s="70"/>
    </row>
    <row r="11" spans="1:42" ht="15.6" customHeight="1" thickBot="1" x14ac:dyDescent="0.35">
      <c r="A11" s="1"/>
      <c r="C11" s="786">
        <f>B13</f>
        <v>10</v>
      </c>
      <c r="D11" s="76">
        <f>SUM(C2:C10)/2</f>
        <v>45</v>
      </c>
      <c r="E11" s="58">
        <f ca="1">(D11/100)^2*B2</f>
        <v>7.0875000000000004</v>
      </c>
      <c r="F11" s="791"/>
      <c r="G11" s="635" t="s">
        <v>15</v>
      </c>
      <c r="H11" s="1"/>
      <c r="I11" s="1"/>
      <c r="K11" s="668">
        <f>C11</f>
        <v>10</v>
      </c>
      <c r="L11" s="59">
        <f>SUM(K2:K10)</f>
        <v>90</v>
      </c>
      <c r="M11" s="58">
        <f ca="1">(L11/100)^2*J2</f>
        <v>28.35</v>
      </c>
      <c r="N11" s="793"/>
      <c r="O11" s="771" t="s">
        <v>15</v>
      </c>
      <c r="P11" s="29"/>
      <c r="Q11" s="1"/>
      <c r="S11" s="666">
        <f>R13</f>
        <v>10</v>
      </c>
      <c r="T11" s="77">
        <f>SUM(S5:S10)/2</f>
        <v>40</v>
      </c>
      <c r="U11" s="58">
        <f ca="1">(T11/100)^2*R2</f>
        <v>5.6000000000000014</v>
      </c>
      <c r="V11" s="795"/>
      <c r="W11" s="727" t="s">
        <v>20</v>
      </c>
      <c r="Z11" s="1"/>
      <c r="AB11" s="668">
        <f>S11</f>
        <v>10</v>
      </c>
      <c r="AC11" s="60">
        <f>SUM(AB5:AB10)</f>
        <v>80</v>
      </c>
      <c r="AD11" s="58">
        <f ca="1">(AC11/100)^2*AA2</f>
        <v>22.400000000000006</v>
      </c>
      <c r="AE11" s="805"/>
      <c r="AF11" s="727" t="s">
        <v>20</v>
      </c>
      <c r="AG11" s="17"/>
      <c r="AH11" s="17"/>
      <c r="AP11" s="70"/>
    </row>
    <row r="12" spans="1:42" ht="15.6" customHeight="1" thickBot="1" x14ac:dyDescent="0.35">
      <c r="A12" s="1"/>
      <c r="B12" s="78" t="s">
        <v>21</v>
      </c>
      <c r="C12" s="786"/>
      <c r="D12" s="76">
        <f>C11+D11</f>
        <v>55</v>
      </c>
      <c r="E12" s="58">
        <f ca="1">(D12/100)^2*B2</f>
        <v>10.587500000000002</v>
      </c>
      <c r="F12" s="776">
        <f ca="1">((C13/100)^2)*B3</f>
        <v>2.5000000000000004</v>
      </c>
      <c r="G12" s="636"/>
      <c r="H12" s="1"/>
      <c r="I12" s="1"/>
      <c r="J12" s="79" t="s">
        <v>21</v>
      </c>
      <c r="K12" s="668"/>
      <c r="L12" s="62">
        <f>K11+L11</f>
        <v>100</v>
      </c>
      <c r="M12" s="58">
        <f ca="1">(L12/100)^2*J2</f>
        <v>35</v>
      </c>
      <c r="N12" s="776">
        <f ca="1">((K13/100)^2)*J3</f>
        <v>2.5000000000000004</v>
      </c>
      <c r="O12" s="772"/>
      <c r="P12" s="29"/>
      <c r="Q12" s="1"/>
      <c r="R12" s="79" t="s">
        <v>22</v>
      </c>
      <c r="S12" s="666"/>
      <c r="T12" s="63">
        <f>T11+S11</f>
        <v>50</v>
      </c>
      <c r="U12" s="58">
        <f ca="1">(T12/100)^2*R2</f>
        <v>8.75</v>
      </c>
      <c r="V12" s="735">
        <f ca="1">(S13/100)^2*R3</f>
        <v>2.5000000000000004</v>
      </c>
      <c r="W12" s="623"/>
      <c r="Z12" s="1"/>
      <c r="AA12" s="79" t="s">
        <v>22</v>
      </c>
      <c r="AB12" s="668"/>
      <c r="AC12" s="63">
        <f>AC11+AB11</f>
        <v>90</v>
      </c>
      <c r="AD12" s="58">
        <f ca="1">(AC12/100)^2*AA2</f>
        <v>28.35</v>
      </c>
      <c r="AE12" s="734">
        <f ca="1">(AB13/100)^2*AA3</f>
        <v>2.5000000000000004</v>
      </c>
      <c r="AF12" s="623"/>
      <c r="AG12" s="17"/>
      <c r="AH12" s="17"/>
      <c r="AP12" s="70"/>
    </row>
    <row r="13" spans="1:42" ht="15.6" customHeight="1" thickTop="1" thickBot="1" x14ac:dyDescent="0.35">
      <c r="A13" s="48" t="s">
        <v>13</v>
      </c>
      <c r="B13" s="80">
        <v>10</v>
      </c>
      <c r="C13" s="770">
        <f>B13</f>
        <v>10</v>
      </c>
      <c r="D13" s="81">
        <f>C11+D11</f>
        <v>55</v>
      </c>
      <c r="E13" s="43">
        <f ca="1">(D13/100)^2*B2</f>
        <v>10.587500000000002</v>
      </c>
      <c r="F13" s="784"/>
      <c r="G13" s="674" t="s">
        <v>18</v>
      </c>
      <c r="H13" s="1"/>
      <c r="I13" s="48" t="s">
        <v>13</v>
      </c>
      <c r="J13" s="82">
        <f>B13</f>
        <v>10</v>
      </c>
      <c r="K13" s="621">
        <f>C13</f>
        <v>10</v>
      </c>
      <c r="L13" s="67">
        <f>K11+L11</f>
        <v>100</v>
      </c>
      <c r="M13" s="43">
        <f ca="1">(L13/100)^2*J2</f>
        <v>35</v>
      </c>
      <c r="N13" s="784"/>
      <c r="O13" s="785" t="s">
        <v>18</v>
      </c>
      <c r="P13" s="29"/>
      <c r="Q13" s="1"/>
      <c r="R13" s="82">
        <f>B13</f>
        <v>10</v>
      </c>
      <c r="S13" s="673">
        <f>R13</f>
        <v>10</v>
      </c>
      <c r="T13" s="83">
        <f>T11+S11</f>
        <v>50</v>
      </c>
      <c r="U13" s="84">
        <f ca="1">(T13/100)^2*R2</f>
        <v>8.75</v>
      </c>
      <c r="V13" s="736"/>
      <c r="W13" s="629" t="s">
        <v>23</v>
      </c>
      <c r="Z13" s="1"/>
      <c r="AA13" s="82">
        <f>B13</f>
        <v>10</v>
      </c>
      <c r="AB13" s="621">
        <f>S13</f>
        <v>10</v>
      </c>
      <c r="AC13" s="83">
        <f>AC11+AB11</f>
        <v>90</v>
      </c>
      <c r="AD13" s="84">
        <f ca="1">(AC13/100)^2*AA2</f>
        <v>28.35</v>
      </c>
      <c r="AE13" s="736"/>
      <c r="AF13" s="629" t="s">
        <v>23</v>
      </c>
      <c r="AG13" s="17"/>
      <c r="AH13" s="17"/>
      <c r="AP13" s="70"/>
    </row>
    <row r="14" spans="1:42" ht="15.6" customHeight="1" thickTop="1" thickBot="1" x14ac:dyDescent="0.4">
      <c r="A14" s="1"/>
      <c r="C14" s="770"/>
      <c r="D14" s="85">
        <f>SUM(C2:C14)/2</f>
        <v>55</v>
      </c>
      <c r="E14" s="51">
        <f ca="1">(D14/100)^2*B2</f>
        <v>10.587500000000002</v>
      </c>
      <c r="F14" s="778">
        <f ca="1">((C15/100)^2)*B3</f>
        <v>2.5000000000000004</v>
      </c>
      <c r="G14" s="675"/>
      <c r="H14" s="1"/>
      <c r="I14" s="1"/>
      <c r="K14" s="621"/>
      <c r="L14" s="74">
        <f>SUM(K2:K14)</f>
        <v>110</v>
      </c>
      <c r="M14" s="51">
        <f ca="1">(L14/100)^2*J2</f>
        <v>42.350000000000009</v>
      </c>
      <c r="N14" s="780">
        <f ca="1">((K15/100)^2)*J3</f>
        <v>2.5000000000000004</v>
      </c>
      <c r="O14" s="757"/>
      <c r="P14" s="29"/>
      <c r="Q14" s="1"/>
      <c r="S14" s="673"/>
      <c r="T14" s="86">
        <f>T13+S13</f>
        <v>60</v>
      </c>
      <c r="U14" s="87">
        <f ca="1">(T14/100)^2*R2</f>
        <v>12.6</v>
      </c>
      <c r="V14" s="737">
        <v>0</v>
      </c>
      <c r="W14" s="630"/>
      <c r="Z14" s="1"/>
      <c r="AB14" s="621"/>
      <c r="AC14" s="86">
        <f>AC13+AB13</f>
        <v>100</v>
      </c>
      <c r="AD14" s="87">
        <f ca="1">(AC14/100)^2*AA2</f>
        <v>35</v>
      </c>
      <c r="AE14" s="782">
        <v>0</v>
      </c>
      <c r="AF14" s="630"/>
      <c r="AG14" s="17"/>
      <c r="AH14" s="17"/>
      <c r="AP14" s="70"/>
    </row>
    <row r="15" spans="1:42" ht="15.6" customHeight="1" thickBot="1" x14ac:dyDescent="0.4">
      <c r="A15" s="1"/>
      <c r="B15" s="88" t="s">
        <v>24</v>
      </c>
      <c r="C15" s="770">
        <f>B13</f>
        <v>10</v>
      </c>
      <c r="D15" s="89">
        <f>SUM(C2:C14)/2</f>
        <v>55</v>
      </c>
      <c r="E15" s="58">
        <f ca="1">(D15/100)^2*B2</f>
        <v>10.587500000000002</v>
      </c>
      <c r="F15" s="779"/>
      <c r="G15" s="635" t="s">
        <v>20</v>
      </c>
      <c r="H15" s="1"/>
      <c r="I15" s="1"/>
      <c r="J15" s="90" t="s">
        <v>24</v>
      </c>
      <c r="K15" s="621">
        <f>C15</f>
        <v>10</v>
      </c>
      <c r="L15" s="59">
        <f>SUM(K2:K14)</f>
        <v>110</v>
      </c>
      <c r="M15" s="58">
        <f ca="1">(L15/100)^2*J2</f>
        <v>42.350000000000009</v>
      </c>
      <c r="N15" s="781"/>
      <c r="O15" s="771" t="s">
        <v>20</v>
      </c>
      <c r="P15" s="29"/>
      <c r="Q15" s="91"/>
      <c r="R15" s="92" t="s">
        <v>24</v>
      </c>
      <c r="T15" s="93">
        <f>T13+S13</f>
        <v>60</v>
      </c>
      <c r="U15" s="94">
        <f ca="1">(T15/100)^2*R2</f>
        <v>12.6</v>
      </c>
      <c r="V15" s="738"/>
      <c r="W15" s="727">
        <v>0</v>
      </c>
      <c r="Z15" s="1"/>
      <c r="AA15" s="90" t="s">
        <v>24</v>
      </c>
      <c r="AB15" s="95"/>
      <c r="AC15" s="93">
        <f>AC13+AB13</f>
        <v>100</v>
      </c>
      <c r="AD15" s="96">
        <f ca="1">(AC15/100)^2*AA2</f>
        <v>35</v>
      </c>
      <c r="AE15" s="783"/>
      <c r="AF15" s="727">
        <v>0</v>
      </c>
      <c r="AG15" s="17"/>
      <c r="AH15" s="17"/>
      <c r="AP15" s="70"/>
    </row>
    <row r="16" spans="1:42" ht="15.6" customHeight="1" thickTop="1" thickBot="1" x14ac:dyDescent="0.4">
      <c r="A16" s="48" t="s">
        <v>19</v>
      </c>
      <c r="B16" s="97">
        <v>100</v>
      </c>
      <c r="C16" s="770"/>
      <c r="D16" s="89">
        <f>D15+C15</f>
        <v>65</v>
      </c>
      <c r="E16" s="58">
        <f ca="1">(D16/100)^2*B2</f>
        <v>14.787500000000001</v>
      </c>
      <c r="F16" s="774">
        <f ca="1">((C17/100)^2)*B3</f>
        <v>2.5000000000000004</v>
      </c>
      <c r="G16" s="636"/>
      <c r="H16" s="1"/>
      <c r="I16" s="48" t="s">
        <v>19</v>
      </c>
      <c r="J16" s="98">
        <f>B16</f>
        <v>100</v>
      </c>
      <c r="K16" s="621"/>
      <c r="L16" s="62">
        <f>L15+K15</f>
        <v>120</v>
      </c>
      <c r="M16" s="58">
        <f ca="1">(L16/100)^2*J2</f>
        <v>50.4</v>
      </c>
      <c r="N16" s="776">
        <f ca="1">((K17/100)^2)*J3</f>
        <v>2.5000000000000004</v>
      </c>
      <c r="O16" s="772"/>
      <c r="P16" s="29"/>
      <c r="Q16" s="99" t="s">
        <v>19</v>
      </c>
      <c r="R16" s="100">
        <f>B16</f>
        <v>100</v>
      </c>
      <c r="S16" s="101" t="s">
        <v>25</v>
      </c>
      <c r="T16" s="102" t="s">
        <v>26</v>
      </c>
      <c r="U16" s="103">
        <f ca="1">SUM(U5:U15)</f>
        <v>113.39999999999998</v>
      </c>
      <c r="V16" s="104">
        <f ca="1">SUM(V5:V15)</f>
        <v>10.000000000000002</v>
      </c>
      <c r="W16" s="773"/>
      <c r="Z16" s="105" t="s">
        <v>19</v>
      </c>
      <c r="AA16" s="106">
        <f>B16</f>
        <v>100</v>
      </c>
      <c r="AB16" s="107" t="s">
        <v>27</v>
      </c>
      <c r="AC16" s="108" t="s">
        <v>26</v>
      </c>
      <c r="AD16" s="109">
        <f ca="1">SUM(AD5:AD15)</f>
        <v>231</v>
      </c>
      <c r="AE16" s="110">
        <f ca="1">SUM(AE5:AE15)</f>
        <v>10.000000000000002</v>
      </c>
      <c r="AF16" s="728"/>
      <c r="AG16" s="17"/>
      <c r="AH16" s="17"/>
      <c r="AP16" s="70"/>
    </row>
    <row r="17" spans="1:42" ht="15.6" customHeight="1" thickTop="1" thickBot="1" x14ac:dyDescent="0.35">
      <c r="A17" s="111"/>
      <c r="B17" s="112"/>
      <c r="C17" s="770">
        <f>B13</f>
        <v>10</v>
      </c>
      <c r="D17" s="113">
        <f>D15+C15</f>
        <v>65</v>
      </c>
      <c r="E17" s="84">
        <f ca="1">(D17/100)^2*B2</f>
        <v>14.787500000000001</v>
      </c>
      <c r="F17" s="775"/>
      <c r="G17" s="676" t="s">
        <v>23</v>
      </c>
      <c r="H17" s="1"/>
      <c r="I17" s="111"/>
      <c r="J17" s="112"/>
      <c r="K17" s="621">
        <f>C17</f>
        <v>10</v>
      </c>
      <c r="L17" s="114">
        <f>L15+K15</f>
        <v>120</v>
      </c>
      <c r="M17" s="84">
        <f ca="1">(L17/100)^2*J2</f>
        <v>50.4</v>
      </c>
      <c r="N17" s="777"/>
      <c r="O17" s="756" t="s">
        <v>23</v>
      </c>
      <c r="P17" s="29"/>
      <c r="Q17" s="758">
        <f>SUM(S5:S15)</f>
        <v>100</v>
      </c>
      <c r="R17" s="115"/>
      <c r="S17" s="116"/>
      <c r="T17" s="117"/>
      <c r="U17" s="118"/>
      <c r="W17" s="4"/>
      <c r="Z17" s="4"/>
      <c r="AA17" s="119"/>
      <c r="AB17" s="651">
        <f>SUM(AB5:AB15)</f>
        <v>100</v>
      </c>
      <c r="AC17" s="120"/>
      <c r="AD17" s="121"/>
      <c r="AE17" s="122"/>
      <c r="AF17" s="613"/>
      <c r="AG17" s="614"/>
      <c r="AH17" s="17"/>
      <c r="AP17" s="70"/>
    </row>
    <row r="18" spans="1:42" ht="15.6" customHeight="1" thickTop="1" thickBot="1" x14ac:dyDescent="0.4">
      <c r="A18" s="760" t="s">
        <v>28</v>
      </c>
      <c r="B18" s="761"/>
      <c r="C18" s="770"/>
      <c r="D18" s="123">
        <f>D17+C17</f>
        <v>75</v>
      </c>
      <c r="E18" s="87">
        <f ca="1">(D18/100)^2*B2</f>
        <v>19.6875</v>
      </c>
      <c r="F18" s="762">
        <v>0</v>
      </c>
      <c r="G18" s="670"/>
      <c r="H18" s="1"/>
      <c r="I18" s="722" t="s">
        <v>29</v>
      </c>
      <c r="J18" s="723"/>
      <c r="K18" s="621"/>
      <c r="L18" s="124">
        <f>L17+K17</f>
        <v>130</v>
      </c>
      <c r="M18" s="87">
        <f ca="1">(L18/100)^2*J2</f>
        <v>59.150000000000006</v>
      </c>
      <c r="N18" s="764">
        <v>0</v>
      </c>
      <c r="O18" s="757"/>
      <c r="P18" s="29"/>
      <c r="Q18" s="759"/>
      <c r="R18" s="125">
        <v>900</v>
      </c>
      <c r="S18" s="126">
        <v>1000</v>
      </c>
      <c r="T18" s="127" t="s">
        <v>30</v>
      </c>
      <c r="U18" s="128">
        <v>1000</v>
      </c>
      <c r="V18" s="129" t="s">
        <v>31</v>
      </c>
      <c r="W18" s="612"/>
      <c r="Y18" s="130" t="s">
        <v>32</v>
      </c>
      <c r="AA18" s="119"/>
      <c r="AB18" s="752"/>
      <c r="AC18" s="125">
        <v>900</v>
      </c>
      <c r="AD18" s="131">
        <v>1000</v>
      </c>
      <c r="AE18" s="132" t="s">
        <v>30</v>
      </c>
      <c r="AF18" s="133">
        <f>U18</f>
        <v>1000</v>
      </c>
      <c r="AG18" s="134" t="s">
        <v>31</v>
      </c>
      <c r="AH18" s="17"/>
      <c r="AP18" s="70"/>
    </row>
    <row r="19" spans="1:42" ht="15.6" customHeight="1" thickBot="1" x14ac:dyDescent="0.4">
      <c r="A19" s="135" t="s">
        <v>33</v>
      </c>
      <c r="B19" s="136" t="s">
        <v>34</v>
      </c>
      <c r="C19" s="137"/>
      <c r="D19" s="138">
        <f>D17+C17</f>
        <v>75</v>
      </c>
      <c r="E19" s="96">
        <f ca="1">(D19/100)^2*B2</f>
        <v>19.6875</v>
      </c>
      <c r="F19" s="763"/>
      <c r="G19" s="766">
        <v>0</v>
      </c>
      <c r="H19" s="1"/>
      <c r="I19" s="139" t="s">
        <v>33</v>
      </c>
      <c r="J19" s="140" t="s">
        <v>34</v>
      </c>
      <c r="L19" s="141">
        <f>L17+K17</f>
        <v>130</v>
      </c>
      <c r="M19" s="142">
        <f ca="1">(L19/100)^2*J2</f>
        <v>59.150000000000006</v>
      </c>
      <c r="N19" s="765"/>
      <c r="O19" s="768">
        <v>0</v>
      </c>
      <c r="P19" s="29"/>
      <c r="Q19" s="143" t="s">
        <v>35</v>
      </c>
      <c r="R19" s="144" t="s">
        <v>36</v>
      </c>
      <c r="S19" s="145" t="s">
        <v>36</v>
      </c>
      <c r="T19" s="146" t="s">
        <v>37</v>
      </c>
      <c r="U19" s="147" t="s">
        <v>38</v>
      </c>
      <c r="V19" s="148" t="s">
        <v>39</v>
      </c>
      <c r="W19" s="149" t="s">
        <v>40</v>
      </c>
      <c r="X19" s="150" t="s">
        <v>41</v>
      </c>
      <c r="Y19" s="151" t="s">
        <v>42</v>
      </c>
      <c r="AA19" s="119"/>
      <c r="AB19" s="144" t="s">
        <v>35</v>
      </c>
      <c r="AC19" s="28" t="s">
        <v>36</v>
      </c>
      <c r="AD19" s="152" t="s">
        <v>36</v>
      </c>
      <c r="AE19" s="153" t="s">
        <v>37</v>
      </c>
      <c r="AF19" s="148" t="s">
        <v>38</v>
      </c>
      <c r="AG19" s="148" t="s">
        <v>39</v>
      </c>
      <c r="AH19" s="17"/>
      <c r="AP19" s="154"/>
    </row>
    <row r="20" spans="1:42" ht="15.6" customHeight="1" thickTop="1" thickBot="1" x14ac:dyDescent="0.4">
      <c r="A20" s="155">
        <f ca="1">B20-50</f>
        <v>240.92500000000001</v>
      </c>
      <c r="B20" s="156">
        <f ca="1">E20+F20+B16+B10</f>
        <v>290.92500000000001</v>
      </c>
      <c r="C20" s="157" t="s">
        <v>25</v>
      </c>
      <c r="D20" s="158" t="s">
        <v>26</v>
      </c>
      <c r="E20" s="159">
        <f ca="1">SUM(E3:E19)</f>
        <v>173.42500000000001</v>
      </c>
      <c r="F20" s="160">
        <f ca="1">SUM(F3:F19)</f>
        <v>17.500000000000004</v>
      </c>
      <c r="G20" s="767"/>
      <c r="H20" s="1"/>
      <c r="I20" s="161">
        <f ca="1">J20-50</f>
        <v>602.29999999999995</v>
      </c>
      <c r="J20" s="162">
        <f ca="1">M20+N20+J10+J16</f>
        <v>652.29999999999995</v>
      </c>
      <c r="K20" s="163" t="s">
        <v>27</v>
      </c>
      <c r="L20" s="164" t="s">
        <v>26</v>
      </c>
      <c r="M20" s="165">
        <f ca="1">SUM(M3:M19)</f>
        <v>534.79999999999995</v>
      </c>
      <c r="N20" s="166">
        <f ca="1">SUM(N3:N19)</f>
        <v>17.500000000000004</v>
      </c>
      <c r="O20" s="769"/>
      <c r="P20" s="29"/>
      <c r="Q20" s="167">
        <v>4</v>
      </c>
      <c r="R20" s="168">
        <f ca="1">S20-(R6/100)^2*R2</f>
        <v>210.79999999999998</v>
      </c>
      <c r="S20" s="169">
        <f ca="1">R16+U16+(Q20*((R13/100)^2*R3))+R10</f>
        <v>223.39999999999998</v>
      </c>
      <c r="T20" s="170">
        <f ca="1">IF(U18=S18,(400-S20),(400-R20))</f>
        <v>176.60000000000002</v>
      </c>
      <c r="U20" s="171">
        <f ca="1">T20/0.434</f>
        <v>406.91244239631339</v>
      </c>
      <c r="V20" s="172">
        <f ca="1">U20/U18</f>
        <v>0.40691244239631341</v>
      </c>
      <c r="W20" s="173">
        <f t="shared" ref="W20:X24" ca="1" si="0">U20-AF20</f>
        <v>270.9677419354839</v>
      </c>
      <c r="X20" s="174">
        <f t="shared" ca="1" si="0"/>
        <v>0.2709677419354839</v>
      </c>
      <c r="Y20" s="175" t="s">
        <v>43</v>
      </c>
      <c r="AA20" s="119"/>
      <c r="AB20" s="176">
        <v>4</v>
      </c>
      <c r="AC20" s="177">
        <f ca="1">AD20-(AA6/100)^2*AA2</f>
        <v>328.4</v>
      </c>
      <c r="AD20" s="178">
        <f ca="1">AA16+AD16+(AB20*((AA13/100)^2*AA3))+AA10</f>
        <v>341</v>
      </c>
      <c r="AE20" s="179">
        <f ca="1">IF(AF18=AD18,(400-AD20),(400-AC20))</f>
        <v>59</v>
      </c>
      <c r="AF20" s="180">
        <f ca="1">AE20/0.434</f>
        <v>135.94470046082949</v>
      </c>
      <c r="AG20" s="181">
        <f ca="1">AF20/AF18</f>
        <v>0.13594470046082949</v>
      </c>
      <c r="AH20" s="17"/>
    </row>
    <row r="21" spans="1:42" ht="15.6" customHeight="1" thickTop="1" thickBot="1" x14ac:dyDescent="0.35">
      <c r="A21" s="626">
        <f>SUM(C3:C19)</f>
        <v>130</v>
      </c>
      <c r="B21" s="182"/>
      <c r="C21" s="183"/>
      <c r="D21" s="184"/>
      <c r="E21" s="185"/>
      <c r="I21" s="186"/>
      <c r="J21" s="119"/>
      <c r="K21" s="651">
        <f>SUM(K3:K19)</f>
        <v>130</v>
      </c>
      <c r="L21" s="182"/>
      <c r="M21" s="183"/>
      <c r="N21" s="112"/>
      <c r="O21" s="187"/>
      <c r="P21" s="188"/>
      <c r="Q21" s="189">
        <v>3</v>
      </c>
      <c r="R21" s="190">
        <f ca="1">S21-(R6/100)^2*R2</f>
        <v>200.6</v>
      </c>
      <c r="S21" s="191">
        <f ca="1">R16+(SUM(U6:U13)+(2*U13)+(Q21*((R13/100)^2*R3))+R10)</f>
        <v>213.2</v>
      </c>
      <c r="T21" s="192">
        <f ca="1">IF(U18=S18,(400-S21),(400-R21))</f>
        <v>186.8</v>
      </c>
      <c r="U21" s="193">
        <f ca="1">T21/0.434</f>
        <v>430.41474654377885</v>
      </c>
      <c r="V21" s="194">
        <f ca="1">U21/U18</f>
        <v>0.43041474654377887</v>
      </c>
      <c r="W21" s="173">
        <f t="shared" ca="1" si="0"/>
        <v>258.06451612903231</v>
      </c>
      <c r="X21" s="174">
        <f t="shared" ca="1" si="0"/>
        <v>0.25806451612903231</v>
      </c>
      <c r="Y21" s="195"/>
      <c r="AA21" s="119"/>
      <c r="AB21" s="196">
        <v>3</v>
      </c>
      <c r="AC21" s="197">
        <f ca="1">AD21-(AA6/100)^2*AA2</f>
        <v>312.59999999999997</v>
      </c>
      <c r="AD21" s="198">
        <f ca="1">AA16+(SUM(AD6:AD13)+(2*AD13)+(AB21*((AA13/100)^2*AA3))+AA10)</f>
        <v>325.2</v>
      </c>
      <c r="AE21" s="179">
        <f ca="1">IF(AF18=AD18,(400-AD21),(400-AC21))</f>
        <v>74.800000000000011</v>
      </c>
      <c r="AF21" s="180">
        <f ca="1">AE21/0.434</f>
        <v>172.35023041474656</v>
      </c>
      <c r="AG21" s="181">
        <f ca="1">AF21/AF18</f>
        <v>0.17235023041474656</v>
      </c>
      <c r="AH21" s="17"/>
    </row>
    <row r="22" spans="1:42" ht="15.6" customHeight="1" thickTop="1" thickBot="1" x14ac:dyDescent="0.35">
      <c r="A22" s="628"/>
      <c r="B22" s="199">
        <v>1500</v>
      </c>
      <c r="C22" s="200">
        <v>1600</v>
      </c>
      <c r="D22" s="201" t="s">
        <v>30</v>
      </c>
      <c r="E22" s="128">
        <v>1600</v>
      </c>
      <c r="F22" s="202" t="s">
        <v>31</v>
      </c>
      <c r="G22" s="203"/>
      <c r="I22" s="130" t="s">
        <v>44</v>
      </c>
      <c r="J22" s="204"/>
      <c r="K22" s="752"/>
      <c r="L22" s="205">
        <v>1500</v>
      </c>
      <c r="M22" s="206">
        <v>1600</v>
      </c>
      <c r="N22" s="132" t="s">
        <v>30</v>
      </c>
      <c r="O22" s="844">
        <f>E22</f>
        <v>1600</v>
      </c>
      <c r="P22" s="207" t="s">
        <v>31</v>
      </c>
      <c r="Q22" s="208">
        <v>2</v>
      </c>
      <c r="R22" s="209">
        <f ca="1">S22-(R6/100)^2*R2</f>
        <v>185.5</v>
      </c>
      <c r="S22" s="210">
        <f ca="1">R16+(SUM(U6:U9)+(6*U11)+(Q22*((R13/100)^2*R3))+R10)</f>
        <v>198.1</v>
      </c>
      <c r="T22" s="211">
        <f ca="1">IF(U18=S18,(400-S22),(400-R22))</f>
        <v>201.9</v>
      </c>
      <c r="U22" s="171">
        <f ca="1">T22/0.434</f>
        <v>465.20737327188942</v>
      </c>
      <c r="V22" s="172">
        <f ca="1">U22/U18</f>
        <v>0.46520737327188943</v>
      </c>
      <c r="W22" s="173">
        <f t="shared" ca="1" si="0"/>
        <v>232.25806451612914</v>
      </c>
      <c r="X22" s="174">
        <f t="shared" ca="1" si="0"/>
        <v>0.23225806451612915</v>
      </c>
      <c r="Y22" s="195"/>
      <c r="AA22" s="119"/>
      <c r="AB22" s="176">
        <v>2</v>
      </c>
      <c r="AC22" s="212">
        <f ca="1">AD22-(AA6/100)^2*AA2</f>
        <v>286.3</v>
      </c>
      <c r="AD22" s="213">
        <f ca="1">AA16+(SUM(AD6:AD11)+(4*AD11)+(AB22*((AA13/100)^2*AA3))+AA10)</f>
        <v>298.90000000000003</v>
      </c>
      <c r="AE22" s="179">
        <f ca="1">IF(AF18=AD18,(400-AD22),(400-AC22))</f>
        <v>101.09999999999997</v>
      </c>
      <c r="AF22" s="214">
        <f ca="1">AE22/0.434</f>
        <v>232.94930875576028</v>
      </c>
      <c r="AG22" s="172">
        <f ca="1">AF22/AF18</f>
        <v>0.23294930875576028</v>
      </c>
    </row>
    <row r="23" spans="1:42" ht="15.6" customHeight="1" thickBot="1" x14ac:dyDescent="0.35">
      <c r="A23" s="215" t="s">
        <v>35</v>
      </c>
      <c r="B23" s="28" t="s">
        <v>36</v>
      </c>
      <c r="C23" s="152" t="s">
        <v>36</v>
      </c>
      <c r="D23" s="216" t="s">
        <v>37</v>
      </c>
      <c r="E23" s="217" t="s">
        <v>38</v>
      </c>
      <c r="F23" s="218" t="s">
        <v>45</v>
      </c>
      <c r="G23" s="219" t="s">
        <v>40</v>
      </c>
      <c r="H23" s="220" t="s">
        <v>46</v>
      </c>
      <c r="I23" s="221" t="s">
        <v>47</v>
      </c>
      <c r="J23" s="119"/>
      <c r="K23" s="144" t="s">
        <v>35</v>
      </c>
      <c r="L23" s="28" t="s">
        <v>36</v>
      </c>
      <c r="M23" s="152" t="s">
        <v>36</v>
      </c>
      <c r="N23" s="153" t="s">
        <v>37</v>
      </c>
      <c r="O23" s="222" t="s">
        <v>38</v>
      </c>
      <c r="P23" s="222" t="s">
        <v>45</v>
      </c>
      <c r="Q23" s="189">
        <v>1</v>
      </c>
      <c r="R23" s="190">
        <f ca="1">S23-(R6/100)^2*R2</f>
        <v>175.125</v>
      </c>
      <c r="S23" s="191">
        <f ca="1">R16+(SUM(U6:U9)+(6*(((SUM(S5:S8)/2)/100)^2)*R2)+(Q23*((R13/100)^2*R3))+R10)</f>
        <v>187.72499999999999</v>
      </c>
      <c r="T23" s="192">
        <f ca="1">IF(U18=S18,(400-S23),(400-R23))</f>
        <v>212.27500000000001</v>
      </c>
      <c r="U23" s="193">
        <f ca="1">T23/0.434</f>
        <v>489.11290322580646</v>
      </c>
      <c r="V23" s="194">
        <f ca="1">U23/U18</f>
        <v>0.48911290322580647</v>
      </c>
      <c r="W23" s="173">
        <f t="shared" ca="1" si="0"/>
        <v>177.82258064516122</v>
      </c>
      <c r="X23" s="174">
        <f t="shared" ca="1" si="0"/>
        <v>0.17782258064516121</v>
      </c>
      <c r="Y23" s="195"/>
      <c r="AA23" s="119"/>
      <c r="AB23" s="196">
        <v>1</v>
      </c>
      <c r="AC23" s="223">
        <f ca="1">AD23-(AA6/100)^2*AA2</f>
        <v>252.29999999999998</v>
      </c>
      <c r="AD23" s="224">
        <f ca="1">AA16+(SUM(AD6:AD9)+(6*AD9)+(AB23*((AA13/100)^2*AA3))+AA10)</f>
        <v>264.89999999999998</v>
      </c>
      <c r="AE23" s="179">
        <f ca="1">IF(AF18=AD18,(400-AD23),(400-AC23))</f>
        <v>135.10000000000002</v>
      </c>
      <c r="AF23" s="225">
        <f ca="1">AE23/0.434</f>
        <v>311.29032258064524</v>
      </c>
      <c r="AG23" s="226">
        <f ca="1">AF23/AF18</f>
        <v>0.31129032258064526</v>
      </c>
    </row>
    <row r="24" spans="1:42" ht="15.6" customHeight="1" thickTop="1" thickBot="1" x14ac:dyDescent="0.35">
      <c r="A24" s="227">
        <v>7</v>
      </c>
      <c r="B24" s="228">
        <f ca="1">C24-((B6/100)^2*B2)</f>
        <v>278.32499999999999</v>
      </c>
      <c r="C24" s="229">
        <f ca="1">B16+(SUM(E4:E19)+(A24*((B13/100)^2*B3))+B10)</f>
        <v>290.92500000000001</v>
      </c>
      <c r="D24" s="230">
        <f ca="1">IF(E22=C22,(400-C24),(400-B24))</f>
        <v>109.07499999999999</v>
      </c>
      <c r="E24" s="171">
        <f t="shared" ref="E24:E31" ca="1" si="1">D24/0.434</f>
        <v>251.3248847926267</v>
      </c>
      <c r="F24" s="231">
        <f ca="1">E24/E22</f>
        <v>0.15707805299539168</v>
      </c>
      <c r="G24" s="232">
        <f t="shared" ref="G24:H31" ca="1" si="2">E24-O24</f>
        <v>832.6612903225805</v>
      </c>
      <c r="H24" s="233">
        <f t="shared" ca="1" si="2"/>
        <v>0.52041330645161277</v>
      </c>
      <c r="I24" s="175" t="s">
        <v>48</v>
      </c>
      <c r="J24" s="119"/>
      <c r="K24" s="234">
        <v>7</v>
      </c>
      <c r="L24" s="235">
        <f ca="1">M24-((J6/100)^2*J2)</f>
        <v>639.69999999999993</v>
      </c>
      <c r="M24" s="236">
        <f ca="1">J16+M20+N20+J10</f>
        <v>652.29999999999995</v>
      </c>
      <c r="N24" s="237">
        <f ca="1">IF(O22=M22,(400-M24),(400-L24))</f>
        <v>-252.29999999999995</v>
      </c>
      <c r="O24" s="238">
        <f t="shared" ref="O24:O31" ca="1" si="3">(400-M24)/0.434</f>
        <v>-581.33640552995382</v>
      </c>
      <c r="P24" s="239">
        <f ca="1">O24/O22</f>
        <v>-0.36333525345622114</v>
      </c>
      <c r="Q24" s="240">
        <v>0</v>
      </c>
      <c r="R24" s="241">
        <f ca="1">S24-(R6/100)^2*R2</f>
        <v>156.70000000000002</v>
      </c>
      <c r="S24" s="242">
        <f ca="1">R16+(4*U6)+((6*((S5/2)/100)^2)*R2)+R10</f>
        <v>169.3</v>
      </c>
      <c r="T24" s="243">
        <f ca="1">IF(U18=S18,(400-S24),(400-R24))</f>
        <v>230.7</v>
      </c>
      <c r="U24" s="244">
        <f ca="1">T24/0.434</f>
        <v>531.56682027649765</v>
      </c>
      <c r="V24" s="245">
        <f ca="1">U24/U18</f>
        <v>0.5315668202764976</v>
      </c>
      <c r="W24" s="246">
        <f t="shared" ca="1" si="0"/>
        <v>130.64516129032251</v>
      </c>
      <c r="X24" s="247">
        <f t="shared" ca="1" si="0"/>
        <v>0.13064516129032244</v>
      </c>
      <c r="Y24" s="248"/>
      <c r="AA24" s="119"/>
      <c r="AB24" s="249">
        <v>0</v>
      </c>
      <c r="AC24" s="250">
        <f ca="1">AD24-(AA6/100)^2*AA2</f>
        <v>213.4</v>
      </c>
      <c r="AD24" s="251">
        <f ca="1">AA16+((10*((AA6/100)^2)*AA2)+AA10)</f>
        <v>226</v>
      </c>
      <c r="AE24" s="252">
        <f ca="1">IF(AF18=AD18,(400-AD24),(400-AC24))</f>
        <v>174</v>
      </c>
      <c r="AF24" s="253">
        <f ca="1">AE24/0.434</f>
        <v>400.92165898617515</v>
      </c>
      <c r="AG24" s="254">
        <f ca="1">AF24/AF18</f>
        <v>0.40092165898617516</v>
      </c>
      <c r="AH24" s="255"/>
    </row>
    <row r="25" spans="1:42" ht="15.6" customHeight="1" thickBot="1" x14ac:dyDescent="0.35">
      <c r="A25" s="256">
        <v>6</v>
      </c>
      <c r="B25" s="257">
        <f ca="1">C25-((B6/100)^2*B2)</f>
        <v>266.02499999999998</v>
      </c>
      <c r="C25" s="258">
        <f ca="1">B16+(SUM(E4:E13)+(2*((SUM(C3:C14)/2)/100)^2*B2)+(4*E16)+(A25*((B13/100)^2*B3))+B10)</f>
        <v>278.625</v>
      </c>
      <c r="D25" s="259">
        <f ca="1">IF(E22=C22,(400-C25),(400-B25))</f>
        <v>121.375</v>
      </c>
      <c r="E25" s="193">
        <f t="shared" ca="1" si="1"/>
        <v>279.66589861751152</v>
      </c>
      <c r="F25" s="260">
        <f ca="1">E25/E22</f>
        <v>0.1747911866359447</v>
      </c>
      <c r="G25" s="261">
        <f t="shared" ca="1" si="2"/>
        <v>814.91935483870952</v>
      </c>
      <c r="H25" s="262">
        <f t="shared" ca="1" si="2"/>
        <v>0.50932459677419351</v>
      </c>
      <c r="I25" s="195"/>
      <c r="J25" s="263"/>
      <c r="K25" s="264">
        <v>6</v>
      </c>
      <c r="L25" s="265">
        <f ca="1">M25-((J6/100)^2*J2)</f>
        <v>619.69999999999993</v>
      </c>
      <c r="M25" s="266">
        <f ca="1">J16+(SUM(M4:M17)+(2*M16)+(K25*((J13/100)^2*J3))+J10)</f>
        <v>632.29999999999995</v>
      </c>
      <c r="N25" s="267">
        <f ca="1">IF(O22=M22,(400-M25),(400-L25))</f>
        <v>-232.29999999999995</v>
      </c>
      <c r="O25" s="268">
        <f t="shared" ca="1" si="3"/>
        <v>-535.25345622119801</v>
      </c>
      <c r="P25" s="269">
        <f ca="1">O25/O22</f>
        <v>-0.33453341013824878</v>
      </c>
      <c r="V25" s="270"/>
      <c r="W25" s="271"/>
      <c r="AG25" s="33"/>
      <c r="AH25" s="272"/>
    </row>
    <row r="26" spans="1:42" ht="15.6" customHeight="1" thickTop="1" thickBot="1" x14ac:dyDescent="0.35">
      <c r="A26" s="273">
        <v>5</v>
      </c>
      <c r="B26" s="274">
        <f ca="1">C26-((B6/100)^2*B2)</f>
        <v>246.72500000000005</v>
      </c>
      <c r="C26" s="275">
        <f ca="1">B16+(SUM(E4:E13)+(6*((SUM(C3:C14)/2)/100)^2*B2)+(A26*((B13/100)^2*B3))+B10)</f>
        <v>259.32500000000005</v>
      </c>
      <c r="D26" s="230">
        <f ca="1">IF(E22=C22,(400-C26),(400-B26))</f>
        <v>140.67499999999995</v>
      </c>
      <c r="E26" s="171">
        <f t="shared" ca="1" si="1"/>
        <v>324.13594470046075</v>
      </c>
      <c r="F26" s="231">
        <f ca="1">E26/E22</f>
        <v>0.20258496543778798</v>
      </c>
      <c r="G26" s="261">
        <f t="shared" ca="1" si="2"/>
        <v>779.43548387096803</v>
      </c>
      <c r="H26" s="262">
        <f t="shared" ca="1" si="2"/>
        <v>0.48714717741935498</v>
      </c>
      <c r="I26" s="195"/>
      <c r="J26" s="119"/>
      <c r="K26" s="276">
        <v>5</v>
      </c>
      <c r="L26" s="265">
        <f ca="1">M26-((J6/100)^2*J2)</f>
        <v>585.00000000000011</v>
      </c>
      <c r="M26" s="266">
        <f ca="1">J16+(SUM(M4:M15)+(4*M14)+(K26*((J13/100)^2*J3))+J10)</f>
        <v>597.60000000000014</v>
      </c>
      <c r="N26" s="267">
        <f ca="1">IF(O22=M22,(400-M26),(400-L26))</f>
        <v>-197.60000000000014</v>
      </c>
      <c r="O26" s="268">
        <f t="shared" ca="1" si="3"/>
        <v>-455.29953917050722</v>
      </c>
      <c r="P26" s="277">
        <f ca="1">O26/O22</f>
        <v>-0.284562211981567</v>
      </c>
      <c r="T26" s="753" t="s">
        <v>29</v>
      </c>
      <c r="U26" s="754"/>
      <c r="AC26" s="755" t="s">
        <v>29</v>
      </c>
      <c r="AD26" s="721"/>
      <c r="AG26" s="278"/>
    </row>
    <row r="27" spans="1:42" ht="15.6" customHeight="1" thickTop="1" thickBot="1" x14ac:dyDescent="0.35">
      <c r="A27" s="256">
        <v>4</v>
      </c>
      <c r="B27" s="279">
        <f ca="1">C27-((B6/100)^2*B2)</f>
        <v>233.20000000000002</v>
      </c>
      <c r="C27" s="280">
        <f ca="1">B16+(SUM(E4:E13)+(6*((SUM(C3:C12)/2)/100)^2*B2)+(A27*((B13/100)^2*B3))+B10)</f>
        <v>245.8</v>
      </c>
      <c r="D27" s="259">
        <f ca="1">IF(E22=C22,(400-C27),(400-B27))</f>
        <v>154.19999999999999</v>
      </c>
      <c r="E27" s="193">
        <f t="shared" ca="1" si="1"/>
        <v>355.29953917050688</v>
      </c>
      <c r="F27" s="260">
        <f ca="1">E27/E22</f>
        <v>0.22206221198156681</v>
      </c>
      <c r="G27" s="261">
        <f t="shared" ca="1" si="2"/>
        <v>703.22580645161293</v>
      </c>
      <c r="H27" s="262">
        <f t="shared" ca="1" si="2"/>
        <v>0.43951612903225806</v>
      </c>
      <c r="I27" s="195"/>
      <c r="J27" s="119"/>
      <c r="K27" s="264">
        <v>4</v>
      </c>
      <c r="L27" s="265">
        <f ca="1">M27-((J6/100)^2*J2)</f>
        <v>538.4</v>
      </c>
      <c r="M27" s="266">
        <f ca="1">J16+(SUM(M4:M13)+(6*M12)+(K27*((J13/100)^2*J3))+J10)</f>
        <v>551</v>
      </c>
      <c r="N27" s="267">
        <f ca="1">IF(O22=M22,(400-M27),(400-L27))</f>
        <v>-151</v>
      </c>
      <c r="O27" s="268">
        <f t="shared" ca="1" si="3"/>
        <v>-347.92626728110599</v>
      </c>
      <c r="P27" s="833">
        <f ca="1">O27/O22</f>
        <v>-0.21745391705069125</v>
      </c>
      <c r="Q27" s="835"/>
      <c r="R27" s="836"/>
      <c r="T27" s="281" t="s">
        <v>33</v>
      </c>
      <c r="U27" s="282" t="s">
        <v>34</v>
      </c>
      <c r="AC27" s="283" t="s">
        <v>33</v>
      </c>
      <c r="AD27" s="284" t="s">
        <v>34</v>
      </c>
    </row>
    <row r="28" spans="1:42" ht="15.6" customHeight="1" thickBot="1" x14ac:dyDescent="0.35">
      <c r="A28" s="273">
        <v>3</v>
      </c>
      <c r="B28" s="285">
        <f ca="1">C28-((B6/100)^2*B2)</f>
        <v>213.72499999999999</v>
      </c>
      <c r="C28" s="286">
        <f ca="1">B16+(SUM(E4:E9)+(4*E10)+(6*((D10)/100)^2*B2)+(A28*((B13/100)^2*B3))+B10)</f>
        <v>226.32499999999999</v>
      </c>
      <c r="D28" s="230">
        <f ca="1">IF(E22=C22,(400-C28),(400-B28))</f>
        <v>173.67500000000001</v>
      </c>
      <c r="E28" s="171">
        <f t="shared" ca="1" si="1"/>
        <v>400.17281105990787</v>
      </c>
      <c r="F28" s="231">
        <f ca="1">E28/E22</f>
        <v>0.25010800691244239</v>
      </c>
      <c r="G28" s="261">
        <f t="shared" ca="1" si="2"/>
        <v>619.75806451612914</v>
      </c>
      <c r="H28" s="262">
        <f t="shared" ca="1" si="2"/>
        <v>0.38734879032258063</v>
      </c>
      <c r="I28" s="195"/>
      <c r="J28" s="119"/>
      <c r="K28" s="276">
        <v>3</v>
      </c>
      <c r="L28" s="265">
        <f ca="1">M28-((J6/100)^2*J2)</f>
        <v>482.7</v>
      </c>
      <c r="M28" s="266">
        <f ca="1">J16+(SUM(M4:M11)+(8*M10)+(K28*((J13/100)^2*J3))+J10)</f>
        <v>495.3</v>
      </c>
      <c r="N28" s="267">
        <f ca="1">IF(O22=M22,(400-M28),(400-L28))</f>
        <v>-95.300000000000011</v>
      </c>
      <c r="O28" s="268">
        <f t="shared" ca="1" si="3"/>
        <v>-219.58525345622124</v>
      </c>
      <c r="P28" s="833">
        <f ca="1">O28/O22</f>
        <v>-0.13724078341013826</v>
      </c>
      <c r="Q28" s="837"/>
      <c r="R28" s="838"/>
      <c r="T28" s="287">
        <f ca="1">U28-50</f>
        <v>173.39999999999998</v>
      </c>
      <c r="U28" s="288">
        <f ca="1">U16+V16+R16+R10</f>
        <v>223.39999999999998</v>
      </c>
      <c r="AC28" s="287">
        <f ca="1">AD28-50</f>
        <v>291</v>
      </c>
      <c r="AD28" s="289">
        <f ca="1">AD16+AE16+AA16+AA10</f>
        <v>341</v>
      </c>
    </row>
    <row r="29" spans="1:42" ht="15.6" customHeight="1" thickBot="1" x14ac:dyDescent="0.35">
      <c r="A29" s="256">
        <v>2</v>
      </c>
      <c r="B29" s="279">
        <f ca="1">C29-((B6/100)^2*B2)</f>
        <v>196.35000000000002</v>
      </c>
      <c r="C29" s="280">
        <f ca="1">B16+(SUM(E4:E7)+(2*E8)+4*((SUM(C3:C8)/200)^2*B2)+6*((SUM(C3:C8)/200)^2*B2)+(A29*((B13/100)^2*B3))+B10)</f>
        <v>208.95000000000002</v>
      </c>
      <c r="D29" s="259">
        <f ca="1">IF(E22=C22,(400-C29),(400-B29))</f>
        <v>191.04999999999998</v>
      </c>
      <c r="E29" s="290">
        <f t="shared" ca="1" si="1"/>
        <v>440.20737327188937</v>
      </c>
      <c r="F29" s="260">
        <f ca="1">E29/E22</f>
        <v>0.27512960829493083</v>
      </c>
      <c r="G29" s="261">
        <f t="shared" ca="1" si="2"/>
        <v>516.93548387096791</v>
      </c>
      <c r="H29" s="262">
        <f t="shared" ca="1" si="2"/>
        <v>0.32308467741935487</v>
      </c>
      <c r="I29" s="195"/>
      <c r="J29" s="119"/>
      <c r="K29" s="264">
        <v>2</v>
      </c>
      <c r="L29" s="265">
        <f ca="1">M29-((J6/100)^2*J2)</f>
        <v>420.70000000000005</v>
      </c>
      <c r="M29" s="266">
        <f ca="1">J16+(SUM(M4:M9)+(10*M8)+(K29*((J13/100)^2*J3))+J10)</f>
        <v>433.30000000000007</v>
      </c>
      <c r="N29" s="267">
        <f ca="1">IF(O22=M22,(400-M29),(400-L29))</f>
        <v>-33.300000000000068</v>
      </c>
      <c r="O29" s="268">
        <f t="shared" ca="1" si="3"/>
        <v>-76.728110599078505</v>
      </c>
      <c r="P29" s="833">
        <f ca="1">O29/O22</f>
        <v>-4.7955069124424064E-2</v>
      </c>
      <c r="Q29" s="839"/>
      <c r="R29" s="840"/>
    </row>
    <row r="30" spans="1:42" ht="15.6" customHeight="1" thickBot="1" x14ac:dyDescent="0.35">
      <c r="A30" s="273">
        <v>1</v>
      </c>
      <c r="B30" s="285">
        <f ca="1">C30-((B6/100)^2*B2)</f>
        <v>175.125</v>
      </c>
      <c r="C30" s="286">
        <f ca="1">B16+(SUM(E4:E5))+14*((D6/100)^2*B2)+A30*((B13/100)^2*B3)+B10</f>
        <v>187.72499999999999</v>
      </c>
      <c r="D30" s="291">
        <f ca="1">IF(E22=C22,(400-C30),(400-B30))</f>
        <v>212.27500000000001</v>
      </c>
      <c r="E30" s="292">
        <f t="shared" ca="1" si="1"/>
        <v>489.11290322580646</v>
      </c>
      <c r="F30" s="293">
        <f ca="1">E30/E22</f>
        <v>0.30569556451612906</v>
      </c>
      <c r="G30" s="261">
        <f t="shared" ca="1" si="2"/>
        <v>414.91935483870958</v>
      </c>
      <c r="H30" s="262">
        <f t="shared" ca="1" si="2"/>
        <v>0.25932459677419351</v>
      </c>
      <c r="I30" s="195"/>
      <c r="J30" s="119"/>
      <c r="K30" s="196">
        <v>1</v>
      </c>
      <c r="L30" s="294">
        <f ca="1">M30-((J6/100)^2*J2)</f>
        <v>355.19999999999993</v>
      </c>
      <c r="M30" s="198">
        <f ca="1">J16+(SUM(M4:M7)+(12*M6)+(K30*((J13/100)^2*J3))+J10)</f>
        <v>367.79999999999995</v>
      </c>
      <c r="N30" s="295">
        <f ca="1">IF(O22=M22,(400-M30),(400-L30))</f>
        <v>32.200000000000045</v>
      </c>
      <c r="O30" s="180">
        <f t="shared" ca="1" si="3"/>
        <v>74.193548387096882</v>
      </c>
      <c r="P30" s="834">
        <f ca="1">O30/O22</f>
        <v>4.6370967741935554E-2</v>
      </c>
      <c r="Q30" s="839"/>
      <c r="R30" s="841"/>
      <c r="Y30" s="296"/>
      <c r="Z30" s="297"/>
      <c r="AA30" s="298"/>
      <c r="AB30" s="298"/>
      <c r="AC30" s="298"/>
    </row>
    <row r="31" spans="1:42" ht="15.6" customHeight="1" thickBot="1" x14ac:dyDescent="0.35">
      <c r="A31" s="249">
        <v>0</v>
      </c>
      <c r="B31" s="299">
        <f ca="1">C31-((B6/100)^2*B2)</f>
        <v>156.70000000000002</v>
      </c>
      <c r="C31" s="251">
        <f ca="1">B16+(SUM(E4:E5))+(14*((C3/200)^2*B2)+B10)</f>
        <v>169.3</v>
      </c>
      <c r="D31" s="300">
        <f ca="1">IF(E26=C26,(400-C31),(400-B31))</f>
        <v>243.29999999999998</v>
      </c>
      <c r="E31" s="193">
        <f t="shared" ca="1" si="1"/>
        <v>560.59907834101375</v>
      </c>
      <c r="F31" s="260">
        <f ca="1">E31/E22</f>
        <v>0.35037442396313362</v>
      </c>
      <c r="G31" s="301">
        <f t="shared" ca="1" si="2"/>
        <v>333.87096774193549</v>
      </c>
      <c r="H31" s="302">
        <f t="shared" ca="1" si="2"/>
        <v>0.20866935483870969</v>
      </c>
      <c r="I31" s="248"/>
      <c r="J31" s="119"/>
      <c r="K31" s="249">
        <v>0</v>
      </c>
      <c r="L31" s="303">
        <f ca="1">M31-((J6/100)^2*J2)</f>
        <v>289</v>
      </c>
      <c r="M31" s="304">
        <f ca="1">J16+(16*M5)+J10</f>
        <v>301.60000000000002</v>
      </c>
      <c r="N31" s="305">
        <f ca="1">IF(O26=M26,(400-M31),(400-L31))</f>
        <v>111</v>
      </c>
      <c r="O31" s="306">
        <f t="shared" ca="1" si="3"/>
        <v>226.72811059907829</v>
      </c>
      <c r="P31" s="307">
        <f ca="1">O31/O22</f>
        <v>0.14170506912442393</v>
      </c>
      <c r="Y31" s="296"/>
      <c r="Z31" s="297"/>
      <c r="AA31" s="298"/>
      <c r="AB31" s="298"/>
      <c r="AC31" s="298"/>
    </row>
    <row r="32" spans="1:42" ht="15.6" customHeight="1" thickTop="1" thickBot="1" x14ac:dyDescent="0.35">
      <c r="G32" s="308"/>
      <c r="N32" s="309"/>
      <c r="O32" s="308"/>
      <c r="P32" s="308"/>
      <c r="Y32" s="296"/>
      <c r="Z32" s="297"/>
      <c r="AA32" s="298"/>
      <c r="AB32" s="298"/>
      <c r="AC32" s="298"/>
    </row>
    <row r="33" spans="1:32" ht="15.6" customHeight="1" thickBot="1" x14ac:dyDescent="0.35">
      <c r="A33" s="704" t="s">
        <v>0</v>
      </c>
      <c r="B33" s="705"/>
      <c r="C33" s="4"/>
      <c r="D33" s="4"/>
      <c r="E33" s="4"/>
      <c r="F33" s="4"/>
      <c r="G33" s="5"/>
      <c r="I33" s="704" t="s">
        <v>0</v>
      </c>
      <c r="J33" s="705"/>
      <c r="K33" s="4"/>
      <c r="L33" s="4"/>
      <c r="M33" s="4"/>
      <c r="N33" s="4"/>
      <c r="O33" s="4"/>
      <c r="P33" s="5"/>
      <c r="Y33" s="298"/>
      <c r="Z33" s="298"/>
      <c r="AA33" s="298"/>
    </row>
    <row r="34" spans="1:32" ht="15.6" customHeight="1" thickTop="1" thickBot="1" x14ac:dyDescent="0.4">
      <c r="A34" s="13" t="s">
        <v>3</v>
      </c>
      <c r="B34" s="310">
        <f ca="1">J2</f>
        <v>35</v>
      </c>
      <c r="G34" s="15"/>
      <c r="I34" s="13" t="s">
        <v>3</v>
      </c>
      <c r="J34" s="310">
        <f ca="1">J2</f>
        <v>35</v>
      </c>
      <c r="P34" s="15"/>
      <c r="Q34" s="704" t="s">
        <v>0</v>
      </c>
      <c r="R34" s="705"/>
      <c r="S34" s="4"/>
      <c r="T34" s="4"/>
      <c r="U34" s="4"/>
      <c r="V34" s="4"/>
      <c r="W34" s="5"/>
      <c r="Z34" s="704" t="s">
        <v>0</v>
      </c>
      <c r="AA34" s="705"/>
      <c r="AB34" s="4"/>
      <c r="AC34" s="4"/>
      <c r="AD34" s="4"/>
      <c r="AE34" s="4"/>
      <c r="AF34" s="5"/>
    </row>
    <row r="35" spans="1:32" ht="15.6" customHeight="1" thickTop="1" thickBot="1" x14ac:dyDescent="0.4">
      <c r="A35" s="30" t="s">
        <v>5</v>
      </c>
      <c r="B35" s="311">
        <f ca="1">J3</f>
        <v>250</v>
      </c>
      <c r="D35" s="711" t="s">
        <v>1</v>
      </c>
      <c r="E35" s="712"/>
      <c r="F35" s="712"/>
      <c r="G35" s="713"/>
      <c r="I35" s="30" t="s">
        <v>5</v>
      </c>
      <c r="J35" s="311">
        <f ca="1">J3</f>
        <v>250</v>
      </c>
      <c r="L35" s="714" t="s">
        <v>2</v>
      </c>
      <c r="M35" s="714"/>
      <c r="N35" s="714"/>
      <c r="O35" s="714"/>
      <c r="P35" s="312"/>
      <c r="Q35" s="13" t="s">
        <v>3</v>
      </c>
      <c r="R35" s="310">
        <f ca="1">J2</f>
        <v>35</v>
      </c>
      <c r="W35" s="15"/>
      <c r="Z35" s="13" t="s">
        <v>3</v>
      </c>
      <c r="AA35" s="313">
        <f ca="1">J2</f>
        <v>35</v>
      </c>
      <c r="AF35" s="15"/>
    </row>
    <row r="36" spans="1:32" ht="15.6" customHeight="1" thickBot="1" x14ac:dyDescent="0.4">
      <c r="A36" s="1"/>
      <c r="C36" s="34"/>
      <c r="G36" s="314"/>
      <c r="I36" s="1"/>
      <c r="K36" s="34"/>
      <c r="O36" s="315"/>
      <c r="P36" s="15"/>
      <c r="Q36" s="30" t="s">
        <v>5</v>
      </c>
      <c r="R36" s="311">
        <f ca="1">J3</f>
        <v>250</v>
      </c>
      <c r="W36" s="15"/>
      <c r="Z36" s="30" t="s">
        <v>5</v>
      </c>
      <c r="AA36" s="31">
        <f ca="1">J3</f>
        <v>250</v>
      </c>
      <c r="AF36" s="15"/>
    </row>
    <row r="37" spans="1:32" ht="15.6" customHeight="1" thickBot="1" x14ac:dyDescent="0.35">
      <c r="A37" s="1"/>
      <c r="B37" s="44" t="s">
        <v>10</v>
      </c>
      <c r="C37" s="610">
        <f>B38</f>
        <v>60</v>
      </c>
      <c r="D37" s="317" t="s">
        <v>6</v>
      </c>
      <c r="E37" s="22" t="s">
        <v>7</v>
      </c>
      <c r="F37" s="28" t="s">
        <v>8</v>
      </c>
      <c r="G37" s="749" t="s">
        <v>11</v>
      </c>
      <c r="I37" s="1"/>
      <c r="J37" s="44" t="s">
        <v>10</v>
      </c>
      <c r="K37" s="316">
        <f>C37</f>
        <v>60</v>
      </c>
      <c r="L37" s="27" t="s">
        <v>6</v>
      </c>
      <c r="M37" s="22" t="s">
        <v>7</v>
      </c>
      <c r="N37" s="28" t="s">
        <v>8</v>
      </c>
      <c r="O37" s="699" t="s">
        <v>11</v>
      </c>
      <c r="P37" s="318"/>
      <c r="Q37" s="1"/>
      <c r="S37" s="9"/>
      <c r="W37" s="15"/>
      <c r="Z37" s="1"/>
      <c r="AB37" s="9"/>
      <c r="AF37" s="15"/>
    </row>
    <row r="38" spans="1:32" ht="15.6" customHeight="1" thickBot="1" x14ac:dyDescent="0.35">
      <c r="A38" s="48" t="s">
        <v>13</v>
      </c>
      <c r="B38" s="54">
        <f>B6</f>
        <v>60</v>
      </c>
      <c r="C38" s="55"/>
      <c r="D38" s="37">
        <f>C37</f>
        <v>60</v>
      </c>
      <c r="E38" s="319">
        <f ca="1">(D38/100)^2*B34</f>
        <v>12.6</v>
      </c>
      <c r="F38" s="751">
        <f ca="1">((C39/100)^2)*B35</f>
        <v>2.5000000000000004</v>
      </c>
      <c r="G38" s="750"/>
      <c r="I38" s="48" t="s">
        <v>13</v>
      </c>
      <c r="J38" s="52">
        <f>J6</f>
        <v>60</v>
      </c>
      <c r="K38" s="55"/>
      <c r="L38" s="37">
        <f>K37</f>
        <v>60</v>
      </c>
      <c r="M38" s="36">
        <f ca="1">(L38/100)^2*J34</f>
        <v>12.6</v>
      </c>
      <c r="N38" s="751">
        <f ca="1">((K39/100)^2)*J35</f>
        <v>2.5000000000000004</v>
      </c>
      <c r="O38" s="691"/>
      <c r="P38" s="318"/>
      <c r="Q38" s="1"/>
      <c r="R38" s="44" t="s">
        <v>10</v>
      </c>
      <c r="S38" s="32"/>
      <c r="T38" s="711" t="s">
        <v>1</v>
      </c>
      <c r="U38" s="712"/>
      <c r="V38" s="712"/>
      <c r="W38" s="713"/>
      <c r="X38" s="297"/>
      <c r="Z38" s="1"/>
      <c r="AA38" s="44" t="s">
        <v>10</v>
      </c>
      <c r="AB38" s="32"/>
      <c r="AC38" s="714" t="s">
        <v>2</v>
      </c>
      <c r="AD38" s="714"/>
      <c r="AE38" s="714"/>
      <c r="AF38" s="745"/>
    </row>
    <row r="39" spans="1:32" ht="15.6" customHeight="1" thickBot="1" x14ac:dyDescent="0.35">
      <c r="A39" s="1"/>
      <c r="C39" s="666">
        <f>B45</f>
        <v>10</v>
      </c>
      <c r="D39" s="320">
        <f>C37</f>
        <v>60</v>
      </c>
      <c r="E39" s="321">
        <f ca="1">(D39/100)^2*B34</f>
        <v>12.6</v>
      </c>
      <c r="F39" s="696"/>
      <c r="G39" s="676" t="s">
        <v>14</v>
      </c>
      <c r="I39" s="1"/>
      <c r="K39" s="668">
        <f>J45</f>
        <v>10</v>
      </c>
      <c r="L39" s="320">
        <f>K37</f>
        <v>60</v>
      </c>
      <c r="M39" s="58">
        <f ca="1">(L39/100)^2*J34</f>
        <v>12.6</v>
      </c>
      <c r="N39" s="696"/>
      <c r="O39" s="676" t="s">
        <v>14</v>
      </c>
      <c r="P39" s="318"/>
      <c r="Q39" s="48" t="s">
        <v>13</v>
      </c>
      <c r="R39" s="52">
        <f>B6</f>
        <v>60</v>
      </c>
      <c r="S39" s="9"/>
      <c r="T39" s="322"/>
      <c r="W39" s="15"/>
      <c r="Z39" s="48" t="s">
        <v>13</v>
      </c>
      <c r="AA39" s="54">
        <f>B6</f>
        <v>60</v>
      </c>
      <c r="AB39" s="9"/>
      <c r="AF39" s="15"/>
    </row>
    <row r="40" spans="1:32" ht="15.6" customHeight="1" thickBot="1" x14ac:dyDescent="0.35">
      <c r="A40" s="1"/>
      <c r="B40" s="22" t="s">
        <v>16</v>
      </c>
      <c r="C40" s="666"/>
      <c r="D40" s="320">
        <f>D39+C39</f>
        <v>70</v>
      </c>
      <c r="E40" s="321">
        <f ca="1">(D40/100)^2*B34</f>
        <v>17.149999999999999</v>
      </c>
      <c r="F40" s="638">
        <f ca="1">((C41/100)^2)*B35</f>
        <v>2.5000000000000004</v>
      </c>
      <c r="G40" s="676"/>
      <c r="I40" s="1"/>
      <c r="J40" s="22" t="s">
        <v>16</v>
      </c>
      <c r="K40" s="668"/>
      <c r="L40" s="59">
        <f>L39+K39</f>
        <v>70</v>
      </c>
      <c r="M40" s="58">
        <f ca="1">(L40/100)^2*J34</f>
        <v>17.149999999999999</v>
      </c>
      <c r="N40" s="638">
        <f ca="1">((K41/100)^2)*J35</f>
        <v>2.5000000000000004</v>
      </c>
      <c r="O40" s="676"/>
      <c r="P40" s="318"/>
      <c r="Q40" s="1"/>
      <c r="S40" s="609">
        <f>R39</f>
        <v>60</v>
      </c>
      <c r="T40" s="27" t="s">
        <v>6</v>
      </c>
      <c r="U40" s="22" t="s">
        <v>7</v>
      </c>
      <c r="V40" s="23" t="s">
        <v>8</v>
      </c>
      <c r="W40" s="617" t="s">
        <v>15</v>
      </c>
      <c r="Z40" s="1"/>
      <c r="AB40" s="323">
        <f>S40</f>
        <v>60</v>
      </c>
      <c r="AC40" s="27" t="s">
        <v>6</v>
      </c>
      <c r="AD40" s="47" t="s">
        <v>7</v>
      </c>
      <c r="AE40" s="23" t="s">
        <v>8</v>
      </c>
      <c r="AF40" s="617" t="s">
        <v>15</v>
      </c>
    </row>
    <row r="41" spans="1:32" ht="15.6" customHeight="1" thickBot="1" x14ac:dyDescent="0.35">
      <c r="A41" s="48" t="s">
        <v>17</v>
      </c>
      <c r="B41" s="66">
        <f>B9</f>
        <v>0</v>
      </c>
      <c r="C41" s="666">
        <f>B45</f>
        <v>10</v>
      </c>
      <c r="D41" s="45">
        <f>D39+C39</f>
        <v>70</v>
      </c>
      <c r="E41" s="324">
        <f ca="1">(D41/100)^2*B34</f>
        <v>17.149999999999999</v>
      </c>
      <c r="F41" s="682"/>
      <c r="G41" s="731" t="s">
        <v>12</v>
      </c>
      <c r="I41" s="48" t="s">
        <v>17</v>
      </c>
      <c r="J41" s="66">
        <f>J9</f>
        <v>0</v>
      </c>
      <c r="K41" s="668">
        <f>J45</f>
        <v>10</v>
      </c>
      <c r="L41" s="325">
        <f>L39+K39</f>
        <v>70</v>
      </c>
      <c r="M41" s="43">
        <f ca="1">(L41/100)^2*J34</f>
        <v>17.149999999999999</v>
      </c>
      <c r="N41" s="682"/>
      <c r="O41" s="733" t="s">
        <v>12</v>
      </c>
      <c r="P41" s="318"/>
      <c r="Q41" s="1"/>
      <c r="R41" s="22" t="s">
        <v>16</v>
      </c>
      <c r="S41" s="55"/>
      <c r="T41" s="60">
        <f>S40</f>
        <v>60</v>
      </c>
      <c r="U41" s="58">
        <f ca="1">(T41/100)^2*R35</f>
        <v>12.6</v>
      </c>
      <c r="V41" s="740">
        <f ca="1">(S42/100)^2*R36</f>
        <v>2.5000000000000004</v>
      </c>
      <c r="W41" s="618"/>
      <c r="Z41" s="1"/>
      <c r="AA41" s="22" t="s">
        <v>16</v>
      </c>
      <c r="AB41" s="55"/>
      <c r="AC41" s="77">
        <f>AB40</f>
        <v>60</v>
      </c>
      <c r="AD41" s="58">
        <f ca="1">(AC41/100)^2*AA35</f>
        <v>12.6</v>
      </c>
      <c r="AE41" s="740">
        <f ca="1">(AB42/100)^2*AA36</f>
        <v>2.5000000000000004</v>
      </c>
      <c r="AF41" s="618"/>
    </row>
    <row r="42" spans="1:32" ht="15.6" customHeight="1" thickBot="1" x14ac:dyDescent="0.35">
      <c r="A42" s="48" t="s">
        <v>19</v>
      </c>
      <c r="B42" s="73">
        <f>B41*0.434</f>
        <v>0</v>
      </c>
      <c r="C42" s="666"/>
      <c r="D42" s="326">
        <f>SUM(C36:C42)/2</f>
        <v>40</v>
      </c>
      <c r="E42" s="327">
        <f ca="1">(D42/100)^2*B34</f>
        <v>5.6000000000000014</v>
      </c>
      <c r="F42" s="677">
        <f ca="1">((C43/100)^2)*B35</f>
        <v>2.5000000000000004</v>
      </c>
      <c r="G42" s="748"/>
      <c r="I42" s="48" t="s">
        <v>19</v>
      </c>
      <c r="J42" s="73">
        <f>J41*0.434</f>
        <v>0</v>
      </c>
      <c r="K42" s="668"/>
      <c r="L42" s="326">
        <f>SUM(K36:K42)</f>
        <v>80</v>
      </c>
      <c r="M42" s="51">
        <f ca="1">(L42/100)^2*J34</f>
        <v>22.400000000000006</v>
      </c>
      <c r="N42" s="677">
        <f ca="1">((K43/100)^2)*J35</f>
        <v>2.5000000000000004</v>
      </c>
      <c r="O42" s="635"/>
      <c r="P42" s="318"/>
      <c r="Q42" s="48" t="s">
        <v>49</v>
      </c>
      <c r="R42" s="66">
        <f>B9</f>
        <v>0</v>
      </c>
      <c r="S42" s="673">
        <f>R46</f>
        <v>10</v>
      </c>
      <c r="T42" s="68">
        <f>S40</f>
        <v>60</v>
      </c>
      <c r="U42" s="43">
        <f ca="1">(T42/100)^2*R35</f>
        <v>12.6</v>
      </c>
      <c r="V42" s="741"/>
      <c r="W42" s="742" t="s">
        <v>18</v>
      </c>
      <c r="Z42" s="48" t="s">
        <v>49</v>
      </c>
      <c r="AA42" s="66">
        <f>B9</f>
        <v>0</v>
      </c>
      <c r="AB42" s="621">
        <f>AA46</f>
        <v>10</v>
      </c>
      <c r="AC42" s="328">
        <f>AB40</f>
        <v>60</v>
      </c>
      <c r="AD42" s="43">
        <f ca="1">(AC42/100)^2*AA35</f>
        <v>12.6</v>
      </c>
      <c r="AE42" s="741"/>
      <c r="AF42" s="622" t="s">
        <v>18</v>
      </c>
    </row>
    <row r="43" spans="1:32" ht="15.6" customHeight="1" thickBot="1" x14ac:dyDescent="0.35">
      <c r="A43" s="1"/>
      <c r="C43" s="666">
        <f>B45</f>
        <v>10</v>
      </c>
      <c r="D43" s="62">
        <f>SUM(C36:C42)/2</f>
        <v>40</v>
      </c>
      <c r="E43" s="321">
        <f ca="1">(D43/100)^2*B34</f>
        <v>5.6000000000000014</v>
      </c>
      <c r="F43" s="696"/>
      <c r="G43" s="669" t="s">
        <v>15</v>
      </c>
      <c r="I43" s="1"/>
      <c r="K43" s="668">
        <f>J45</f>
        <v>10</v>
      </c>
      <c r="L43" s="62">
        <f>SUM(K36:K42)</f>
        <v>80</v>
      </c>
      <c r="M43" s="58">
        <f ca="1">(L43/100)^2*J34</f>
        <v>22.400000000000006</v>
      </c>
      <c r="N43" s="678"/>
      <c r="O43" s="669" t="s">
        <v>15</v>
      </c>
      <c r="P43" s="318"/>
      <c r="Q43" s="48" t="s">
        <v>19</v>
      </c>
      <c r="R43" s="73">
        <f>R42*0.434</f>
        <v>0</v>
      </c>
      <c r="S43" s="673"/>
      <c r="T43" s="75">
        <f>SUM(S40:S43)/2</f>
        <v>35</v>
      </c>
      <c r="U43" s="51">
        <f ca="1">(T43/100)^2*R35</f>
        <v>4.2874999999999996</v>
      </c>
      <c r="V43" s="746">
        <f ca="1">(S44/100)^2*R36</f>
        <v>2.5000000000000004</v>
      </c>
      <c r="W43" s="743"/>
      <c r="Z43" s="48" t="s">
        <v>19</v>
      </c>
      <c r="AA43" s="329">
        <f>AA42*0.434</f>
        <v>0</v>
      </c>
      <c r="AB43" s="621"/>
      <c r="AC43" s="330">
        <f>SUM(AB40:AB43)</f>
        <v>70</v>
      </c>
      <c r="AD43" s="51">
        <f ca="1">(AC43/100)^2*AA35</f>
        <v>17.149999999999999</v>
      </c>
      <c r="AE43" s="746">
        <f ca="1">(AB44/100)^2*AA36</f>
        <v>2.5000000000000004</v>
      </c>
      <c r="AF43" s="623"/>
    </row>
    <row r="44" spans="1:32" ht="15.6" customHeight="1" thickBot="1" x14ac:dyDescent="0.35">
      <c r="A44" s="1"/>
      <c r="B44" s="79" t="s">
        <v>21</v>
      </c>
      <c r="C44" s="666"/>
      <c r="D44" s="62">
        <f>C43+D43</f>
        <v>50</v>
      </c>
      <c r="E44" s="321">
        <f ca="1">(D44/100)^2*B34</f>
        <v>8.75</v>
      </c>
      <c r="F44" s="638">
        <f ca="1">((C45/100)^2)*B35</f>
        <v>2.5000000000000004</v>
      </c>
      <c r="G44" s="670"/>
      <c r="I44" s="1"/>
      <c r="J44" s="79" t="s">
        <v>21</v>
      </c>
      <c r="K44" s="668"/>
      <c r="L44" s="59">
        <f>K43+L43</f>
        <v>90</v>
      </c>
      <c r="M44" s="58">
        <f ca="1">(L44/100)^2*J34</f>
        <v>28.35</v>
      </c>
      <c r="N44" s="637">
        <f ca="1">((K45/100)^2)*J35</f>
        <v>2.5000000000000004</v>
      </c>
      <c r="O44" s="670"/>
      <c r="P44" s="318"/>
      <c r="Q44" s="1"/>
      <c r="S44" s="666">
        <f>R46</f>
        <v>10</v>
      </c>
      <c r="T44" s="77">
        <f>SUM(S40:S43)/2</f>
        <v>35</v>
      </c>
      <c r="U44" s="58">
        <f ca="1">(T44/100)^2*R35</f>
        <v>4.2874999999999996</v>
      </c>
      <c r="V44" s="747"/>
      <c r="W44" s="744" t="s">
        <v>20</v>
      </c>
      <c r="Z44" s="1"/>
      <c r="AB44" s="621">
        <f>AA46</f>
        <v>10</v>
      </c>
      <c r="AC44" s="63">
        <f>SUM(AB40:AB43)</f>
        <v>70</v>
      </c>
      <c r="AD44" s="58">
        <f ca="1">(AC44/100)^2*AA35</f>
        <v>17.149999999999999</v>
      </c>
      <c r="AE44" s="747"/>
      <c r="AF44" s="744" t="s">
        <v>20</v>
      </c>
    </row>
    <row r="45" spans="1:32" ht="15.6" customHeight="1" thickBot="1" x14ac:dyDescent="0.35">
      <c r="A45" s="48" t="s">
        <v>13</v>
      </c>
      <c r="B45" s="82">
        <f>B13</f>
        <v>10</v>
      </c>
      <c r="C45" s="673">
        <f>B45</f>
        <v>10</v>
      </c>
      <c r="D45" s="67">
        <f>C43+D43</f>
        <v>50</v>
      </c>
      <c r="E45" s="324">
        <f ca="1">(D45/100)^2*B34</f>
        <v>8.75</v>
      </c>
      <c r="F45" s="682"/>
      <c r="G45" s="731" t="s">
        <v>18</v>
      </c>
      <c r="I45" s="48" t="s">
        <v>13</v>
      </c>
      <c r="J45" s="82">
        <f>J13</f>
        <v>10</v>
      </c>
      <c r="K45" s="621">
        <f>J45</f>
        <v>10</v>
      </c>
      <c r="L45" s="325">
        <f>K43+L43</f>
        <v>90</v>
      </c>
      <c r="M45" s="43">
        <f ca="1">(L45/100)^2*J34</f>
        <v>28.35</v>
      </c>
      <c r="N45" s="682"/>
      <c r="O45" s="733" t="s">
        <v>18</v>
      </c>
      <c r="P45" s="318"/>
      <c r="Q45" s="1"/>
      <c r="R45" s="79" t="s">
        <v>21</v>
      </c>
      <c r="S45" s="666"/>
      <c r="T45" s="63">
        <f>T44+S44</f>
        <v>45</v>
      </c>
      <c r="U45" s="58">
        <f ca="1">(T45/100)^2*R35</f>
        <v>7.0875000000000004</v>
      </c>
      <c r="V45" s="734">
        <f ca="1">(S46/100)^2*R36</f>
        <v>2.5000000000000004</v>
      </c>
      <c r="W45" s="744"/>
      <c r="Z45" s="1"/>
      <c r="AA45" s="79" t="s">
        <v>21</v>
      </c>
      <c r="AB45" s="621"/>
      <c r="AC45" s="60">
        <f>AC44+AB44</f>
        <v>80</v>
      </c>
      <c r="AD45" s="58">
        <f ca="1">(AC45/100)^2*AA35</f>
        <v>22.400000000000006</v>
      </c>
      <c r="AE45" s="734">
        <f ca="1">(AB46/100)^2*AA36</f>
        <v>2.5000000000000004</v>
      </c>
      <c r="AF45" s="744"/>
    </row>
    <row r="46" spans="1:32" ht="15.6" customHeight="1" thickBot="1" x14ac:dyDescent="0.35">
      <c r="A46" s="1"/>
      <c r="C46" s="673"/>
      <c r="D46" s="331">
        <f>SUM(C36:C46)/2</f>
        <v>50</v>
      </c>
      <c r="E46" s="327">
        <f ca="1">(D46/100)^2*B34</f>
        <v>8.75</v>
      </c>
      <c r="F46" s="677">
        <f ca="1">((C47/100)^2)*B35</f>
        <v>2.5000000000000004</v>
      </c>
      <c r="G46" s="732"/>
      <c r="I46" s="1"/>
      <c r="K46" s="621"/>
      <c r="L46" s="326">
        <f>SUM(K36:K46)</f>
        <v>100</v>
      </c>
      <c r="M46" s="51">
        <f ca="1">(L46/100)^2*J34</f>
        <v>35</v>
      </c>
      <c r="N46" s="677">
        <f ca="1">((K47/100)^2)*J35</f>
        <v>2.5000000000000004</v>
      </c>
      <c r="O46" s="636"/>
      <c r="P46" s="318"/>
      <c r="Q46" s="48" t="s">
        <v>13</v>
      </c>
      <c r="R46" s="82">
        <f>B13</f>
        <v>10</v>
      </c>
      <c r="S46" s="673">
        <f>R46</f>
        <v>10</v>
      </c>
      <c r="T46" s="83">
        <f>T44+S44</f>
        <v>45</v>
      </c>
      <c r="U46" s="84">
        <f ca="1">(T46/100)^2*R35</f>
        <v>7.0875000000000004</v>
      </c>
      <c r="V46" s="735"/>
      <c r="W46" s="727" t="s">
        <v>23</v>
      </c>
      <c r="Z46" s="48" t="s">
        <v>13</v>
      </c>
      <c r="AA46" s="82">
        <f>B13</f>
        <v>10</v>
      </c>
      <c r="AB46" s="621">
        <f>AA46</f>
        <v>10</v>
      </c>
      <c r="AC46" s="332">
        <f>AC44+AB44</f>
        <v>80</v>
      </c>
      <c r="AD46" s="84">
        <f ca="1">(AC46/100)^2*AA35</f>
        <v>22.400000000000006</v>
      </c>
      <c r="AE46" s="736"/>
      <c r="AF46" s="727" t="s">
        <v>23</v>
      </c>
    </row>
    <row r="47" spans="1:32" ht="15.6" customHeight="1" thickBot="1" x14ac:dyDescent="0.35">
      <c r="A47" s="1"/>
      <c r="B47" s="90" t="s">
        <v>24</v>
      </c>
      <c r="C47" s="666">
        <f>B45</f>
        <v>10</v>
      </c>
      <c r="D47" s="333">
        <f>SUM(C36:C46)/2</f>
        <v>50</v>
      </c>
      <c r="E47" s="321">
        <f ca="1">(D47/100)^2*B34</f>
        <v>8.75</v>
      </c>
      <c r="F47" s="696"/>
      <c r="G47" s="669" t="s">
        <v>20</v>
      </c>
      <c r="I47" s="1"/>
      <c r="J47" s="90" t="s">
        <v>24</v>
      </c>
      <c r="K47" s="668">
        <f>J45</f>
        <v>10</v>
      </c>
      <c r="L47" s="62">
        <f>SUM(K36:K46)</f>
        <v>100</v>
      </c>
      <c r="M47" s="58">
        <f ca="1">(L47/100)^2*J34</f>
        <v>35</v>
      </c>
      <c r="N47" s="678"/>
      <c r="O47" s="669" t="s">
        <v>20</v>
      </c>
      <c r="P47" s="318"/>
      <c r="Q47" s="1"/>
      <c r="R47" s="334"/>
      <c r="S47" s="673"/>
      <c r="T47" s="335">
        <f>T46+S46</f>
        <v>55</v>
      </c>
      <c r="U47" s="336">
        <f ca="1">(T47/100)^2*R35</f>
        <v>10.587500000000002</v>
      </c>
      <c r="V47" s="729">
        <v>0</v>
      </c>
      <c r="W47" s="728"/>
      <c r="Z47" s="1"/>
      <c r="AB47" s="621"/>
      <c r="AC47" s="337">
        <f>AC46+AB46</f>
        <v>90</v>
      </c>
      <c r="AD47" s="336">
        <f ca="1">(AC47/100)^2*AA35</f>
        <v>28.35</v>
      </c>
      <c r="AE47" s="737">
        <v>0</v>
      </c>
      <c r="AF47" s="728"/>
    </row>
    <row r="48" spans="1:32" ht="15.6" customHeight="1" thickBot="1" x14ac:dyDescent="0.35">
      <c r="A48" s="48" t="s">
        <v>19</v>
      </c>
      <c r="B48" s="98">
        <f>B16</f>
        <v>100</v>
      </c>
      <c r="C48" s="666"/>
      <c r="D48" s="333">
        <f>D47+C47</f>
        <v>60</v>
      </c>
      <c r="E48" s="321">
        <f ca="1">(D48/100)^2*B34</f>
        <v>12.6</v>
      </c>
      <c r="F48" s="638">
        <f ca="1">((C49/100)^2)*B35</f>
        <v>2.5000000000000004</v>
      </c>
      <c r="G48" s="670"/>
      <c r="I48" s="48" t="s">
        <v>19</v>
      </c>
      <c r="J48" s="98">
        <f>B16</f>
        <v>100</v>
      </c>
      <c r="K48" s="668"/>
      <c r="L48" s="59">
        <f>L47+K47</f>
        <v>110</v>
      </c>
      <c r="M48" s="58">
        <f ca="1">(L48/100)^2*J34</f>
        <v>42.350000000000009</v>
      </c>
      <c r="N48" s="637">
        <f ca="1">((K49/100)^2)*J35</f>
        <v>2.5000000000000004</v>
      </c>
      <c r="O48" s="670"/>
      <c r="P48" s="318"/>
      <c r="Q48" s="1"/>
      <c r="R48" s="338" t="s">
        <v>24</v>
      </c>
      <c r="S48" s="95"/>
      <c r="T48" s="339">
        <f>T46+S46</f>
        <v>55</v>
      </c>
      <c r="U48" s="340">
        <f ca="1">(T48/100)^2*R35</f>
        <v>10.587500000000002</v>
      </c>
      <c r="V48" s="730"/>
      <c r="W48" s="629">
        <v>0</v>
      </c>
      <c r="Y48" s="15"/>
      <c r="AA48" s="90" t="s">
        <v>24</v>
      </c>
      <c r="AB48" s="341"/>
      <c r="AC48" s="342">
        <f>AC46+AB46</f>
        <v>90</v>
      </c>
      <c r="AD48" s="340">
        <f ca="1">(AC48/100)^2*AA35</f>
        <v>28.35</v>
      </c>
      <c r="AE48" s="738"/>
      <c r="AF48" s="629">
        <v>0</v>
      </c>
    </row>
    <row r="49" spans="1:33" ht="15.6" customHeight="1" thickTop="1" thickBot="1" x14ac:dyDescent="0.4">
      <c r="A49" s="111"/>
      <c r="B49" s="112"/>
      <c r="C49" s="673">
        <f>B45</f>
        <v>10</v>
      </c>
      <c r="D49" s="343">
        <f>D47+C47</f>
        <v>60</v>
      </c>
      <c r="E49" s="344">
        <f ca="1">(D49/100)^2*B34</f>
        <v>12.6</v>
      </c>
      <c r="F49" s="638"/>
      <c r="G49" s="635" t="s">
        <v>23</v>
      </c>
      <c r="I49" s="111"/>
      <c r="J49" s="345"/>
      <c r="K49" s="621">
        <f>J45</f>
        <v>10</v>
      </c>
      <c r="L49" s="346">
        <f>L47+K47</f>
        <v>110</v>
      </c>
      <c r="M49" s="84">
        <f ca="1">(L49/100)^2*J34</f>
        <v>42.350000000000009</v>
      </c>
      <c r="N49" s="638"/>
      <c r="O49" s="635" t="s">
        <v>23</v>
      </c>
      <c r="P49" s="318"/>
      <c r="Q49" s="347" t="s">
        <v>19</v>
      </c>
      <c r="R49" s="348">
        <f>B16</f>
        <v>100</v>
      </c>
      <c r="S49" s="349" t="s">
        <v>25</v>
      </c>
      <c r="T49" s="164" t="s">
        <v>26</v>
      </c>
      <c r="U49" s="350">
        <f ca="1">SUM(U41:U48)</f>
        <v>69.125</v>
      </c>
      <c r="V49" s="104">
        <f ca="1">SUM(V40:V48)</f>
        <v>7.5000000000000018</v>
      </c>
      <c r="W49" s="739"/>
      <c r="Y49" s="15"/>
      <c r="Z49" s="351"/>
      <c r="AA49" s="348">
        <f>B16</f>
        <v>100</v>
      </c>
      <c r="AB49" s="352" t="s">
        <v>27</v>
      </c>
      <c r="AC49" s="108" t="s">
        <v>26</v>
      </c>
      <c r="AD49" s="353">
        <f ca="1">SUM(AD41:AD48)</f>
        <v>161</v>
      </c>
      <c r="AE49" s="354">
        <f ca="1">SUM(AE40:AE48)</f>
        <v>7.5000000000000018</v>
      </c>
      <c r="AF49" s="630"/>
      <c r="AG49" s="351"/>
    </row>
    <row r="50" spans="1:33" ht="15.6" customHeight="1" thickTop="1" thickBot="1" x14ac:dyDescent="0.4">
      <c r="A50" s="722" t="s">
        <v>29</v>
      </c>
      <c r="B50" s="723"/>
      <c r="C50" s="673"/>
      <c r="D50" s="124">
        <f>D49+C49</f>
        <v>70</v>
      </c>
      <c r="E50" s="87">
        <f ca="1">(D50/100)^2*B34</f>
        <v>17.149999999999999</v>
      </c>
      <c r="F50" s="685">
        <v>0</v>
      </c>
      <c r="G50" s="635"/>
      <c r="I50" s="722" t="s">
        <v>29</v>
      </c>
      <c r="J50" s="723"/>
      <c r="K50" s="621"/>
      <c r="L50" s="124">
        <f>L49+K49</f>
        <v>120</v>
      </c>
      <c r="M50" s="87">
        <f ca="1">(L50/100)^2*J34</f>
        <v>50.4</v>
      </c>
      <c r="N50" s="685">
        <v>0</v>
      </c>
      <c r="O50" s="635"/>
      <c r="P50" s="318"/>
      <c r="Q50" s="355"/>
      <c r="R50" s="356"/>
      <c r="S50" s="357"/>
      <c r="T50" s="358"/>
      <c r="U50" s="359"/>
      <c r="V50" s="38"/>
      <c r="W50" s="7"/>
      <c r="AA50" s="5"/>
      <c r="AB50" s="360"/>
      <c r="AC50" s="361"/>
      <c r="AD50" s="362"/>
      <c r="AE50" s="38"/>
      <c r="AF50" s="363"/>
      <c r="AG50" s="5"/>
    </row>
    <row r="51" spans="1:33" ht="15.6" customHeight="1" thickTop="1" thickBot="1" x14ac:dyDescent="0.4">
      <c r="A51" s="139" t="s">
        <v>33</v>
      </c>
      <c r="B51" s="136" t="s">
        <v>34</v>
      </c>
      <c r="C51" s="364"/>
      <c r="D51" s="141">
        <f>D49+C49</f>
        <v>70</v>
      </c>
      <c r="E51" s="96">
        <f ca="1">(D51/100)^2*B34</f>
        <v>17.149999999999999</v>
      </c>
      <c r="F51" s="724"/>
      <c r="G51" s="725">
        <v>0</v>
      </c>
      <c r="I51" s="139" t="s">
        <v>33</v>
      </c>
      <c r="J51" s="136" t="s">
        <v>34</v>
      </c>
      <c r="K51" s="341"/>
      <c r="L51" s="141">
        <f>L49+K49</f>
        <v>120</v>
      </c>
      <c r="M51" s="96">
        <f ca="1">(L51/100)^2*J34</f>
        <v>50.4</v>
      </c>
      <c r="N51" s="724"/>
      <c r="O51" s="725">
        <v>0</v>
      </c>
      <c r="P51" s="365"/>
      <c r="Q51" s="626">
        <f>SUM(S40:S47)</f>
        <v>90</v>
      </c>
      <c r="R51" s="182"/>
      <c r="S51" s="183"/>
      <c r="T51" s="38"/>
      <c r="U51" s="183"/>
      <c r="AA51" s="119"/>
      <c r="AB51" s="718">
        <f>SUM(AB40:AB47)</f>
        <v>90</v>
      </c>
      <c r="AC51" s="182"/>
      <c r="AD51" s="183"/>
      <c r="AE51" s="38"/>
      <c r="AG51" s="366"/>
    </row>
    <row r="52" spans="1:33" ht="15.6" customHeight="1" thickTop="1" thickBot="1" x14ac:dyDescent="0.4">
      <c r="A52" s="161">
        <f ca="1">B52-50</f>
        <v>230.2</v>
      </c>
      <c r="B52" s="162">
        <f ca="1">E52+F52+B48+B42</f>
        <v>280.2</v>
      </c>
      <c r="C52" s="367" t="s">
        <v>25</v>
      </c>
      <c r="D52" s="102" t="s">
        <v>26</v>
      </c>
      <c r="E52" s="368">
        <f ca="1">SUM(E37:E51)</f>
        <v>165.2</v>
      </c>
      <c r="F52" s="369">
        <f ca="1">SUM(F37:F51)</f>
        <v>15.000000000000002</v>
      </c>
      <c r="G52" s="726"/>
      <c r="I52" s="370">
        <f ca="1">J52-50</f>
        <v>481.5</v>
      </c>
      <c r="J52" s="371">
        <f ca="1">M52+N52+J48+J42</f>
        <v>531.5</v>
      </c>
      <c r="K52" s="372" t="s">
        <v>27</v>
      </c>
      <c r="L52" s="164" t="s">
        <v>26</v>
      </c>
      <c r="M52" s="368">
        <f ca="1">SUM(M37:M51)</f>
        <v>416.5</v>
      </c>
      <c r="N52" s="373">
        <f ca="1">SUM(N37:N51)</f>
        <v>15.000000000000002</v>
      </c>
      <c r="O52" s="726"/>
      <c r="P52" s="365"/>
      <c r="Q52" s="717"/>
      <c r="R52" s="374">
        <v>700</v>
      </c>
      <c r="S52" s="206">
        <v>800</v>
      </c>
      <c r="T52" s="201" t="s">
        <v>30</v>
      </c>
      <c r="U52" s="128">
        <v>800</v>
      </c>
      <c r="V52" s="375" t="s">
        <v>31</v>
      </c>
      <c r="Y52" s="130" t="s">
        <v>32</v>
      </c>
      <c r="AA52" s="119"/>
      <c r="AB52" s="628"/>
      <c r="AC52" s="376">
        <v>700</v>
      </c>
      <c r="AD52" s="200">
        <v>800</v>
      </c>
      <c r="AE52" s="377" t="s">
        <v>30</v>
      </c>
      <c r="AF52" s="378">
        <f>U52</f>
        <v>800</v>
      </c>
      <c r="AG52" s="379" t="s">
        <v>31</v>
      </c>
    </row>
    <row r="53" spans="1:33" ht="15.6" customHeight="1" thickBot="1" x14ac:dyDescent="0.4">
      <c r="A53" s="380"/>
      <c r="B53" s="381"/>
      <c r="C53" s="357"/>
      <c r="D53" s="358"/>
      <c r="E53" s="382"/>
      <c r="F53" s="383"/>
      <c r="G53" s="384"/>
      <c r="I53" s="385"/>
      <c r="J53" s="386"/>
      <c r="K53" s="387"/>
      <c r="L53" s="358"/>
      <c r="M53" s="382"/>
      <c r="N53" s="383"/>
      <c r="O53" s="384"/>
      <c r="P53" s="388"/>
      <c r="Q53" s="389" t="s">
        <v>35</v>
      </c>
      <c r="R53" s="144" t="s">
        <v>36</v>
      </c>
      <c r="S53" s="152" t="s">
        <v>36</v>
      </c>
      <c r="T53" s="146" t="s">
        <v>37</v>
      </c>
      <c r="U53" s="390" t="s">
        <v>38</v>
      </c>
      <c r="V53" s="391" t="s">
        <v>39</v>
      </c>
      <c r="W53" s="392" t="s">
        <v>40</v>
      </c>
      <c r="X53" s="393" t="s">
        <v>46</v>
      </c>
      <c r="Y53" s="151" t="s">
        <v>50</v>
      </c>
      <c r="AA53" s="119"/>
      <c r="AB53" s="394" t="s">
        <v>35</v>
      </c>
      <c r="AC53" s="395" t="s">
        <v>36</v>
      </c>
      <c r="AD53" s="152" t="s">
        <v>36</v>
      </c>
      <c r="AE53" s="216" t="s">
        <v>37</v>
      </c>
      <c r="AF53" s="396" t="s">
        <v>38</v>
      </c>
      <c r="AG53" s="148" t="s">
        <v>39</v>
      </c>
    </row>
    <row r="54" spans="1:33" ht="15.6" customHeight="1" thickTop="1" thickBot="1" x14ac:dyDescent="0.35">
      <c r="A54" s="626">
        <f>SUM(C37:C51)</f>
        <v>120</v>
      </c>
      <c r="B54" s="182"/>
      <c r="C54" s="183"/>
      <c r="D54" s="112"/>
      <c r="I54" s="186"/>
      <c r="J54" s="119"/>
      <c r="K54" s="626">
        <f>SUM(K37:K51)</f>
        <v>120</v>
      </c>
      <c r="L54" s="182"/>
      <c r="M54" s="183"/>
      <c r="O54" s="188"/>
      <c r="P54" s="397"/>
      <c r="Q54" s="398">
        <v>3</v>
      </c>
      <c r="R54" s="399">
        <f ca="1">S54-(R39/100)^2*R35</f>
        <v>164.02500000000001</v>
      </c>
      <c r="S54" s="400">
        <f ca="1">R49+U49+(Q54*((R46/100)^2*R36))+R43+AP19</f>
        <v>176.625</v>
      </c>
      <c r="T54" s="401">
        <f ca="1">IF(U52=S52,(400-S54),(400-R54))</f>
        <v>223.375</v>
      </c>
      <c r="U54" s="225">
        <f ca="1">(400-S54)/0.434</f>
        <v>514.68894009216592</v>
      </c>
      <c r="V54" s="260">
        <f ca="1">U54/U52</f>
        <v>0.64336117511520741</v>
      </c>
      <c r="W54" s="232">
        <f t="shared" ref="W54:X57" ca="1" si="4">U54-AF54</f>
        <v>211.69354838709677</v>
      </c>
      <c r="X54" s="402">
        <f t="shared" ca="1" si="4"/>
        <v>0.26461693548387094</v>
      </c>
      <c r="Y54" s="175" t="s">
        <v>51</v>
      </c>
      <c r="AA54" s="119"/>
      <c r="AB54" s="403">
        <v>3</v>
      </c>
      <c r="AC54" s="404">
        <f ca="1">AD54-(AA39/100)^2*AA35</f>
        <v>255.9</v>
      </c>
      <c r="AD54" s="405">
        <f ca="1">AA49+AD49+(AB54*((AA46/100)^2*AA36))+AA43</f>
        <v>268.5</v>
      </c>
      <c r="AE54" s="406">
        <f ca="1">IF(AF52=AD52,(400-AD54),(400-AC54))</f>
        <v>131.5</v>
      </c>
      <c r="AF54" s="193">
        <f ca="1">(400-AD54)/0.434</f>
        <v>302.99539170506915</v>
      </c>
      <c r="AG54" s="194">
        <f ca="1">AF54/AF52</f>
        <v>0.37874423963133647</v>
      </c>
    </row>
    <row r="55" spans="1:33" ht="15.6" customHeight="1" thickTop="1" thickBot="1" x14ac:dyDescent="0.35">
      <c r="A55" s="627"/>
      <c r="B55" s="205">
        <v>1300</v>
      </c>
      <c r="C55" s="200">
        <v>1400</v>
      </c>
      <c r="D55" s="201" t="s">
        <v>30</v>
      </c>
      <c r="E55" s="128">
        <v>1400</v>
      </c>
      <c r="F55" s="202" t="s">
        <v>31</v>
      </c>
      <c r="G55" s="203"/>
      <c r="I55" s="407" t="s">
        <v>44</v>
      </c>
      <c r="J55" s="204"/>
      <c r="K55" s="719"/>
      <c r="L55" s="408">
        <v>1300</v>
      </c>
      <c r="M55" s="409">
        <v>1400</v>
      </c>
      <c r="N55" s="410" t="s">
        <v>30</v>
      </c>
      <c r="O55" s="845">
        <f>E55</f>
        <v>1400</v>
      </c>
      <c r="P55" s="411" t="s">
        <v>31</v>
      </c>
      <c r="Q55" s="412">
        <v>2</v>
      </c>
      <c r="R55" s="209">
        <f ca="1">S55-(R39/100)^2*R35</f>
        <v>154.52500000000001</v>
      </c>
      <c r="S55" s="280">
        <f ca="1">R49+(SUM(U41:U46)+(2*U46)+(Q55*((R46/100)^2*R36))+R43)</f>
        <v>167.125</v>
      </c>
      <c r="T55" s="259">
        <f ca="1">IF(U52=S52,(400-S55),(400-R55))</f>
        <v>232.875</v>
      </c>
      <c r="U55" s="214">
        <f ca="1">(400-S55)/0.434</f>
        <v>536.57834101382491</v>
      </c>
      <c r="V55" s="231">
        <f ca="1">U55/U52</f>
        <v>0.67072292626728114</v>
      </c>
      <c r="W55" s="232">
        <f t="shared" ca="1" si="4"/>
        <v>200.4032258064517</v>
      </c>
      <c r="X55" s="402">
        <f t="shared" ca="1" si="4"/>
        <v>0.25050403225806461</v>
      </c>
      <c r="Y55" s="195"/>
      <c r="AA55" s="119"/>
      <c r="AB55" s="176">
        <v>2</v>
      </c>
      <c r="AC55" s="212">
        <f ca="1">AD55-(AA39/100)^2*AA35</f>
        <v>241.50000000000003</v>
      </c>
      <c r="AD55" s="213">
        <f ca="1">AA49+(SUM(AD41:AD46)+(2*AD46)+(AB55*((AA46/100)^2*AA36))+AA43)</f>
        <v>254.10000000000002</v>
      </c>
      <c r="AE55" s="413">
        <f ca="1">IF(AF52=AD52,(400-AD55),(400-AC55))</f>
        <v>145.89999999999998</v>
      </c>
      <c r="AF55" s="171">
        <f ca="1">(400-AD55)/0.434</f>
        <v>336.17511520737321</v>
      </c>
      <c r="AG55" s="172">
        <f ca="1">AF55/AF52</f>
        <v>0.42021889400921653</v>
      </c>
    </row>
    <row r="56" spans="1:33" ht="15.6" customHeight="1" thickBot="1" x14ac:dyDescent="0.35">
      <c r="A56" s="414" t="s">
        <v>35</v>
      </c>
      <c r="B56" s="28" t="s">
        <v>36</v>
      </c>
      <c r="C56" s="152" t="s">
        <v>36</v>
      </c>
      <c r="D56" s="146" t="s">
        <v>37</v>
      </c>
      <c r="E56" s="217" t="s">
        <v>38</v>
      </c>
      <c r="F56" s="218" t="s">
        <v>45</v>
      </c>
      <c r="G56" s="415" t="s">
        <v>40</v>
      </c>
      <c r="H56" s="416" t="s">
        <v>46</v>
      </c>
      <c r="I56" s="221" t="s">
        <v>52</v>
      </c>
      <c r="J56" s="119"/>
      <c r="K56" s="417" t="s">
        <v>35</v>
      </c>
      <c r="L56" s="418" t="s">
        <v>36</v>
      </c>
      <c r="M56" s="152" t="s">
        <v>36</v>
      </c>
      <c r="N56" s="146" t="s">
        <v>37</v>
      </c>
      <c r="O56" s="419" t="s">
        <v>38</v>
      </c>
      <c r="P56" s="420" t="s">
        <v>45</v>
      </c>
      <c r="Q56" s="421">
        <v>1</v>
      </c>
      <c r="R56" s="190">
        <f ca="1">S56-(R39/100)^2*R35</f>
        <v>140.82500000000002</v>
      </c>
      <c r="S56" s="422">
        <f ca="1">R49+(SUM(U41:U42)+(6*U44)+(Q56*((R46/100)^2*R36))+R43)</f>
        <v>153.42500000000001</v>
      </c>
      <c r="T56" s="230">
        <f ca="1">IF(U52=S52,(400-S56),(400-R56))</f>
        <v>246.57499999999999</v>
      </c>
      <c r="U56" s="225">
        <f ca="1">(400-S56)/0.434</f>
        <v>568.14516129032256</v>
      </c>
      <c r="V56" s="260">
        <f ca="1">U56/U52</f>
        <v>0.71018145161290325</v>
      </c>
      <c r="W56" s="232">
        <f t="shared" ca="1" si="4"/>
        <v>177.82258064516128</v>
      </c>
      <c r="X56" s="402">
        <f t="shared" ca="1" si="4"/>
        <v>0.22227822580645162</v>
      </c>
      <c r="Y56" s="195"/>
      <c r="AA56" s="119"/>
      <c r="AB56" s="196">
        <v>1</v>
      </c>
      <c r="AC56" s="190">
        <f ca="1">AD56-(AA39/100)^2*AA35</f>
        <v>218</v>
      </c>
      <c r="AD56" s="422">
        <f ca="1">AA49+(SUM(AD41:AD44)+(4*AD44)+(AB56*((AA46/100)^2*AA36))+AA43)</f>
        <v>230.6</v>
      </c>
      <c r="AE56" s="406">
        <f ca="1">IF(AF52=AD52,(400-AD56),(400-AC56))</f>
        <v>169.4</v>
      </c>
      <c r="AF56" s="193">
        <f ca="1">(400-AD56)/0.434</f>
        <v>390.32258064516128</v>
      </c>
      <c r="AG56" s="194">
        <f ca="1">AF56/AF52</f>
        <v>0.48790322580645162</v>
      </c>
    </row>
    <row r="57" spans="1:33" ht="15.6" customHeight="1" thickTop="1" thickBot="1" x14ac:dyDescent="0.35">
      <c r="A57" s="423">
        <v>6</v>
      </c>
      <c r="B57" s="424">
        <f ca="1">C57-(B38/100)^2*B34</f>
        <v>267.59999999999997</v>
      </c>
      <c r="C57" s="425">
        <f ca="1">B48+E52+(A57*((B45/100)^2*B35))+B42</f>
        <v>280.2</v>
      </c>
      <c r="D57" s="426">
        <f ca="1">IF(E55=C55,(400-C57),(400-B57))</f>
        <v>119.80000000000001</v>
      </c>
      <c r="E57" s="171">
        <f t="shared" ref="E57:E63" ca="1" si="5">D57/0.434</f>
        <v>276.03686635944706</v>
      </c>
      <c r="F57" s="231">
        <f ca="1">E57/E55</f>
        <v>0.19716919025674789</v>
      </c>
      <c r="G57" s="232">
        <f t="shared" ref="G57:G63" ca="1" si="6">E57-N57</f>
        <v>407.53686635944706</v>
      </c>
      <c r="H57" s="233">
        <f ca="1">F57-P57</f>
        <v>0.41359447004608296</v>
      </c>
      <c r="I57" s="427" t="s">
        <v>53</v>
      </c>
      <c r="J57" s="119"/>
      <c r="K57" s="428">
        <v>6</v>
      </c>
      <c r="L57" s="429">
        <f ca="1">M57-(J38/100)^2*J34</f>
        <v>518.9</v>
      </c>
      <c r="M57" s="236">
        <f ca="1">J48+M52+(K57*((J45/100)^2*J35))+J42</f>
        <v>531.5</v>
      </c>
      <c r="N57" s="430">
        <f ca="1">IF(O55=M55,(400-M57),(400-L57))</f>
        <v>-131.5</v>
      </c>
      <c r="O57" s="431">
        <f t="shared" ref="O57:O63" ca="1" si="7">(400-M57)/0.434</f>
        <v>-302.99539170506915</v>
      </c>
      <c r="P57" s="432">
        <f ca="1">O57/O55</f>
        <v>-0.2164252797893351</v>
      </c>
      <c r="Q57" s="433">
        <v>0</v>
      </c>
      <c r="R57" s="434">
        <f ca="1">S57-(R39/100)^2*R35</f>
        <v>131.5</v>
      </c>
      <c r="S57" s="251">
        <f ca="1">R49+(SUM(U41:U42)+(6*(T42/200)^2*R35)+R43)</f>
        <v>144.1</v>
      </c>
      <c r="T57" s="435">
        <f ca="1">IF(U52=S52,(400-S57),(400-R57))</f>
        <v>255.9</v>
      </c>
      <c r="U57" s="436">
        <f ca="1">(400-S57)/0.434</f>
        <v>589.63133640552996</v>
      </c>
      <c r="V57" s="293">
        <f ca="1">U57/U52</f>
        <v>0.73703917050691248</v>
      </c>
      <c r="W57" s="437">
        <f t="shared" ca="1" si="4"/>
        <v>130.64516129032262</v>
      </c>
      <c r="X57" s="438">
        <f t="shared" ca="1" si="4"/>
        <v>0.16330645161290325</v>
      </c>
      <c r="Y57" s="248"/>
      <c r="AB57" s="249">
        <v>0</v>
      </c>
      <c r="AC57" s="434">
        <f ca="1">AD57-(AA39/100)^2*AA35</f>
        <v>188.20000000000002</v>
      </c>
      <c r="AD57" s="251">
        <f ca="1">AA49+(8*(AA39/100)^2*AA35)+AA43</f>
        <v>200.8</v>
      </c>
      <c r="AE57" s="435">
        <f ca="1">IF(AF52=AD52,(400-AD57),(400-AC57))</f>
        <v>199.2</v>
      </c>
      <c r="AF57" s="439">
        <f ca="1">(400-AD57)/0.434</f>
        <v>458.98617511520735</v>
      </c>
      <c r="AG57" s="254">
        <f ca="1">AF57/AF52</f>
        <v>0.57373271889400923</v>
      </c>
    </row>
    <row r="58" spans="1:33" ht="15.6" customHeight="1" thickBot="1" x14ac:dyDescent="0.35">
      <c r="A58" s="440">
        <v>5</v>
      </c>
      <c r="B58" s="223">
        <f ca="1">C58-(B38/100)^2*B34</f>
        <v>255.99999999999997</v>
      </c>
      <c r="C58" s="224">
        <f ca="1">B48+(SUM(E38:E49)+(2*E49)+(A58*((B45/100)^2*B35))+B42)</f>
        <v>268.59999999999997</v>
      </c>
      <c r="D58" s="259">
        <f ca="1">IF(E55=C55,(400-C58),(400-B58))</f>
        <v>131.40000000000003</v>
      </c>
      <c r="E58" s="193">
        <f t="shared" ca="1" si="5"/>
        <v>302.76497695852544</v>
      </c>
      <c r="F58" s="260">
        <f ca="1">E58/E55</f>
        <v>0.21626069782751817</v>
      </c>
      <c r="G58" s="261">
        <f t="shared" ca="1" si="6"/>
        <v>415.66497695852553</v>
      </c>
      <c r="H58" s="262">
        <f ca="1">F58-P58</f>
        <v>0.40207373271889424</v>
      </c>
      <c r="I58" s="441"/>
      <c r="J58" s="119"/>
      <c r="K58" s="276">
        <v>5</v>
      </c>
      <c r="L58" s="442">
        <f ca="1">M58-(J38/100)^2*J34</f>
        <v>500.30000000000007</v>
      </c>
      <c r="M58" s="266">
        <f ca="1">J48+(SUM(M38:M49)+(2*M49)+(K58*((J45/100)^2*J35))+J42)</f>
        <v>512.90000000000009</v>
      </c>
      <c r="N58" s="443">
        <f ca="1">IF(O55=M55,(400-M58),(400-L58))</f>
        <v>-112.90000000000009</v>
      </c>
      <c r="O58" s="431">
        <f t="shared" ca="1" si="7"/>
        <v>-260.13824884792649</v>
      </c>
      <c r="P58" s="444">
        <f ca="1">O58/O55</f>
        <v>-0.18581303489137607</v>
      </c>
      <c r="V58" s="270"/>
      <c r="W58" s="271"/>
    </row>
    <row r="59" spans="1:33" ht="15.6" customHeight="1" thickBot="1" x14ac:dyDescent="0.35">
      <c r="A59" s="445">
        <v>4</v>
      </c>
      <c r="B59" s="212">
        <f ca="1">C59-(B38/100)^2*B34</f>
        <v>238.1</v>
      </c>
      <c r="C59" s="213">
        <f ca="1">B48+(SUM(E38:E47)+(4*E47)+(A59*((B45/100)^2*B35))+B42)</f>
        <v>250.7</v>
      </c>
      <c r="D59" s="230">
        <f ca="1">IF(E55=C55,(400-C59),(400-B59))</f>
        <v>149.30000000000001</v>
      </c>
      <c r="E59" s="171">
        <f t="shared" ca="1" si="5"/>
        <v>344.00921658986181</v>
      </c>
      <c r="F59" s="231">
        <f ca="1">E59/E55</f>
        <v>0.24572086899275844</v>
      </c>
      <c r="G59" s="261">
        <f t="shared" ca="1" si="6"/>
        <v>425.00921658986181</v>
      </c>
      <c r="H59" s="262">
        <f t="shared" ref="H59:H63" ca="1" si="8">F59-P59</f>
        <v>0.37903225806451618</v>
      </c>
      <c r="I59" s="441"/>
      <c r="J59" s="119"/>
      <c r="K59" s="264">
        <v>4</v>
      </c>
      <c r="L59" s="442">
        <f ca="1">M59-(J38/100)^2*J34</f>
        <v>468.4</v>
      </c>
      <c r="M59" s="266">
        <f ca="1">J48+(SUM(M38:M47)+(4*M46)+(K59*((J45/100)^2*J35))+J42)</f>
        <v>481</v>
      </c>
      <c r="N59" s="443">
        <f ca="1">IF(O55=M55,(400-M59),(400-L59))</f>
        <v>-81</v>
      </c>
      <c r="O59" s="431">
        <f t="shared" ca="1" si="7"/>
        <v>-186.63594470046084</v>
      </c>
      <c r="P59" s="444">
        <f ca="1">O59/O55</f>
        <v>-0.13331138907175774</v>
      </c>
      <c r="S59" s="446"/>
      <c r="T59" s="720" t="s">
        <v>29</v>
      </c>
      <c r="U59" s="721"/>
      <c r="AB59" s="446"/>
      <c r="AC59" s="720" t="s">
        <v>29</v>
      </c>
      <c r="AD59" s="721"/>
    </row>
    <row r="60" spans="1:33" ht="15.6" customHeight="1" thickBot="1" x14ac:dyDescent="0.35">
      <c r="A60" s="440">
        <v>3</v>
      </c>
      <c r="B60" s="223">
        <f ca="1">C60-(B38/100)^2*B34</f>
        <v>225.625</v>
      </c>
      <c r="C60" s="224">
        <f ca="1">B48+(SUM(E38:E45)+(6*(((SUM(C37:C44)/2)/100)^2)*B34)+(A60*((B45/100)^2*B35))+B42)</f>
        <v>238.22499999999999</v>
      </c>
      <c r="D60" s="259">
        <f ca="1">IF(E55=C55,(400-C60),(400-B60))</f>
        <v>161.77500000000001</v>
      </c>
      <c r="E60" s="193">
        <f t="shared" ca="1" si="5"/>
        <v>372.75345622119818</v>
      </c>
      <c r="F60" s="260">
        <f ca="1">E60/E55</f>
        <v>0.26625246872942726</v>
      </c>
      <c r="G60" s="261">
        <f t="shared" ca="1" si="6"/>
        <v>411.3534562211982</v>
      </c>
      <c r="H60" s="262">
        <f t="shared" ca="1" si="8"/>
        <v>0.32978110599078347</v>
      </c>
      <c r="I60" s="441"/>
      <c r="J60" s="119"/>
      <c r="K60" s="276">
        <v>3</v>
      </c>
      <c r="L60" s="442">
        <f ca="1">M60-(J38/100)^2*J34</f>
        <v>426</v>
      </c>
      <c r="M60" s="266">
        <f ca="1">J48+(SUM(M38:M45)+(6*M44)+(K60*((J45/100)^2*J35))+J42)</f>
        <v>438.6</v>
      </c>
      <c r="N60" s="443">
        <f ca="1">IF(O55=M55,(400-M60),(400-L60))</f>
        <v>-38.600000000000023</v>
      </c>
      <c r="O60" s="431">
        <f t="shared" ca="1" si="7"/>
        <v>-88.940092165898676</v>
      </c>
      <c r="P60" s="444">
        <f ca="1">O60/O55</f>
        <v>-6.3528637261356199E-2</v>
      </c>
      <c r="S60" s="446"/>
      <c r="T60" s="447" t="s">
        <v>33</v>
      </c>
      <c r="U60" s="448" t="s">
        <v>34</v>
      </c>
      <c r="AB60" s="446"/>
      <c r="AC60" s="447" t="s">
        <v>33</v>
      </c>
      <c r="AD60" s="448" t="s">
        <v>34</v>
      </c>
    </row>
    <row r="61" spans="1:33" ht="15.6" customHeight="1" thickBot="1" x14ac:dyDescent="0.35">
      <c r="A61" s="445">
        <v>2</v>
      </c>
      <c r="B61" s="209">
        <f ca="1">C61-(B38/100)^2*B34</f>
        <v>207.9</v>
      </c>
      <c r="C61" s="280">
        <f ca="1">B48+(SUM(E38:E41)+(10*(((SUM(C37:C42)/2)/100)^2)*B34)+(A61*((B45/100)^2*B35))+B42)</f>
        <v>220.5</v>
      </c>
      <c r="D61" s="230">
        <f ca="1">IF(E55=C55,(400-C61),(400-B61))</f>
        <v>179.5</v>
      </c>
      <c r="E61" s="171">
        <f t="shared" ca="1" si="5"/>
        <v>413.59447004608296</v>
      </c>
      <c r="F61" s="231">
        <f ca="1">E61/E55</f>
        <v>0.29542462146148785</v>
      </c>
      <c r="G61" s="261">
        <f t="shared" ca="1" si="6"/>
        <v>402.09447004608302</v>
      </c>
      <c r="H61" s="262">
        <f t="shared" ca="1" si="8"/>
        <v>0.2764976958525347</v>
      </c>
      <c r="I61" s="441"/>
      <c r="J61" s="119"/>
      <c r="K61" s="176">
        <v>2</v>
      </c>
      <c r="L61" s="197">
        <f ca="1">M61-(J38/100)^2*J34</f>
        <v>375.90000000000003</v>
      </c>
      <c r="M61" s="198">
        <f ca="1">J48+(SUM(M38:M43)+(8*M42)+(K61*((J45/100)^2*J35))+J42)</f>
        <v>388.50000000000006</v>
      </c>
      <c r="N61" s="230">
        <f ca="1">IF(O55=M55,(400-M61),(400-L61))</f>
        <v>11.499999999999943</v>
      </c>
      <c r="O61" s="449">
        <f t="shared" ca="1" si="7"/>
        <v>26.497695852534431</v>
      </c>
      <c r="P61" s="181">
        <f ca="1">O61/O55</f>
        <v>1.8926925608953166E-2</v>
      </c>
      <c r="S61" s="446"/>
      <c r="T61" s="450">
        <f ca="1">U61-50</f>
        <v>126.625</v>
      </c>
      <c r="U61" s="451">
        <f ca="1">U49+V49+R49+R43</f>
        <v>176.625</v>
      </c>
      <c r="AB61" s="446"/>
      <c r="AC61" s="450">
        <f ca="1">AD61-50</f>
        <v>218.5</v>
      </c>
      <c r="AD61" s="451">
        <f ca="1">AD49+AE49+AA49+AA43</f>
        <v>268.5</v>
      </c>
    </row>
    <row r="62" spans="1:33" ht="15.6" customHeight="1" thickBot="1" x14ac:dyDescent="0.35">
      <c r="A62" s="440">
        <v>1</v>
      </c>
      <c r="B62" s="190">
        <f ca="1">C62-(B38/100)^2*B34</f>
        <v>192.27500000000001</v>
      </c>
      <c r="C62" s="452">
        <f ca="1">B48+(SUM(E38:E41)+(10*(((SUM(C37:C40)/2)/100)^2)*B34)+(A62*((B45/100)^2*B35))+B42)</f>
        <v>204.875</v>
      </c>
      <c r="D62" s="259">
        <f ca="1">IF(E55=C55,(400-C62),(400-B62))</f>
        <v>195.125</v>
      </c>
      <c r="E62" s="290">
        <f t="shared" ca="1" si="5"/>
        <v>449.59677419354841</v>
      </c>
      <c r="F62" s="260">
        <f ca="1">E62/E55</f>
        <v>0.32114055299539174</v>
      </c>
      <c r="G62" s="261">
        <f t="shared" ca="1" si="6"/>
        <v>383.09677419354841</v>
      </c>
      <c r="H62" s="262">
        <f t="shared" ca="1" si="8"/>
        <v>0.21169354838709681</v>
      </c>
      <c r="I62" s="441"/>
      <c r="J62" s="119"/>
      <c r="K62" s="196">
        <v>1</v>
      </c>
      <c r="L62" s="197">
        <f ca="1">M62-(J38/100)^2*J34</f>
        <v>320.89999999999998</v>
      </c>
      <c r="M62" s="198">
        <f ca="1">J48+(SUM(M38:M41)+(10*M40)+(K62*((J45/100)^2*J35))+J42)</f>
        <v>333.5</v>
      </c>
      <c r="N62" s="259">
        <f ca="1">IF(O55=M55,(400-M62),(400-L62))</f>
        <v>66.5</v>
      </c>
      <c r="O62" s="449">
        <f t="shared" ca="1" si="7"/>
        <v>153.2258064516129</v>
      </c>
      <c r="P62" s="181">
        <f ca="1">O62/O55</f>
        <v>0.10944700460829493</v>
      </c>
    </row>
    <row r="63" spans="1:33" ht="15.6" customHeight="1" thickBot="1" x14ac:dyDescent="0.35">
      <c r="A63" s="453">
        <v>0</v>
      </c>
      <c r="B63" s="454">
        <f ca="1">C63-(B38/100)^2*B34</f>
        <v>169.3</v>
      </c>
      <c r="C63" s="455">
        <f ca="1">B48+2*SUM(E38:E39)+(10*((B38/200)^2)*B34)+B42</f>
        <v>181.9</v>
      </c>
      <c r="D63" s="456">
        <f ca="1">IF(E55=C55,(400-C63),(400-B63))</f>
        <v>218.1</v>
      </c>
      <c r="E63" s="457">
        <f t="shared" ca="1" si="5"/>
        <v>502.53456221198155</v>
      </c>
      <c r="F63" s="458">
        <f ca="1">E63/E55</f>
        <v>0.35895325872284395</v>
      </c>
      <c r="G63" s="459">
        <f t="shared" ca="1" si="6"/>
        <v>378.93456221198153</v>
      </c>
      <c r="H63" s="460">
        <f t="shared" ca="1" si="8"/>
        <v>0.15552995391705063</v>
      </c>
      <c r="I63" s="461"/>
      <c r="J63" s="119"/>
      <c r="K63" s="249">
        <v>0</v>
      </c>
      <c r="L63" s="462">
        <f ca="1">M63-(J38/100)^2*J34</f>
        <v>263.79999999999995</v>
      </c>
      <c r="M63" s="463">
        <f ca="1">J48+(14*M39)+J42</f>
        <v>276.39999999999998</v>
      </c>
      <c r="N63" s="464">
        <f ca="1">IF(O55=M55,(400-M63),(400-L63))</f>
        <v>123.60000000000002</v>
      </c>
      <c r="O63" s="465">
        <f t="shared" ca="1" si="7"/>
        <v>284.79262672811063</v>
      </c>
      <c r="P63" s="466">
        <f ca="1">O63/O55</f>
        <v>0.20342330480579332</v>
      </c>
    </row>
    <row r="64" spans="1:33" ht="15.6" customHeight="1" thickTop="1" thickBot="1" x14ac:dyDescent="0.35"/>
    <row r="65" spans="1:33" ht="15.6" customHeight="1" thickBot="1" x14ac:dyDescent="0.35">
      <c r="A65" s="704" t="s">
        <v>0</v>
      </c>
      <c r="B65" s="705"/>
      <c r="C65" s="4"/>
      <c r="D65" s="4"/>
      <c r="E65" s="4"/>
      <c r="F65" s="4"/>
      <c r="G65" s="5"/>
      <c r="I65" s="704" t="s">
        <v>0</v>
      </c>
      <c r="J65" s="705"/>
      <c r="K65" s="4"/>
      <c r="L65" s="4"/>
      <c r="M65" s="4"/>
      <c r="N65" s="4"/>
      <c r="O65" s="4"/>
      <c r="P65" s="5"/>
      <c r="Q65" s="2"/>
      <c r="R65" s="467" t="s">
        <v>10</v>
      </c>
      <c r="S65" s="468"/>
      <c r="T65" s="608">
        <f>R66</f>
        <v>60</v>
      </c>
      <c r="U65" s="470" t="s">
        <v>6</v>
      </c>
      <c r="V65" s="47" t="s">
        <v>7</v>
      </c>
      <c r="W65" s="471" t="s">
        <v>8</v>
      </c>
      <c r="X65" s="706" t="s">
        <v>18</v>
      </c>
      <c r="AE65" s="472"/>
      <c r="AF65" s="472"/>
    </row>
    <row r="66" spans="1:33" ht="15.6" customHeight="1" thickTop="1" thickBot="1" x14ac:dyDescent="0.4">
      <c r="A66" s="13" t="s">
        <v>3</v>
      </c>
      <c r="B66" s="473">
        <f ca="1">B2</f>
        <v>35</v>
      </c>
      <c r="C66" s="34"/>
      <c r="G66" s="15"/>
      <c r="I66" s="13" t="s">
        <v>3</v>
      </c>
      <c r="J66" s="473">
        <f ca="1">J2</f>
        <v>35</v>
      </c>
      <c r="K66" s="34"/>
      <c r="P66" s="15"/>
      <c r="Q66" s="48" t="s">
        <v>13</v>
      </c>
      <c r="R66" s="474">
        <f>B6</f>
        <v>60</v>
      </c>
      <c r="S66" s="356"/>
      <c r="T66" s="475"/>
      <c r="U66" s="75">
        <f>SUM(T65:T66)</f>
        <v>60</v>
      </c>
      <c r="V66" s="51">
        <f ca="1">(U66/100)^2*X79</f>
        <v>12.6</v>
      </c>
      <c r="W66" s="708">
        <f ca="1">(T67/100)^2*X80</f>
        <v>2.5000000000000004</v>
      </c>
      <c r="X66" s="707"/>
      <c r="Z66" s="655" t="s">
        <v>0</v>
      </c>
      <c r="AA66" s="710"/>
      <c r="AB66" s="4"/>
      <c r="AC66" s="4"/>
      <c r="AD66" s="4"/>
      <c r="AG66" s="5"/>
    </row>
    <row r="67" spans="1:33" ht="15.6" customHeight="1" thickBot="1" x14ac:dyDescent="0.4">
      <c r="A67" s="30" t="s">
        <v>5</v>
      </c>
      <c r="B67" s="476">
        <f ca="1">B3</f>
        <v>250</v>
      </c>
      <c r="C67" s="20"/>
      <c r="D67" s="711" t="s">
        <v>1</v>
      </c>
      <c r="E67" s="712"/>
      <c r="F67" s="712"/>
      <c r="G67" s="713"/>
      <c r="I67" s="30" t="s">
        <v>5</v>
      </c>
      <c r="J67" s="476">
        <f ca="1">J3</f>
        <v>250</v>
      </c>
      <c r="K67" s="20"/>
      <c r="L67" s="714" t="s">
        <v>2</v>
      </c>
      <c r="M67" s="714"/>
      <c r="N67" s="714"/>
      <c r="O67" s="714"/>
      <c r="P67" s="312"/>
      <c r="Q67" s="1"/>
      <c r="R67" s="1"/>
      <c r="T67" s="673">
        <f>R73</f>
        <v>10</v>
      </c>
      <c r="U67" s="77">
        <f>SUM(T65:T66)</f>
        <v>60</v>
      </c>
      <c r="V67" s="58">
        <f ca="1">(U67/100)^2*X79</f>
        <v>12.6</v>
      </c>
      <c r="W67" s="709"/>
      <c r="X67" s="715" t="s">
        <v>20</v>
      </c>
      <c r="Z67" s="13" t="s">
        <v>3</v>
      </c>
      <c r="AA67" s="473">
        <f ca="1">B2</f>
        <v>35</v>
      </c>
      <c r="AG67" s="15"/>
    </row>
    <row r="68" spans="1:33" ht="15.6" customHeight="1" thickBot="1" x14ac:dyDescent="0.4">
      <c r="A68" s="1"/>
      <c r="C68" s="9"/>
      <c r="D68" s="38"/>
      <c r="E68" s="38"/>
      <c r="F68" s="17"/>
      <c r="G68" s="314"/>
      <c r="I68" s="1"/>
      <c r="K68" s="9"/>
      <c r="P68" s="15"/>
      <c r="Q68" s="1"/>
      <c r="R68" s="477" t="s">
        <v>16</v>
      </c>
      <c r="S68" s="478"/>
      <c r="T68" s="673"/>
      <c r="U68" s="63">
        <f>U67+T67</f>
        <v>70</v>
      </c>
      <c r="V68" s="58">
        <f ca="1">(U68/100)^2*X79</f>
        <v>17.149999999999999</v>
      </c>
      <c r="W68" s="716">
        <f ca="1">(T69/100)^2*X80</f>
        <v>2.5000000000000004</v>
      </c>
      <c r="X68" s="695"/>
      <c r="Z68" s="30" t="s">
        <v>5</v>
      </c>
      <c r="AA68" s="476">
        <f ca="1">B3</f>
        <v>250</v>
      </c>
      <c r="AG68" s="15"/>
    </row>
    <row r="69" spans="1:33" ht="15.6" customHeight="1" thickBot="1" x14ac:dyDescent="0.35">
      <c r="A69" s="1"/>
      <c r="B69" s="44" t="s">
        <v>10</v>
      </c>
      <c r="C69" s="609">
        <f>B70</f>
        <v>60</v>
      </c>
      <c r="D69" s="470" t="s">
        <v>6</v>
      </c>
      <c r="E69" s="47" t="s">
        <v>7</v>
      </c>
      <c r="F69" s="471" t="s">
        <v>8</v>
      </c>
      <c r="G69" s="699" t="s">
        <v>14</v>
      </c>
      <c r="I69" s="1"/>
      <c r="J69" s="44" t="s">
        <v>10</v>
      </c>
      <c r="K69" s="46">
        <f>C69</f>
        <v>60</v>
      </c>
      <c r="L69" s="470" t="s">
        <v>6</v>
      </c>
      <c r="M69" s="47" t="s">
        <v>7</v>
      </c>
      <c r="N69" s="471" t="s">
        <v>8</v>
      </c>
      <c r="O69" s="699" t="s">
        <v>14</v>
      </c>
      <c r="P69" s="479"/>
      <c r="Q69" s="48" t="s">
        <v>17</v>
      </c>
      <c r="R69" s="480">
        <f>B9</f>
        <v>0</v>
      </c>
      <c r="S69" s="356"/>
      <c r="T69" s="673">
        <f>R73</f>
        <v>10</v>
      </c>
      <c r="U69" s="83">
        <f>U67+T67</f>
        <v>70</v>
      </c>
      <c r="V69" s="84">
        <f ca="1">(U69/100)^2*X79</f>
        <v>17.149999999999999</v>
      </c>
      <c r="W69" s="716"/>
      <c r="X69" s="700" t="s">
        <v>23</v>
      </c>
      <c r="Z69" s="1"/>
      <c r="AB69" s="9"/>
      <c r="AC69" s="38"/>
      <c r="AD69" s="38"/>
      <c r="AE69" s="17"/>
      <c r="AF69" s="17"/>
      <c r="AG69" s="15"/>
    </row>
    <row r="70" spans="1:33" ht="15.6" customHeight="1" thickBot="1" x14ac:dyDescent="0.4">
      <c r="A70" s="48" t="s">
        <v>13</v>
      </c>
      <c r="B70" s="52">
        <f>B6</f>
        <v>60</v>
      </c>
      <c r="C70" s="55"/>
      <c r="D70" s="320">
        <f>C69</f>
        <v>60</v>
      </c>
      <c r="E70" s="58">
        <f ca="1">(D70/100)^2*B66</f>
        <v>12.6</v>
      </c>
      <c r="F70" s="701">
        <f ca="1">(C71/100)^2*B67</f>
        <v>2.5000000000000004</v>
      </c>
      <c r="G70" s="691"/>
      <c r="I70" s="48" t="s">
        <v>13</v>
      </c>
      <c r="J70" s="54">
        <f>J6</f>
        <v>60</v>
      </c>
      <c r="K70" s="55"/>
      <c r="L70" s="320">
        <f>K69</f>
        <v>60</v>
      </c>
      <c r="M70" s="36">
        <f ca="1">(L70/100)^2*J66</f>
        <v>12.6</v>
      </c>
      <c r="N70" s="701">
        <f ca="1">(K71/100)^2*J67</f>
        <v>2.5000000000000004</v>
      </c>
      <c r="O70" s="691"/>
      <c r="P70" s="479"/>
      <c r="Q70" s="48" t="s">
        <v>19</v>
      </c>
      <c r="R70" s="481">
        <f>R69*0.434</f>
        <v>0</v>
      </c>
      <c r="S70" s="322"/>
      <c r="T70" s="673"/>
      <c r="U70" s="86">
        <f>U69+T69</f>
        <v>80</v>
      </c>
      <c r="V70" s="87">
        <f ca="1">(U70/100)^2*X79</f>
        <v>22.400000000000006</v>
      </c>
      <c r="W70" s="702">
        <v>0</v>
      </c>
      <c r="X70" s="700"/>
      <c r="Z70" s="1"/>
      <c r="AA70" s="44" t="s">
        <v>10</v>
      </c>
      <c r="AB70" s="478"/>
      <c r="AC70" s="32">
        <f>AA71</f>
        <v>60</v>
      </c>
      <c r="AD70" s="27" t="s">
        <v>6</v>
      </c>
      <c r="AE70" s="47" t="s">
        <v>7</v>
      </c>
      <c r="AF70" s="28" t="s">
        <v>8</v>
      </c>
      <c r="AG70" s="690" t="s">
        <v>23</v>
      </c>
    </row>
    <row r="71" spans="1:33" ht="15.6" customHeight="1" thickBot="1" x14ac:dyDescent="0.4">
      <c r="A71" s="1"/>
      <c r="C71" s="666">
        <f>B77</f>
        <v>10</v>
      </c>
      <c r="D71" s="45">
        <f>C69</f>
        <v>60</v>
      </c>
      <c r="E71" s="43">
        <f ca="1">(D71/100)^2*B66</f>
        <v>12.6</v>
      </c>
      <c r="F71" s="682"/>
      <c r="G71" s="692" t="s">
        <v>12</v>
      </c>
      <c r="I71" s="1"/>
      <c r="K71" s="668">
        <f>C71</f>
        <v>10</v>
      </c>
      <c r="L71" s="45">
        <f>K69</f>
        <v>60</v>
      </c>
      <c r="M71" s="43">
        <f ca="1">(L71/100)^2*J66</f>
        <v>12.6</v>
      </c>
      <c r="N71" s="682"/>
      <c r="O71" s="693" t="s">
        <v>12</v>
      </c>
      <c r="P71" s="479"/>
      <c r="Q71" s="1"/>
      <c r="R71" s="1"/>
      <c r="U71" s="93">
        <f>U69+T69</f>
        <v>80</v>
      </c>
      <c r="V71" s="96">
        <f ca="1">(U71/100)^2*X79</f>
        <v>22.400000000000006</v>
      </c>
      <c r="W71" s="703"/>
      <c r="X71" s="694" t="s">
        <v>54</v>
      </c>
      <c r="Z71" s="48" t="s">
        <v>13</v>
      </c>
      <c r="AA71" s="54">
        <f>B6</f>
        <v>60</v>
      </c>
      <c r="AB71" s="356"/>
      <c r="AC71" s="9"/>
      <c r="AD71" s="482">
        <f>AC70</f>
        <v>60</v>
      </c>
      <c r="AE71" s="483">
        <f ca="1">(AD71/100)^2*AA67</f>
        <v>12.6</v>
      </c>
      <c r="AF71" s="484">
        <v>0</v>
      </c>
      <c r="AG71" s="691"/>
    </row>
    <row r="72" spans="1:33" ht="15.6" customHeight="1" thickTop="1" thickBot="1" x14ac:dyDescent="0.4">
      <c r="A72" s="1"/>
      <c r="B72" s="22" t="s">
        <v>16</v>
      </c>
      <c r="C72" s="666"/>
      <c r="D72" s="326">
        <f>SUM(C69:C72)/2</f>
        <v>35</v>
      </c>
      <c r="E72" s="51">
        <f ca="1">(D72/100)^2*B66</f>
        <v>4.2874999999999996</v>
      </c>
      <c r="F72" s="677">
        <f ca="1">(C73/100)^2*B67</f>
        <v>2.5000000000000004</v>
      </c>
      <c r="G72" s="675"/>
      <c r="I72" s="1"/>
      <c r="J72" s="22" t="s">
        <v>16</v>
      </c>
      <c r="K72" s="668"/>
      <c r="L72" s="326">
        <f>SUM(K69:K72)</f>
        <v>70</v>
      </c>
      <c r="M72" s="51">
        <f ca="1">(L72/100)^2*J66</f>
        <v>17.149999999999999</v>
      </c>
      <c r="N72" s="677">
        <f ca="1">(K73/100)^2*J67</f>
        <v>2.5000000000000004</v>
      </c>
      <c r="O72" s="670"/>
      <c r="P72" s="479"/>
      <c r="Q72" s="1"/>
      <c r="R72" s="485" t="s">
        <v>21</v>
      </c>
      <c r="S72" s="33"/>
      <c r="T72" s="486" t="s">
        <v>55</v>
      </c>
      <c r="U72" s="487" t="s">
        <v>26</v>
      </c>
      <c r="V72" s="488">
        <f ca="1">SUM(V66:V71)</f>
        <v>104.30000000000001</v>
      </c>
      <c r="W72" s="489">
        <f ca="1">SUM(W66:W71)</f>
        <v>5.0000000000000009</v>
      </c>
      <c r="X72" s="695"/>
      <c r="Z72" s="1"/>
      <c r="AD72" s="482">
        <f>AC70</f>
        <v>60</v>
      </c>
      <c r="AE72" s="490">
        <f ca="1">(AD72/100)^2*AA67</f>
        <v>12.6</v>
      </c>
      <c r="AF72" s="491">
        <v>0</v>
      </c>
      <c r="AG72" s="697" t="s">
        <v>54</v>
      </c>
    </row>
    <row r="73" spans="1:33" ht="15" customHeight="1" thickTop="1" thickBot="1" x14ac:dyDescent="0.4">
      <c r="A73" s="48" t="s">
        <v>17</v>
      </c>
      <c r="B73" s="492">
        <f>B9</f>
        <v>0</v>
      </c>
      <c r="C73" s="666">
        <f>B77</f>
        <v>10</v>
      </c>
      <c r="D73" s="62">
        <f>SUM(C69:C72)/2</f>
        <v>35</v>
      </c>
      <c r="E73" s="58">
        <f ca="1">(D73/100)^2*B66</f>
        <v>4.2874999999999996</v>
      </c>
      <c r="F73" s="696"/>
      <c r="G73" s="679" t="s">
        <v>15</v>
      </c>
      <c r="I73" s="48" t="s">
        <v>17</v>
      </c>
      <c r="J73" s="492">
        <f>J9</f>
        <v>0</v>
      </c>
      <c r="K73" s="668">
        <f>C73</f>
        <v>10</v>
      </c>
      <c r="L73" s="62">
        <f>SUM(K69:K72)</f>
        <v>70</v>
      </c>
      <c r="M73" s="58">
        <f ca="1">(L73/100)^2*J66</f>
        <v>17.149999999999999</v>
      </c>
      <c r="N73" s="678"/>
      <c r="O73" s="635" t="s">
        <v>15</v>
      </c>
      <c r="P73" s="479"/>
      <c r="Q73" s="48" t="s">
        <v>13</v>
      </c>
      <c r="R73" s="493">
        <f>B13</f>
        <v>10</v>
      </c>
      <c r="S73" s="494"/>
      <c r="T73" s="681">
        <f>SUM(T65:T71)</f>
        <v>80</v>
      </c>
      <c r="U73" s="495"/>
      <c r="W73" s="496"/>
      <c r="X73" s="15"/>
      <c r="Z73" s="1"/>
      <c r="AA73" s="22" t="s">
        <v>16</v>
      </c>
      <c r="AB73" s="478"/>
      <c r="AC73" s="486" t="s">
        <v>55</v>
      </c>
      <c r="AD73" s="497" t="s">
        <v>26</v>
      </c>
      <c r="AE73" s="488">
        <f ca="1">SUM(AE71:AE72)</f>
        <v>25.2</v>
      </c>
      <c r="AF73" s="498">
        <f>SUM(AF71:AF72)</f>
        <v>0</v>
      </c>
      <c r="AG73" s="698"/>
    </row>
    <row r="74" spans="1:33" ht="15" customHeight="1" thickTop="1" thickBot="1" x14ac:dyDescent="0.35">
      <c r="A74" s="48" t="s">
        <v>19</v>
      </c>
      <c r="B74" s="73">
        <f>B73*0.434</f>
        <v>0</v>
      </c>
      <c r="C74" s="666"/>
      <c r="D74" s="62">
        <f>C73+D73</f>
        <v>45</v>
      </c>
      <c r="E74" s="58">
        <f ca="1">(D74/100)^2*B66</f>
        <v>7.0875000000000004</v>
      </c>
      <c r="F74" s="638">
        <f ca="1">(C75/100)^2*B67</f>
        <v>2.5000000000000004</v>
      </c>
      <c r="G74" s="680"/>
      <c r="I74" s="48" t="s">
        <v>19</v>
      </c>
      <c r="J74" s="73">
        <f>J73*0.434</f>
        <v>0</v>
      </c>
      <c r="K74" s="668"/>
      <c r="L74" s="59">
        <f>K73+L73</f>
        <v>80</v>
      </c>
      <c r="M74" s="58">
        <f ca="1">(L74/100)^2*J66</f>
        <v>22.400000000000006</v>
      </c>
      <c r="N74" s="637">
        <f ca="1">(K75/100)^2*J67</f>
        <v>2.5000000000000004</v>
      </c>
      <c r="O74" s="636"/>
      <c r="P74" s="479"/>
      <c r="Q74" s="1"/>
      <c r="R74" s="1"/>
      <c r="S74" s="119"/>
      <c r="T74" s="627"/>
      <c r="U74" s="499">
        <v>500</v>
      </c>
      <c r="V74" s="500">
        <v>600</v>
      </c>
      <c r="W74" s="501"/>
      <c r="X74" s="15"/>
      <c r="Y74" s="502"/>
      <c r="Z74" s="48" t="s">
        <v>17</v>
      </c>
      <c r="AA74" s="66">
        <f>B9</f>
        <v>0</v>
      </c>
      <c r="AB74" s="503"/>
      <c r="AC74" s="671">
        <f>SUM(AC70:AC73)</f>
        <v>60</v>
      </c>
      <c r="AD74" s="182"/>
      <c r="AE74" s="183"/>
      <c r="AF74" s="38"/>
      <c r="AG74" s="15"/>
    </row>
    <row r="75" spans="1:33" ht="15" customHeight="1" thickBot="1" x14ac:dyDescent="0.35">
      <c r="A75" s="1"/>
      <c r="C75" s="673">
        <f>B77</f>
        <v>10</v>
      </c>
      <c r="D75" s="67">
        <f>C73+D73</f>
        <v>45</v>
      </c>
      <c r="E75" s="43">
        <f ca="1">(D75/100)^2*B66</f>
        <v>7.0875000000000004</v>
      </c>
      <c r="F75" s="682"/>
      <c r="G75" s="674" t="s">
        <v>18</v>
      </c>
      <c r="I75" s="1"/>
      <c r="K75" s="621">
        <f>C75</f>
        <v>10</v>
      </c>
      <c r="L75" s="325">
        <f>K73+L73</f>
        <v>80</v>
      </c>
      <c r="M75" s="43">
        <f ca="1">(L75/100)^2*J66</f>
        <v>22.400000000000006</v>
      </c>
      <c r="N75" s="682"/>
      <c r="O75" s="676" t="s">
        <v>18</v>
      </c>
      <c r="P75" s="479"/>
      <c r="Q75" s="1"/>
      <c r="R75" s="504" t="s">
        <v>24</v>
      </c>
      <c r="S75" s="505"/>
      <c r="T75" s="144" t="s">
        <v>35</v>
      </c>
      <c r="U75" s="144" t="s">
        <v>36</v>
      </c>
      <c r="V75" s="506" t="s">
        <v>36</v>
      </c>
      <c r="X75" s="15"/>
      <c r="Y75" s="502"/>
      <c r="Z75" s="48" t="s">
        <v>19</v>
      </c>
      <c r="AA75" s="73">
        <f>AA74*0.434</f>
        <v>0</v>
      </c>
      <c r="AB75" s="507"/>
      <c r="AC75" s="672"/>
      <c r="AD75" s="508" t="s">
        <v>56</v>
      </c>
      <c r="AE75" s="509" t="s">
        <v>57</v>
      </c>
      <c r="AG75" s="15"/>
    </row>
    <row r="76" spans="1:33" ht="15" customHeight="1" thickBot="1" x14ac:dyDescent="0.35">
      <c r="A76" s="1"/>
      <c r="B76" s="79" t="s">
        <v>22</v>
      </c>
      <c r="C76" s="673"/>
      <c r="D76" s="331">
        <f>SUM(C69:C76)/2</f>
        <v>45</v>
      </c>
      <c r="E76" s="51">
        <f ca="1">(D76/100)^2*B66</f>
        <v>7.0875000000000004</v>
      </c>
      <c r="F76" s="677">
        <f ca="1">(C77/100)^2*B67</f>
        <v>2.5000000000000004</v>
      </c>
      <c r="G76" s="675"/>
      <c r="I76" s="1"/>
      <c r="J76" s="79" t="s">
        <v>22</v>
      </c>
      <c r="K76" s="621"/>
      <c r="L76" s="326">
        <f>SUM(K69:K76)</f>
        <v>90</v>
      </c>
      <c r="M76" s="51">
        <f ca="1">(L76/100)^2*J66</f>
        <v>28.35</v>
      </c>
      <c r="N76" s="677">
        <f ca="1">(K77/100)^2*J67</f>
        <v>2.5000000000000004</v>
      </c>
      <c r="O76" s="670"/>
      <c r="P76" s="479"/>
      <c r="Q76" s="48" t="s">
        <v>19</v>
      </c>
      <c r="R76" s="510">
        <f>B16</f>
        <v>100</v>
      </c>
      <c r="S76" s="494"/>
      <c r="T76" s="511">
        <v>2</v>
      </c>
      <c r="U76" s="168">
        <f ca="1">V76-(R66/100)^2*X79</f>
        <v>196.70000000000002</v>
      </c>
      <c r="V76" s="169">
        <f ca="1">R76+V72+(T76*((R73/100)^2*X80))+R70</f>
        <v>209.3</v>
      </c>
      <c r="W76" s="512">
        <f ca="1">(400-V76)/0.434</f>
        <v>439.40092165898614</v>
      </c>
      <c r="X76" s="513">
        <f ca="1">W76/V74</f>
        <v>0.73233486943164361</v>
      </c>
      <c r="Y76" s="356"/>
      <c r="Z76" s="1"/>
      <c r="AB76" s="119"/>
      <c r="AC76" s="144" t="s">
        <v>35</v>
      </c>
      <c r="AD76" s="28" t="s">
        <v>36</v>
      </c>
      <c r="AE76" s="145" t="s">
        <v>36</v>
      </c>
      <c r="AG76" s="15"/>
    </row>
    <row r="77" spans="1:33" ht="15" customHeight="1" thickBot="1" x14ac:dyDescent="0.35">
      <c r="A77" s="1"/>
      <c r="B77" s="82">
        <f>B13</f>
        <v>10</v>
      </c>
      <c r="C77" s="673">
        <f>B77</f>
        <v>10</v>
      </c>
      <c r="D77" s="333">
        <f>SUM(C69:C76)/2</f>
        <v>45</v>
      </c>
      <c r="E77" s="58">
        <f ca="1">(D77/100)^2*B66</f>
        <v>7.0875000000000004</v>
      </c>
      <c r="F77" s="678"/>
      <c r="G77" s="679" t="s">
        <v>20</v>
      </c>
      <c r="I77" s="1"/>
      <c r="J77" s="82">
        <f>J13</f>
        <v>10</v>
      </c>
      <c r="K77" s="621">
        <f>C77</f>
        <v>10</v>
      </c>
      <c r="L77" s="62">
        <f>SUM(K69:K76)</f>
        <v>90</v>
      </c>
      <c r="M77" s="58">
        <f ca="1">(L77/100)^2*J66</f>
        <v>28.35</v>
      </c>
      <c r="N77" s="678"/>
      <c r="O77" s="635" t="s">
        <v>20</v>
      </c>
      <c r="P77" s="479"/>
      <c r="Q77" s="1"/>
      <c r="R77" s="1"/>
      <c r="S77" s="514"/>
      <c r="T77" s="515">
        <v>1</v>
      </c>
      <c r="U77" s="190">
        <f ca="1">V77-(R66/100)^2*X79</f>
        <v>183.7</v>
      </c>
      <c r="V77" s="516">
        <f ca="1">R76+(SUM(V66:V69)+(2*V69)+(T77*((R73/100)^2*X80))+R70)</f>
        <v>196.29999999999998</v>
      </c>
      <c r="W77" s="512">
        <f t="shared" ref="W77:W78" ca="1" si="9">(400-V77)/0.434</f>
        <v>469.35483870967744</v>
      </c>
      <c r="X77" s="513">
        <f ca="1">W77/V74</f>
        <v>0.78225806451612911</v>
      </c>
      <c r="Y77" s="381"/>
      <c r="Z77" s="1"/>
      <c r="AA77" s="79" t="s">
        <v>22</v>
      </c>
      <c r="AB77" s="517"/>
      <c r="AC77" s="518">
        <v>0</v>
      </c>
      <c r="AD77" s="519">
        <f ca="1">AE77-(AA71/100)^2*AA67</f>
        <v>112.60000000000001</v>
      </c>
      <c r="AE77" s="520">
        <f ca="1">AA81+(2*((AA71/100)^2)*AA67)+AA75</f>
        <v>125.2</v>
      </c>
      <c r="AG77" s="15"/>
    </row>
    <row r="78" spans="1:33" ht="15" customHeight="1" thickBot="1" x14ac:dyDescent="0.35">
      <c r="A78" s="1"/>
      <c r="C78" s="673"/>
      <c r="D78" s="333">
        <f>D77+C77</f>
        <v>55</v>
      </c>
      <c r="E78" s="58">
        <f ca="1">(D78/100)^2*B66</f>
        <v>10.587500000000002</v>
      </c>
      <c r="F78" s="637">
        <f ca="1">(C79/100)^2*B67</f>
        <v>2.5000000000000004</v>
      </c>
      <c r="G78" s="680"/>
      <c r="I78" s="1"/>
      <c r="K78" s="621"/>
      <c r="L78" s="59">
        <f>L77+K77</f>
        <v>100</v>
      </c>
      <c r="M78" s="58">
        <f ca="1">(L78/100)^2*J66</f>
        <v>35</v>
      </c>
      <c r="N78" s="637">
        <f ca="1">(K79/100)^2*J67</f>
        <v>2.5000000000000004</v>
      </c>
      <c r="O78" s="636"/>
      <c r="P78" s="479"/>
      <c r="Q78" s="1"/>
      <c r="R78" s="640" t="s">
        <v>29</v>
      </c>
      <c r="S78" s="641"/>
      <c r="T78" s="521">
        <v>0</v>
      </c>
      <c r="U78" s="434">
        <f ca="1">V78-(R66/100)^2*X79</f>
        <v>163.00000000000003</v>
      </c>
      <c r="V78" s="242">
        <f ca="1">R76+(6*((R66/100)^2)*X79)+R70</f>
        <v>175.60000000000002</v>
      </c>
      <c r="W78" s="512">
        <f t="shared" ca="1" si="9"/>
        <v>517.0506912442396</v>
      </c>
      <c r="X78" s="513">
        <f ca="1">W78/V74</f>
        <v>0.86175115207373265</v>
      </c>
      <c r="Z78" s="1"/>
      <c r="AA78" s="82">
        <f>B13</f>
        <v>10</v>
      </c>
      <c r="AB78" s="356"/>
      <c r="AG78" s="15"/>
    </row>
    <row r="79" spans="1:33" ht="15" customHeight="1" thickBot="1" x14ac:dyDescent="0.4">
      <c r="A79" s="1"/>
      <c r="B79" s="90" t="s">
        <v>24</v>
      </c>
      <c r="C79" s="666">
        <f>B77</f>
        <v>10</v>
      </c>
      <c r="D79" s="343">
        <f>D77+C77</f>
        <v>55</v>
      </c>
      <c r="E79" s="84">
        <f ca="1">(D79/100)^2*B66</f>
        <v>10.587500000000002</v>
      </c>
      <c r="F79" s="638"/>
      <c r="G79" s="667" t="s">
        <v>23</v>
      </c>
      <c r="I79" s="1"/>
      <c r="J79" s="90" t="s">
        <v>24</v>
      </c>
      <c r="K79" s="668">
        <f>C79</f>
        <v>10</v>
      </c>
      <c r="L79" s="346">
        <f>L77+K77</f>
        <v>100</v>
      </c>
      <c r="M79" s="84">
        <f ca="1">(L79/100)^2*J66</f>
        <v>35</v>
      </c>
      <c r="N79" s="639"/>
      <c r="O79" s="669" t="s">
        <v>23</v>
      </c>
      <c r="P79" s="479"/>
      <c r="Q79" s="1"/>
      <c r="R79" s="522" t="s">
        <v>33</v>
      </c>
      <c r="S79" s="523" t="s">
        <v>34</v>
      </c>
      <c r="T79" s="9"/>
      <c r="W79" s="524" t="s">
        <v>3</v>
      </c>
      <c r="X79" s="525">
        <f ca="1">J2</f>
        <v>35</v>
      </c>
      <c r="Y79" s="478"/>
      <c r="Z79" s="1"/>
      <c r="AC79" s="683" t="s">
        <v>29</v>
      </c>
      <c r="AD79" s="684"/>
      <c r="AE79" s="322"/>
      <c r="AG79" s="15"/>
    </row>
    <row r="80" spans="1:33" ht="15.75" customHeight="1" thickBot="1" x14ac:dyDescent="0.4">
      <c r="A80" s="48" t="s">
        <v>19</v>
      </c>
      <c r="B80" s="98">
        <f>B16</f>
        <v>100</v>
      </c>
      <c r="C80" s="666"/>
      <c r="D80" s="526">
        <f>D79+C79</f>
        <v>65</v>
      </c>
      <c r="E80" s="336">
        <f ca="1">(D80/100)^2*B66</f>
        <v>14.787500000000001</v>
      </c>
      <c r="F80" s="685">
        <v>0</v>
      </c>
      <c r="G80" s="667"/>
      <c r="I80" s="48" t="s">
        <v>19</v>
      </c>
      <c r="J80" s="98">
        <f>B16</f>
        <v>100</v>
      </c>
      <c r="K80" s="668"/>
      <c r="L80" s="526">
        <f>L79+K79</f>
        <v>110</v>
      </c>
      <c r="M80" s="336">
        <f ca="1">(L80/100)^2*J66</f>
        <v>42.350000000000009</v>
      </c>
      <c r="N80" s="678">
        <v>0</v>
      </c>
      <c r="O80" s="670"/>
      <c r="P80" s="479"/>
      <c r="Q80" s="351"/>
      <c r="R80" s="161">
        <f ca="1">S80-50</f>
        <v>159.30000000000001</v>
      </c>
      <c r="S80" s="527">
        <f ca="1">V72+W72+R76+R70</f>
        <v>209.3</v>
      </c>
      <c r="T80" s="528"/>
      <c r="U80" s="688" t="s">
        <v>0</v>
      </c>
      <c r="V80" s="689"/>
      <c r="W80" s="529" t="s">
        <v>5</v>
      </c>
      <c r="X80" s="530">
        <f ca="1">J3</f>
        <v>250</v>
      </c>
      <c r="Y80" s="531"/>
      <c r="Z80" s="1"/>
      <c r="AA80" s="90" t="s">
        <v>24</v>
      </c>
      <c r="AB80" s="532"/>
      <c r="AC80" s="533" t="s">
        <v>33</v>
      </c>
      <c r="AD80" s="534" t="s">
        <v>34</v>
      </c>
      <c r="AG80" s="15"/>
    </row>
    <row r="81" spans="1:33" ht="18.600000000000001" thickBot="1" x14ac:dyDescent="0.4">
      <c r="A81" s="111"/>
      <c r="B81" s="112"/>
      <c r="C81" s="341"/>
      <c r="D81" s="535">
        <f>D79+C79</f>
        <v>65</v>
      </c>
      <c r="E81" s="340">
        <f ca="1">(D81/100)^2*B66</f>
        <v>14.787500000000001</v>
      </c>
      <c r="F81" s="686"/>
      <c r="G81" s="631">
        <v>0</v>
      </c>
      <c r="I81" s="111"/>
      <c r="J81" s="112"/>
      <c r="L81" s="535">
        <f>L79+K79</f>
        <v>110</v>
      </c>
      <c r="M81" s="340">
        <f ca="1">(L81/100)^2*J66</f>
        <v>42.350000000000009</v>
      </c>
      <c r="N81" s="687"/>
      <c r="O81" s="633">
        <v>0</v>
      </c>
      <c r="P81" s="479"/>
      <c r="T81" s="32"/>
      <c r="W81" s="33"/>
      <c r="X81" s="531"/>
      <c r="Y81" s="531"/>
      <c r="Z81" s="347" t="s">
        <v>19</v>
      </c>
      <c r="AA81" s="536">
        <f>B16</f>
        <v>100</v>
      </c>
      <c r="AB81" s="537"/>
      <c r="AC81" s="538">
        <f ca="1">AD81-50</f>
        <v>75.2</v>
      </c>
      <c r="AD81" s="527">
        <f ca="1">AE73+AF73+AA81+AA75</f>
        <v>125.2</v>
      </c>
      <c r="AE81" s="472"/>
      <c r="AF81" s="472"/>
      <c r="AG81" s="539"/>
    </row>
    <row r="82" spans="1:33" ht="15" customHeight="1" thickTop="1" thickBot="1" x14ac:dyDescent="0.35">
      <c r="A82" s="615" t="s">
        <v>29</v>
      </c>
      <c r="B82" s="616"/>
      <c r="C82" s="367" t="s">
        <v>25</v>
      </c>
      <c r="D82" s="540" t="s">
        <v>26</v>
      </c>
      <c r="E82" s="541">
        <f ca="1">SUM(E68:E81)</f>
        <v>112.875</v>
      </c>
      <c r="F82" s="542">
        <f ca="1">SUM(F68:F81)</f>
        <v>12.500000000000002</v>
      </c>
      <c r="G82" s="632"/>
      <c r="I82" s="615" t="s">
        <v>29</v>
      </c>
      <c r="J82" s="616"/>
      <c r="K82" s="163" t="s">
        <v>27</v>
      </c>
      <c r="L82" s="543" t="s">
        <v>26</v>
      </c>
      <c r="M82" s="544">
        <f ca="1">SUM(M68:M81)</f>
        <v>315.70000000000005</v>
      </c>
      <c r="N82" s="104">
        <f ca="1">SUM(N68:N81)</f>
        <v>12.500000000000002</v>
      </c>
      <c r="O82" s="634"/>
      <c r="P82" s="318"/>
      <c r="Q82" s="2"/>
      <c r="R82" s="545" t="s">
        <v>10</v>
      </c>
      <c r="S82" s="468"/>
      <c r="T82" s="469">
        <f>R83</f>
        <v>60</v>
      </c>
      <c r="U82" s="470" t="s">
        <v>6</v>
      </c>
      <c r="V82" s="47" t="s">
        <v>7</v>
      </c>
      <c r="W82" s="471" t="s">
        <v>8</v>
      </c>
      <c r="X82" s="617" t="s">
        <v>20</v>
      </c>
    </row>
    <row r="83" spans="1:33" ht="15" customHeight="1" thickBot="1" x14ac:dyDescent="0.35">
      <c r="A83" s="135" t="s">
        <v>33</v>
      </c>
      <c r="B83" s="546" t="s">
        <v>34</v>
      </c>
      <c r="I83" s="547" t="s">
        <v>33</v>
      </c>
      <c r="J83" s="546" t="s">
        <v>34</v>
      </c>
      <c r="O83" s="4"/>
      <c r="P83" s="15"/>
      <c r="Q83" s="48" t="s">
        <v>13</v>
      </c>
      <c r="R83" s="54">
        <f>B6</f>
        <v>60</v>
      </c>
      <c r="S83" s="356"/>
      <c r="T83" s="475"/>
      <c r="U83" s="77">
        <f>T82</f>
        <v>60</v>
      </c>
      <c r="V83" s="548">
        <f ca="1">(U83/100)^2*X95</f>
        <v>12.6</v>
      </c>
      <c r="W83" s="619">
        <f ca="1">(T84/100)^2*X96</f>
        <v>2.5000000000000004</v>
      </c>
      <c r="X83" s="618"/>
      <c r="Y83" s="384"/>
    </row>
    <row r="84" spans="1:33" ht="15" customHeight="1" thickBot="1" x14ac:dyDescent="0.35">
      <c r="A84" s="155">
        <f ca="1">B84-50</f>
        <v>175.375</v>
      </c>
      <c r="B84" s="549">
        <f ca="1">E82+F82+B80+B74</f>
        <v>225.375</v>
      </c>
      <c r="I84" s="550">
        <f ca="1">J84-50</f>
        <v>378.20000000000005</v>
      </c>
      <c r="J84" s="549">
        <f ca="1">M82+N82+J80+J74</f>
        <v>428.20000000000005</v>
      </c>
      <c r="P84" s="15"/>
      <c r="Q84" s="1"/>
      <c r="T84" s="621">
        <f>R90</f>
        <v>10</v>
      </c>
      <c r="U84" s="551">
        <f>T82</f>
        <v>60</v>
      </c>
      <c r="V84" s="552">
        <f ca="1">(U84/100)^2*X95</f>
        <v>12.6</v>
      </c>
      <c r="W84" s="620"/>
      <c r="X84" s="622" t="s">
        <v>23</v>
      </c>
      <c r="Y84" s="384"/>
    </row>
    <row r="85" spans="1:33" ht="15" customHeight="1" thickTop="1" thickBot="1" x14ac:dyDescent="0.4">
      <c r="A85" s="553"/>
      <c r="B85" s="381"/>
      <c r="I85" s="278"/>
      <c r="J85" s="554"/>
      <c r="K85" s="183"/>
      <c r="P85" s="15"/>
      <c r="Q85" s="1"/>
      <c r="R85" s="22" t="s">
        <v>16</v>
      </c>
      <c r="S85" s="478"/>
      <c r="T85" s="621"/>
      <c r="U85" s="86">
        <f>U84+T84</f>
        <v>70</v>
      </c>
      <c r="V85" s="555">
        <f ca="1">(U85/100)^2*X95</f>
        <v>17.149999999999999</v>
      </c>
      <c r="W85" s="624">
        <v>0</v>
      </c>
      <c r="X85" s="623"/>
      <c r="Y85" s="7"/>
    </row>
    <row r="86" spans="1:33" ht="15" customHeight="1" thickTop="1" thickBot="1" x14ac:dyDescent="0.4">
      <c r="A86" s="626">
        <f>SUM(C69:C81)</f>
        <v>110</v>
      </c>
      <c r="B86" s="182"/>
      <c r="C86" s="183"/>
      <c r="D86" s="112"/>
      <c r="F86" s="112"/>
      <c r="J86" s="119"/>
      <c r="K86" s="626">
        <f>SUM(K69:K81)</f>
        <v>110</v>
      </c>
      <c r="L86" s="182"/>
      <c r="M86" s="183"/>
      <c r="O86" s="186"/>
      <c r="P86" s="539"/>
      <c r="Q86" s="48" t="s">
        <v>17</v>
      </c>
      <c r="R86" s="66">
        <f>B9</f>
        <v>0</v>
      </c>
      <c r="S86" s="356"/>
      <c r="T86" s="341"/>
      <c r="U86" s="93">
        <f>U84+T84</f>
        <v>70</v>
      </c>
      <c r="V86" s="556">
        <f ca="1">(U86/100)^2*X95</f>
        <v>17.149999999999999</v>
      </c>
      <c r="W86" s="625"/>
      <c r="X86" s="629" t="s">
        <v>54</v>
      </c>
      <c r="Y86" s="7"/>
      <c r="AA86" s="642" t="s">
        <v>58</v>
      </c>
      <c r="AB86" s="643"/>
      <c r="AC86" s="644"/>
    </row>
    <row r="87" spans="1:33" ht="15" customHeight="1" thickTop="1" thickBot="1" x14ac:dyDescent="0.4">
      <c r="A87" s="627"/>
      <c r="B87" s="205">
        <v>1100</v>
      </c>
      <c r="C87" s="206">
        <v>1200</v>
      </c>
      <c r="D87" s="201" t="s">
        <v>30</v>
      </c>
      <c r="E87" s="557">
        <v>1200</v>
      </c>
      <c r="F87" s="558" t="s">
        <v>31</v>
      </c>
      <c r="G87" s="472"/>
      <c r="I87" s="407" t="s">
        <v>44</v>
      </c>
      <c r="J87" s="119"/>
      <c r="K87" s="628"/>
      <c r="L87" s="199">
        <v>1100</v>
      </c>
      <c r="M87" s="206">
        <v>1200</v>
      </c>
      <c r="N87" s="132" t="s">
        <v>30</v>
      </c>
      <c r="O87" s="846">
        <f>E87</f>
        <v>1200</v>
      </c>
      <c r="P87" s="559" t="s">
        <v>31</v>
      </c>
      <c r="Q87" s="48" t="s">
        <v>19</v>
      </c>
      <c r="R87" s="73">
        <f>R86*0.434</f>
        <v>0</v>
      </c>
      <c r="S87" s="322"/>
      <c r="T87" s="486" t="s">
        <v>55</v>
      </c>
      <c r="U87" s="487" t="s">
        <v>26</v>
      </c>
      <c r="V87" s="488">
        <f ca="1">SUM(V83:V86)</f>
        <v>59.499999999999993</v>
      </c>
      <c r="W87" s="560">
        <f ca="1">SUM(W83:W86)</f>
        <v>2.5000000000000004</v>
      </c>
      <c r="X87" s="630"/>
      <c r="Y87" s="7"/>
      <c r="AA87" s="645"/>
      <c r="AB87" s="646"/>
      <c r="AC87" s="647"/>
    </row>
    <row r="88" spans="1:33" ht="15" customHeight="1" thickBot="1" x14ac:dyDescent="0.35">
      <c r="A88" s="215" t="s">
        <v>35</v>
      </c>
      <c r="B88" s="28" t="s">
        <v>36</v>
      </c>
      <c r="C88" s="152" t="s">
        <v>36</v>
      </c>
      <c r="D88" s="561" t="s">
        <v>37</v>
      </c>
      <c r="E88" s="217" t="s">
        <v>38</v>
      </c>
      <c r="F88" s="562" t="s">
        <v>45</v>
      </c>
      <c r="G88" s="563" t="s">
        <v>40</v>
      </c>
      <c r="H88" s="220" t="s">
        <v>46</v>
      </c>
      <c r="I88" s="564" t="s">
        <v>59</v>
      </c>
      <c r="J88" s="119"/>
      <c r="K88" s="144" t="s">
        <v>35</v>
      </c>
      <c r="L88" s="28" t="s">
        <v>36</v>
      </c>
      <c r="M88" s="152" t="s">
        <v>36</v>
      </c>
      <c r="N88" s="565" t="s">
        <v>37</v>
      </c>
      <c r="O88" s="218" t="s">
        <v>38</v>
      </c>
      <c r="P88" s="566" t="s">
        <v>45</v>
      </c>
      <c r="Q88" s="1"/>
      <c r="S88" s="119"/>
      <c r="T88" s="651">
        <f>SUM(T82:T86)</f>
        <v>70</v>
      </c>
      <c r="U88" s="495"/>
      <c r="V88" s="183"/>
      <c r="W88" s="38"/>
      <c r="X88" s="15"/>
      <c r="Y88" s="7"/>
      <c r="AA88" s="645"/>
      <c r="AB88" s="646"/>
      <c r="AC88" s="647"/>
    </row>
    <row r="89" spans="1:33" ht="15" customHeight="1" thickTop="1" thickBot="1" x14ac:dyDescent="0.35">
      <c r="A89" s="273">
        <v>5</v>
      </c>
      <c r="B89" s="399">
        <f ca="1">C89-(B70/100)^2*B66</f>
        <v>212.77500000000001</v>
      </c>
      <c r="C89" s="400">
        <f ca="1">B80+E82+(A89*((B77/100)^2*B67))+B74</f>
        <v>225.375</v>
      </c>
      <c r="D89" s="426">
        <f ca="1">IF(E87=C87,(400-C89),(400-B89))</f>
        <v>174.625</v>
      </c>
      <c r="E89" s="171">
        <f t="shared" ref="E89:E94" ca="1" si="10">D89/0.434</f>
        <v>402.36175115207374</v>
      </c>
      <c r="F89" s="567">
        <f ca="1">E89/E87</f>
        <v>0.33530145929339478</v>
      </c>
      <c r="G89" s="568">
        <f t="shared" ref="G89:H94" ca="1" si="11">E89-O89</f>
        <v>467.33870967741944</v>
      </c>
      <c r="H89" s="233">
        <f t="shared" ca="1" si="11"/>
        <v>0.38944892473118287</v>
      </c>
      <c r="I89" s="569" t="s">
        <v>60</v>
      </c>
      <c r="J89" s="119"/>
      <c r="K89" s="234">
        <v>5</v>
      </c>
      <c r="L89" s="429">
        <f ca="1">M89-(J70/100)^2*J66</f>
        <v>415.6</v>
      </c>
      <c r="M89" s="236">
        <f ca="1">J80+M82+(K89*((J77/100)^2*J67))+J74</f>
        <v>428.20000000000005</v>
      </c>
      <c r="N89" s="570">
        <f ca="1">IF(O87=M87,(400-M89),(400-L89))</f>
        <v>-28.200000000000045</v>
      </c>
      <c r="O89" s="571">
        <f t="shared" ref="O89:O94" ca="1" si="12">(400-M89)/0.434</f>
        <v>-64.976958525345722</v>
      </c>
      <c r="P89" s="572">
        <f ca="1">O89/O87</f>
        <v>-5.4147465437788103E-2</v>
      </c>
      <c r="Q89" s="1"/>
      <c r="R89" s="79" t="s">
        <v>21</v>
      </c>
      <c r="S89" s="517"/>
      <c r="T89" s="652"/>
      <c r="U89" s="573" t="s">
        <v>61</v>
      </c>
      <c r="V89" s="574" t="s">
        <v>62</v>
      </c>
      <c r="X89" s="15"/>
      <c r="AA89" s="645"/>
      <c r="AB89" s="646"/>
      <c r="AC89" s="647"/>
    </row>
    <row r="90" spans="1:33" ht="15" customHeight="1" thickBot="1" x14ac:dyDescent="0.35">
      <c r="A90" s="256">
        <v>4</v>
      </c>
      <c r="B90" s="209">
        <f ca="1">C90-(B70/100)^2*B66</f>
        <v>201.875</v>
      </c>
      <c r="C90" s="280">
        <f ca="1">B80+(SUM(E68:E79)+(2*E79)+(A90*((B77/100)^2*B67))+B74)</f>
        <v>214.47499999999999</v>
      </c>
      <c r="D90" s="259">
        <f ca="1">IF(E87=C87,(400-C90),(400-B90))</f>
        <v>185.52500000000001</v>
      </c>
      <c r="E90" s="193">
        <f t="shared" ca="1" si="10"/>
        <v>427.47695852534565</v>
      </c>
      <c r="F90" s="575">
        <f ca="1">E90/E87</f>
        <v>0.35623079877112135</v>
      </c>
      <c r="G90" s="576">
        <f t="shared" ca="1" si="11"/>
        <v>452.82258064516134</v>
      </c>
      <c r="H90" s="262">
        <f t="shared" ca="1" si="11"/>
        <v>0.37735215053763438</v>
      </c>
      <c r="I90" s="577"/>
      <c r="J90" s="119"/>
      <c r="K90" s="176">
        <v>4</v>
      </c>
      <c r="L90" s="197">
        <f ca="1">M90-(J70/100)^2*J66</f>
        <v>398.4</v>
      </c>
      <c r="M90" s="266">
        <f ca="1">J80+(SUM(M68:M79)+(2*M79)+(K90*((J77/100)^2*J67))+J74)</f>
        <v>411</v>
      </c>
      <c r="N90" s="578">
        <f ca="1">IF(O87=M87,(400-M90),(400-L90))</f>
        <v>-11</v>
      </c>
      <c r="O90" s="571">
        <f t="shared" ca="1" si="12"/>
        <v>-25.345622119815669</v>
      </c>
      <c r="P90" s="572">
        <f ca="1">O90/O87</f>
        <v>-2.1121351766513058E-2</v>
      </c>
      <c r="Q90" s="48" t="s">
        <v>13</v>
      </c>
      <c r="R90" s="82">
        <f>B13</f>
        <v>10</v>
      </c>
      <c r="S90" s="494"/>
      <c r="T90" s="144" t="s">
        <v>35</v>
      </c>
      <c r="U90" s="28" t="s">
        <v>36</v>
      </c>
      <c r="V90" s="145" t="s">
        <v>36</v>
      </c>
      <c r="X90" s="15"/>
      <c r="AA90" s="645"/>
      <c r="AB90" s="646"/>
      <c r="AC90" s="647"/>
    </row>
    <row r="91" spans="1:33" ht="15" customHeight="1" thickBot="1" x14ac:dyDescent="0.35">
      <c r="A91" s="273">
        <v>3</v>
      </c>
      <c r="B91" s="190">
        <f ca="1">C91-(B70/100)^2*B66</f>
        <v>185.375</v>
      </c>
      <c r="C91" s="422">
        <f ca="1">B80+(SUM(E68:E77)+(4*E77)+(A91*((B77/100)^2*B67))+B74)</f>
        <v>197.97499999999999</v>
      </c>
      <c r="D91" s="230">
        <f ca="1">IF(E87=C87,(400-C91),(400-B91))</f>
        <v>202.02500000000001</v>
      </c>
      <c r="E91" s="171">
        <f t="shared" ca="1" si="10"/>
        <v>465.49539170506915</v>
      </c>
      <c r="F91" s="567">
        <f ca="1">E91/E87</f>
        <v>0.38791282642089098</v>
      </c>
      <c r="G91" s="576">
        <f t="shared" ca="1" si="11"/>
        <v>423.79032258064512</v>
      </c>
      <c r="H91" s="262">
        <f t="shared" ca="1" si="11"/>
        <v>0.35315860215053763</v>
      </c>
      <c r="I91" s="577"/>
      <c r="J91" s="119"/>
      <c r="K91" s="196">
        <v>3</v>
      </c>
      <c r="L91" s="197">
        <f ca="1">M91-(J70/100)^2*J66</f>
        <v>369.29999999999995</v>
      </c>
      <c r="M91" s="198">
        <f ca="1">J80+(SUM(M70:M77)+(4*M77)+(K91*((J77/100)^2*J67))+J74)</f>
        <v>381.9</v>
      </c>
      <c r="N91" s="579">
        <f ca="1">IF(O87=M87,(400-M91),(400-L91))</f>
        <v>18.100000000000023</v>
      </c>
      <c r="O91" s="580">
        <f t="shared" ca="1" si="12"/>
        <v>41.705069124424014</v>
      </c>
      <c r="P91" s="581">
        <f ca="1">O91/O87</f>
        <v>3.4754224270353344E-2</v>
      </c>
      <c r="Q91" s="1"/>
      <c r="S91" s="119"/>
      <c r="T91" s="582">
        <v>1</v>
      </c>
      <c r="U91" s="399">
        <f ca="1">V91-(R83/100)^2*X95</f>
        <v>149.4</v>
      </c>
      <c r="V91" s="583">
        <f ca="1">R93+V87+(T91*((R90/100)^2*X96))+R87</f>
        <v>162</v>
      </c>
      <c r="X91" s="15"/>
      <c r="AA91" s="645"/>
      <c r="AB91" s="646"/>
      <c r="AC91" s="647"/>
    </row>
    <row r="92" spans="1:33" ht="15.6" customHeight="1" thickBot="1" x14ac:dyDescent="0.35">
      <c r="A92" s="256">
        <v>2</v>
      </c>
      <c r="B92" s="209">
        <f ca="1">C92-(B70/100)^2*B66</f>
        <v>173.95000000000002</v>
      </c>
      <c r="C92" s="280">
        <f ca="1">B80+(SUM(E68:E75)+(6*(((SUM(C68:C74)/2)/100)^2)*B66)+(A92*((B77/100)^2*B67))+B74)</f>
        <v>186.55</v>
      </c>
      <c r="D92" s="259">
        <f ca="1">IF(E87=C87,(400-C92),(400-B92))</f>
        <v>213.45</v>
      </c>
      <c r="E92" s="193">
        <f t="shared" ca="1" si="10"/>
        <v>491.82027649769583</v>
      </c>
      <c r="F92" s="575">
        <f ca="1">E92/E87</f>
        <v>0.4098502304147465</v>
      </c>
      <c r="G92" s="576">
        <f t="shared" ca="1" si="11"/>
        <v>362.09677419354847</v>
      </c>
      <c r="H92" s="262">
        <f t="shared" ca="1" si="11"/>
        <v>0.301747311827957</v>
      </c>
      <c r="I92" s="577"/>
      <c r="J92" s="119"/>
      <c r="K92" s="176">
        <v>2</v>
      </c>
      <c r="L92" s="197">
        <f ca="1">M92-(J70/100)^2*J66</f>
        <v>331.1</v>
      </c>
      <c r="M92" s="198">
        <f ca="1">J80+(SUM(M70:M75)+(6*(((SUM(K68:K74))/100)^2)*J66)+(K92*((J77/100)^2*J67))+J74)</f>
        <v>343.70000000000005</v>
      </c>
      <c r="N92" s="584">
        <f ca="1">IF(O87=M87,(400-M92),(400-L92))</f>
        <v>56.299999999999955</v>
      </c>
      <c r="O92" s="580">
        <f t="shared" ca="1" si="12"/>
        <v>129.72350230414736</v>
      </c>
      <c r="P92" s="581">
        <f ca="1">O92/O87</f>
        <v>0.10810291858678947</v>
      </c>
      <c r="Q92" s="1"/>
      <c r="R92" s="90" t="s">
        <v>24</v>
      </c>
      <c r="S92" s="505"/>
      <c r="T92" s="521">
        <v>0</v>
      </c>
      <c r="U92" s="434">
        <f ca="1">V92-(R83/100)^2*X95</f>
        <v>137.80000000000001</v>
      </c>
      <c r="V92" s="242">
        <f ca="1">R93+(4*((R83/100)^2)*X95)+R87</f>
        <v>150.4</v>
      </c>
      <c r="X92" s="15"/>
      <c r="AA92" s="648"/>
      <c r="AB92" s="649"/>
      <c r="AC92" s="650"/>
    </row>
    <row r="93" spans="1:33" ht="15" customHeight="1" thickTop="1" thickBot="1" x14ac:dyDescent="0.35">
      <c r="A93" s="273">
        <v>1</v>
      </c>
      <c r="B93" s="190">
        <f ca="1">C93-(B70/100)^2*B66</f>
        <v>157.97499999999999</v>
      </c>
      <c r="C93" s="422">
        <f ca="1">B80+(SUM(E70:E71)+(10*(((SUM(C69:C72)/2)/100)^2)*B66)+(A93*((B77/100)^2*B67))+B74)</f>
        <v>170.57499999999999</v>
      </c>
      <c r="D93" s="230">
        <f ca="1">IF(E87=C87,(400-C93),(400-B93))</f>
        <v>229.42500000000001</v>
      </c>
      <c r="E93" s="171">
        <f t="shared" ca="1" si="10"/>
        <v>528.62903225806451</v>
      </c>
      <c r="F93" s="567">
        <f ca="1">E93/E87</f>
        <v>0.44052419354838707</v>
      </c>
      <c r="G93" s="576">
        <f t="shared" ca="1" si="11"/>
        <v>296.37096774193549</v>
      </c>
      <c r="H93" s="262">
        <f t="shared" ca="1" si="11"/>
        <v>0.24697580645161285</v>
      </c>
      <c r="I93" s="577"/>
      <c r="J93" s="119"/>
      <c r="K93" s="196">
        <v>1</v>
      </c>
      <c r="L93" s="223">
        <f ca="1">M93-(J70/100)^2*J66</f>
        <v>286.59999999999997</v>
      </c>
      <c r="M93" s="224">
        <f ca="1">J80+(SUM(M70:M73)+(8*(((SUM(K69:K72))/100)^2)*J66)+(K93*((J77/100)^2*J67))+J74)</f>
        <v>299.2</v>
      </c>
      <c r="N93" s="585">
        <f ca="1">IF(O87=M87,(400-M93),(400-L93))</f>
        <v>100.80000000000001</v>
      </c>
      <c r="O93" s="586">
        <f t="shared" ca="1" si="12"/>
        <v>232.25806451612905</v>
      </c>
      <c r="P93" s="587">
        <f ca="1">O93/O87</f>
        <v>0.19354838709677422</v>
      </c>
      <c r="Q93" s="48" t="s">
        <v>19</v>
      </c>
      <c r="R93" s="98">
        <f>B16</f>
        <v>100</v>
      </c>
      <c r="S93" s="356"/>
      <c r="U93" s="588"/>
      <c r="V93" s="322"/>
      <c r="X93" s="15"/>
    </row>
    <row r="94" spans="1:33" ht="13.05" customHeight="1" thickBot="1" x14ac:dyDescent="0.35">
      <c r="A94" s="249">
        <v>0</v>
      </c>
      <c r="B94" s="250">
        <f ca="1">C94-(B70/100)^2*B66</f>
        <v>144.1</v>
      </c>
      <c r="C94" s="251">
        <f ca="1">B80+(SUM(E70:E71)+(10*((D71/200)^2)*B66)+(A94*((B77/100)^2*B67))+B74)</f>
        <v>156.69999999999999</v>
      </c>
      <c r="D94" s="589">
        <f ca="1">IF(E87=C87,(400-C94),(400-B94))</f>
        <v>243.3</v>
      </c>
      <c r="E94" s="590">
        <f t="shared" ca="1" si="10"/>
        <v>560.59907834101386</v>
      </c>
      <c r="F94" s="591">
        <f ca="1">E94/E87</f>
        <v>0.46716589861751157</v>
      </c>
      <c r="G94" s="592">
        <f t="shared" ca="1" si="11"/>
        <v>217.74193548387098</v>
      </c>
      <c r="H94" s="593">
        <f t="shared" ca="1" si="11"/>
        <v>0.18145161290322581</v>
      </c>
      <c r="I94" s="594"/>
      <c r="J94" s="204"/>
      <c r="K94" s="595">
        <v>0</v>
      </c>
      <c r="L94" s="596">
        <f ca="1">M94-(J70/100)^2*J66</f>
        <v>238.6</v>
      </c>
      <c r="M94" s="597">
        <f ca="1">J80+(SUM(M70:M71)+(10*((L71/100)^2)*J66)+(K94*((J77/100)^2*J67))+J74)</f>
        <v>251.2</v>
      </c>
      <c r="N94" s="598">
        <f ca="1">IF(O87=M87,(400-M94),(400-L94))</f>
        <v>148.80000000000001</v>
      </c>
      <c r="O94" s="599">
        <f t="shared" ca="1" si="12"/>
        <v>342.85714285714289</v>
      </c>
      <c r="P94" s="600">
        <f ca="1">O94/O87</f>
        <v>0.28571428571428575</v>
      </c>
      <c r="Q94" s="1"/>
      <c r="T94" s="653" t="s">
        <v>29</v>
      </c>
      <c r="U94" s="654"/>
      <c r="W94" s="655" t="s">
        <v>0</v>
      </c>
      <c r="X94" s="656"/>
      <c r="Z94" s="657" t="s">
        <v>63</v>
      </c>
      <c r="AA94" s="658"/>
      <c r="AB94" s="658"/>
      <c r="AC94" s="658"/>
      <c r="AD94" s="658"/>
      <c r="AE94" s="658"/>
      <c r="AF94" s="658"/>
      <c r="AG94" s="659"/>
    </row>
    <row r="95" spans="1:33" ht="13.95" customHeight="1" thickTop="1" x14ac:dyDescent="0.35">
      <c r="D95" s="601"/>
      <c r="E95" s="602"/>
      <c r="F95" s="603"/>
      <c r="G95" s="270"/>
      <c r="H95" s="271"/>
      <c r="I95" s="604"/>
      <c r="Q95" s="1"/>
      <c r="T95" s="605" t="s">
        <v>33</v>
      </c>
      <c r="U95" s="606" t="s">
        <v>34</v>
      </c>
      <c r="W95" s="524" t="s">
        <v>3</v>
      </c>
      <c r="X95" s="525">
        <f ca="1">J2</f>
        <v>35</v>
      </c>
      <c r="Z95" s="660"/>
      <c r="AA95" s="661"/>
      <c r="AB95" s="661"/>
      <c r="AC95" s="661"/>
      <c r="AD95" s="661"/>
      <c r="AE95" s="661"/>
      <c r="AF95" s="661"/>
      <c r="AG95" s="662"/>
    </row>
    <row r="96" spans="1:33" ht="13.95" customHeight="1" thickBot="1" x14ac:dyDescent="0.4">
      <c r="Q96" s="351"/>
      <c r="R96" s="472"/>
      <c r="S96" s="472"/>
      <c r="T96" s="607">
        <f ca="1">U96-50</f>
        <v>112</v>
      </c>
      <c r="U96" s="527">
        <f ca="1">V87+W87+R93+R87</f>
        <v>162</v>
      </c>
      <c r="V96" s="472"/>
      <c r="W96" s="529" t="s">
        <v>5</v>
      </c>
      <c r="X96" s="530">
        <f ca="1">J3</f>
        <v>250</v>
      </c>
      <c r="Z96" s="663"/>
      <c r="AA96" s="664"/>
      <c r="AB96" s="664"/>
      <c r="AC96" s="664"/>
      <c r="AD96" s="664"/>
      <c r="AE96" s="664"/>
      <c r="AF96" s="664"/>
      <c r="AG96" s="665"/>
    </row>
    <row r="110" ht="15" customHeight="1" x14ac:dyDescent="0.3"/>
  </sheetData>
  <sheetProtection algorithmName="SHA-512" hashValue="VhCa+hQjINa/DVmjydwc8sLaDCrkuZOfirSCo/O+dulZTN2ujP7gQhyF6pCiQkWiQmoisq8za2sbokGJh49xBA==" saltValue="+OQQ5Lw5ViazYuNxMKPE9g==" spinCount="100000" sheet="1" selectLockedCells="1"/>
  <mergeCells count="248">
    <mergeCell ref="A1:B1"/>
    <mergeCell ref="D1:G1"/>
    <mergeCell ref="I1:J1"/>
    <mergeCell ref="Q1:R1"/>
    <mergeCell ref="Z1:AA1"/>
    <mergeCell ref="D2:G2"/>
    <mergeCell ref="AF5:AF6"/>
    <mergeCell ref="F6:F7"/>
    <mergeCell ref="N6:N7"/>
    <mergeCell ref="V6:V7"/>
    <mergeCell ref="AE6:AE7"/>
    <mergeCell ref="G3:G4"/>
    <mergeCell ref="O3:O4"/>
    <mergeCell ref="T3:W3"/>
    <mergeCell ref="AC3:AF3"/>
    <mergeCell ref="F4:F5"/>
    <mergeCell ref="N4:N5"/>
    <mergeCell ref="C7:C8"/>
    <mergeCell ref="G7:G8"/>
    <mergeCell ref="K7:K8"/>
    <mergeCell ref="O7:O8"/>
    <mergeCell ref="S7:S8"/>
    <mergeCell ref="W7:W8"/>
    <mergeCell ref="C5:C6"/>
    <mergeCell ref="G5:G6"/>
    <mergeCell ref="K5:K6"/>
    <mergeCell ref="O5:O6"/>
    <mergeCell ref="W5:W6"/>
    <mergeCell ref="AB7:AB8"/>
    <mergeCell ref="AF7:AF8"/>
    <mergeCell ref="F8:F9"/>
    <mergeCell ref="N8:N9"/>
    <mergeCell ref="V8:V9"/>
    <mergeCell ref="AE8:AE9"/>
    <mergeCell ref="AB9:AB10"/>
    <mergeCell ref="AF9:AF10"/>
    <mergeCell ref="AE10:AE11"/>
    <mergeCell ref="G11:G12"/>
    <mergeCell ref="C9:C10"/>
    <mergeCell ref="G9:G10"/>
    <mergeCell ref="K9:K10"/>
    <mergeCell ref="O9:O10"/>
    <mergeCell ref="S9:S10"/>
    <mergeCell ref="W9:W10"/>
    <mergeCell ref="F10:F11"/>
    <mergeCell ref="N10:N11"/>
    <mergeCell ref="V10:V11"/>
    <mergeCell ref="C11:C12"/>
    <mergeCell ref="C13:C14"/>
    <mergeCell ref="G13:G14"/>
    <mergeCell ref="K13:K14"/>
    <mergeCell ref="O13:O14"/>
    <mergeCell ref="S13:S14"/>
    <mergeCell ref="W13:W14"/>
    <mergeCell ref="K11:K12"/>
    <mergeCell ref="O11:O12"/>
    <mergeCell ref="S11:S12"/>
    <mergeCell ref="W11:W12"/>
    <mergeCell ref="AB13:AB14"/>
    <mergeCell ref="AF13:AF14"/>
    <mergeCell ref="F14:F15"/>
    <mergeCell ref="N14:N15"/>
    <mergeCell ref="V14:V15"/>
    <mergeCell ref="AE14:AE15"/>
    <mergeCell ref="F12:F13"/>
    <mergeCell ref="N12:N13"/>
    <mergeCell ref="V12:V13"/>
    <mergeCell ref="AE12:AE13"/>
    <mergeCell ref="AB11:AB12"/>
    <mergeCell ref="AF11:AF12"/>
    <mergeCell ref="C15:C16"/>
    <mergeCell ref="G15:G16"/>
    <mergeCell ref="K15:K16"/>
    <mergeCell ref="O15:O16"/>
    <mergeCell ref="W15:W16"/>
    <mergeCell ref="AF15:AF16"/>
    <mergeCell ref="F16:F17"/>
    <mergeCell ref="N16:N17"/>
    <mergeCell ref="C17:C18"/>
    <mergeCell ref="G17:G18"/>
    <mergeCell ref="A21:A22"/>
    <mergeCell ref="K21:K22"/>
    <mergeCell ref="T26:U26"/>
    <mergeCell ref="AC26:AD26"/>
    <mergeCell ref="A33:B33"/>
    <mergeCell ref="I33:J33"/>
    <mergeCell ref="K17:K18"/>
    <mergeCell ref="O17:O18"/>
    <mergeCell ref="Q17:Q18"/>
    <mergeCell ref="AB17:AB18"/>
    <mergeCell ref="A18:B18"/>
    <mergeCell ref="F18:F19"/>
    <mergeCell ref="I18:J18"/>
    <mergeCell ref="N18:N19"/>
    <mergeCell ref="G19:G20"/>
    <mergeCell ref="O19:O20"/>
    <mergeCell ref="Q34:R34"/>
    <mergeCell ref="Z34:AA34"/>
    <mergeCell ref="D35:G35"/>
    <mergeCell ref="L35:O35"/>
    <mergeCell ref="G37:G38"/>
    <mergeCell ref="O37:O38"/>
    <mergeCell ref="F38:F39"/>
    <mergeCell ref="N38:N39"/>
    <mergeCell ref="T38:W38"/>
    <mergeCell ref="AF44:AF45"/>
    <mergeCell ref="AC38:AF38"/>
    <mergeCell ref="C39:C40"/>
    <mergeCell ref="G39:G40"/>
    <mergeCell ref="K39:K40"/>
    <mergeCell ref="O39:O40"/>
    <mergeCell ref="F40:F41"/>
    <mergeCell ref="N40:N41"/>
    <mergeCell ref="W40:W41"/>
    <mergeCell ref="AF40:AF41"/>
    <mergeCell ref="C41:C42"/>
    <mergeCell ref="AF42:AF43"/>
    <mergeCell ref="C43:C44"/>
    <mergeCell ref="G43:G44"/>
    <mergeCell ref="K43:K44"/>
    <mergeCell ref="O43:O44"/>
    <mergeCell ref="V43:V44"/>
    <mergeCell ref="AE43:AE44"/>
    <mergeCell ref="F44:F45"/>
    <mergeCell ref="N44:N45"/>
    <mergeCell ref="S44:S45"/>
    <mergeCell ref="G41:G42"/>
    <mergeCell ref="K41:K42"/>
    <mergeCell ref="O41:O42"/>
    <mergeCell ref="N48:N49"/>
    <mergeCell ref="W48:W49"/>
    <mergeCell ref="AE41:AE42"/>
    <mergeCell ref="F42:F43"/>
    <mergeCell ref="N42:N43"/>
    <mergeCell ref="S42:S43"/>
    <mergeCell ref="W42:W43"/>
    <mergeCell ref="AB42:AB43"/>
    <mergeCell ref="W44:W45"/>
    <mergeCell ref="AB44:AB45"/>
    <mergeCell ref="V41:V42"/>
    <mergeCell ref="AF48:AF49"/>
    <mergeCell ref="C49:C50"/>
    <mergeCell ref="G49:G50"/>
    <mergeCell ref="K49:K50"/>
    <mergeCell ref="O49:O50"/>
    <mergeCell ref="N46:N47"/>
    <mergeCell ref="S46:S47"/>
    <mergeCell ref="W46:W47"/>
    <mergeCell ref="AB46:AB47"/>
    <mergeCell ref="AF46:AF47"/>
    <mergeCell ref="C47:C48"/>
    <mergeCell ref="G47:G48"/>
    <mergeCell ref="K47:K48"/>
    <mergeCell ref="O47:O48"/>
    <mergeCell ref="V47:V48"/>
    <mergeCell ref="C45:C46"/>
    <mergeCell ref="G45:G46"/>
    <mergeCell ref="K45:K46"/>
    <mergeCell ref="O45:O46"/>
    <mergeCell ref="V45:V46"/>
    <mergeCell ref="AE45:AE46"/>
    <mergeCell ref="F46:F47"/>
    <mergeCell ref="AE47:AE48"/>
    <mergeCell ref="F48:F49"/>
    <mergeCell ref="Q51:Q52"/>
    <mergeCell ref="AB51:AB52"/>
    <mergeCell ref="A54:A55"/>
    <mergeCell ref="K54:K55"/>
    <mergeCell ref="T59:U59"/>
    <mergeCell ref="AC59:AD59"/>
    <mergeCell ref="A50:B50"/>
    <mergeCell ref="F50:F51"/>
    <mergeCell ref="I50:J50"/>
    <mergeCell ref="N50:N51"/>
    <mergeCell ref="G51:G52"/>
    <mergeCell ref="O51:O52"/>
    <mergeCell ref="A65:B65"/>
    <mergeCell ref="I65:J65"/>
    <mergeCell ref="X65:X66"/>
    <mergeCell ref="W66:W67"/>
    <mergeCell ref="Z66:AA66"/>
    <mergeCell ref="D67:G67"/>
    <mergeCell ref="L67:O67"/>
    <mergeCell ref="T67:T68"/>
    <mergeCell ref="X67:X68"/>
    <mergeCell ref="W68:W69"/>
    <mergeCell ref="AG70:AG71"/>
    <mergeCell ref="C71:C72"/>
    <mergeCell ref="G71:G72"/>
    <mergeCell ref="K71:K72"/>
    <mergeCell ref="O71:O72"/>
    <mergeCell ref="X71:X72"/>
    <mergeCell ref="F72:F73"/>
    <mergeCell ref="N72:N73"/>
    <mergeCell ref="AG72:AG73"/>
    <mergeCell ref="C73:C74"/>
    <mergeCell ref="G69:G70"/>
    <mergeCell ref="O69:O70"/>
    <mergeCell ref="T69:T70"/>
    <mergeCell ref="X69:X70"/>
    <mergeCell ref="F70:F71"/>
    <mergeCell ref="N70:N71"/>
    <mergeCell ref="W70:W71"/>
    <mergeCell ref="C79:C80"/>
    <mergeCell ref="G79:G80"/>
    <mergeCell ref="K79:K80"/>
    <mergeCell ref="O79:O80"/>
    <mergeCell ref="AC74:AC75"/>
    <mergeCell ref="C75:C76"/>
    <mergeCell ref="G75:G76"/>
    <mergeCell ref="K75:K76"/>
    <mergeCell ref="O75:O76"/>
    <mergeCell ref="F76:F77"/>
    <mergeCell ref="N76:N77"/>
    <mergeCell ref="C77:C78"/>
    <mergeCell ref="G77:G78"/>
    <mergeCell ref="K77:K78"/>
    <mergeCell ref="G73:G74"/>
    <mergeCell ref="K73:K74"/>
    <mergeCell ref="O73:O74"/>
    <mergeCell ref="T73:T74"/>
    <mergeCell ref="F74:F75"/>
    <mergeCell ref="N74:N75"/>
    <mergeCell ref="AC79:AD79"/>
    <mergeCell ref="F80:F81"/>
    <mergeCell ref="N80:N81"/>
    <mergeCell ref="U80:V80"/>
    <mergeCell ref="O77:O78"/>
    <mergeCell ref="F78:F79"/>
    <mergeCell ref="N78:N79"/>
    <mergeCell ref="R78:S78"/>
    <mergeCell ref="AA86:AC92"/>
    <mergeCell ref="T88:T89"/>
    <mergeCell ref="T94:U94"/>
    <mergeCell ref="W94:X94"/>
    <mergeCell ref="Z94:AG96"/>
    <mergeCell ref="A82:B82"/>
    <mergeCell ref="I82:J82"/>
    <mergeCell ref="X82:X83"/>
    <mergeCell ref="W83:W84"/>
    <mergeCell ref="T84:T85"/>
    <mergeCell ref="X84:X85"/>
    <mergeCell ref="W85:W86"/>
    <mergeCell ref="A86:A87"/>
    <mergeCell ref="K86:K87"/>
    <mergeCell ref="X86:X87"/>
    <mergeCell ref="G81:G82"/>
    <mergeCell ref="O81:O82"/>
  </mergeCells>
  <pageMargins left="0.25" right="0.25" top="0.75" bottom="0.75" header="0.3" footer="0.3"/>
  <pageSetup orientation="landscape" horizontalDpi="0" verticalDpi="0" r:id="rId1"/>
  <headerFooter>
    <oddHeader>&amp;Lhttp://Calculator.HydraulicsApp.com
http://HENWAY.org - http://BurnOver.HENWAY.org&amp;CHFT Fire and Rescue Technologies and Equipment, LLC
123 SW Oregon Trail Dr., Dallas, OR 87338&amp;R(877) HOSEROLLER [467-3765]
Rich@HydraulicsApp.com</oddHeader>
    <oddFooter>&amp;Lhttp://HoseRoller.net
http://RescueWinch.com - http://NotTheBluePill.com&amp;CHFT Fire and Rescue Technologies and Equipment, LLC
http://HFTFire.com © 2014 - 2020 ALL Rights Reserved&amp;Rhttp://FireAndLifeSafety.org
http://BeyondThePurpleSky.org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Hoffmann</dc:creator>
  <cp:lastModifiedBy>Rich Hoffmann</cp:lastModifiedBy>
  <cp:lastPrinted>2020-05-27T07:43:19Z</cp:lastPrinted>
  <dcterms:created xsi:type="dcterms:W3CDTF">2020-05-26T10:57:09Z</dcterms:created>
  <dcterms:modified xsi:type="dcterms:W3CDTF">2020-05-27T08:58:08Z</dcterms:modified>
</cp:coreProperties>
</file>