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7035\Desktop\Milestone Mergers\1- Start a Mortgage Company\P &amp; L\"/>
    </mc:Choice>
  </mc:AlternateContent>
  <xr:revisionPtr revIDLastSave="0" documentId="13_ncr:1_{0EB05BD6-5315-4D31-BA83-4C33B9A7882B}" xr6:coauthVersionLast="47" xr6:coauthVersionMax="47" xr10:uidLastSave="{00000000-0000-0000-0000-000000000000}"/>
  <bookViews>
    <workbookView xWindow="19440" yWindow="0" windowWidth="33480" windowHeight="17280" xr2:uid="{2440A3E0-122E-4953-8F91-60832CAB47CA}"/>
  </bookViews>
  <sheets>
    <sheet name="P &amp; L" sheetId="1" r:id="rId1"/>
    <sheet name="Salari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2" i="1" l="1"/>
  <c r="L142" i="1"/>
  <c r="K142" i="1"/>
  <c r="J142" i="1"/>
  <c r="I142" i="1"/>
  <c r="H142" i="1"/>
  <c r="G142" i="1"/>
  <c r="F142" i="1"/>
  <c r="E142" i="1"/>
  <c r="D142" i="1"/>
  <c r="C142" i="1"/>
  <c r="D140" i="1"/>
  <c r="F140" i="1"/>
  <c r="E140" i="1"/>
  <c r="C140" i="1"/>
  <c r="O145" i="1"/>
  <c r="C134" i="1"/>
  <c r="C135" i="1" s="1"/>
  <c r="C137" i="1" s="1"/>
  <c r="D134" i="1"/>
  <c r="D135" i="1" s="1"/>
  <c r="D137" i="1" s="1"/>
  <c r="E134" i="1"/>
  <c r="E135" i="1" s="1"/>
  <c r="E137" i="1" s="1"/>
  <c r="F134" i="1"/>
  <c r="F143" i="1" s="1"/>
  <c r="F144" i="1" s="1"/>
  <c r="G134" i="1"/>
  <c r="G143" i="1" s="1"/>
  <c r="G144" i="1" s="1"/>
  <c r="H134" i="1"/>
  <c r="H143" i="1" s="1"/>
  <c r="H144" i="1" s="1"/>
  <c r="I134" i="1"/>
  <c r="I143" i="1" s="1"/>
  <c r="I144" i="1" s="1"/>
  <c r="J134" i="1"/>
  <c r="J143" i="1" s="1"/>
  <c r="J144" i="1" s="1"/>
  <c r="K134" i="1"/>
  <c r="K143" i="1" s="1"/>
  <c r="K144" i="1" s="1"/>
  <c r="L134" i="1"/>
  <c r="L143" i="1" s="1"/>
  <c r="L144" i="1" s="1"/>
  <c r="M134" i="1"/>
  <c r="M143" i="1" s="1"/>
  <c r="M144" i="1" s="1"/>
  <c r="N134" i="1"/>
  <c r="N143" i="1" s="1"/>
  <c r="N144" i="1" s="1"/>
  <c r="L136" i="1" l="1"/>
  <c r="N136" i="1"/>
  <c r="M136" i="1"/>
  <c r="L135" i="1"/>
  <c r="M135" i="1"/>
  <c r="N135" i="1"/>
  <c r="F135" i="1"/>
  <c r="F137" i="1" s="1"/>
  <c r="G135" i="1"/>
  <c r="G137" i="1" s="1"/>
  <c r="H135" i="1"/>
  <c r="H137" i="1" s="1"/>
  <c r="I135" i="1"/>
  <c r="I137" i="1" s="1"/>
  <c r="J135" i="1"/>
  <c r="J137" i="1" s="1"/>
  <c r="K135" i="1"/>
  <c r="K137" i="1" s="1"/>
  <c r="C143" i="1"/>
  <c r="C144" i="1" s="1"/>
  <c r="E143" i="1"/>
  <c r="E144" i="1" s="1"/>
  <c r="D143" i="1"/>
  <c r="D144" i="1" s="1"/>
  <c r="O134" i="1"/>
  <c r="L137" i="1" l="1"/>
  <c r="M137" i="1"/>
  <c r="N137" i="1"/>
  <c r="O136" i="1"/>
  <c r="O143" i="1"/>
  <c r="O137" i="1" l="1"/>
  <c r="O144" i="1"/>
  <c r="O135" i="1"/>
  <c r="C68" i="1" l="1"/>
  <c r="C35" i="1"/>
  <c r="C34" i="1"/>
  <c r="C33" i="1"/>
  <c r="C32" i="1"/>
  <c r="C31" i="1"/>
  <c r="C30" i="1"/>
  <c r="C65" i="1"/>
  <c r="E65" i="1" s="1"/>
  <c r="C64" i="1"/>
  <c r="E64" i="1" s="1"/>
  <c r="E66" i="1" l="1"/>
  <c r="C17" i="1" s="1"/>
  <c r="C90" i="1"/>
  <c r="C128" i="1"/>
  <c r="C77" i="1" l="1"/>
  <c r="C18" i="1"/>
  <c r="C15" i="1"/>
  <c r="C14" i="1"/>
  <c r="C50" i="1" l="1"/>
  <c r="E50" i="1" s="1"/>
  <c r="C49" i="1"/>
  <c r="E49" i="1" s="1"/>
  <c r="C37" i="1"/>
  <c r="C41" i="1"/>
  <c r="E41" i="1" s="1"/>
  <c r="C51" i="1"/>
  <c r="E51" i="1" s="1"/>
  <c r="C42" i="1"/>
  <c r="E42" i="1" s="1"/>
  <c r="C52" i="1"/>
  <c r="E52" i="1" s="1"/>
  <c r="C44" i="1"/>
  <c r="E44" i="1" s="1"/>
  <c r="C43" i="1"/>
  <c r="E43" i="1" s="1"/>
  <c r="C56" i="1"/>
  <c r="C60" i="1"/>
  <c r="C59" i="1"/>
  <c r="C57" i="1"/>
  <c r="E60" i="1"/>
  <c r="C48" i="1" s="1"/>
  <c r="E48" i="1" s="1"/>
  <c r="E59" i="1"/>
  <c r="E58" i="1"/>
  <c r="C46" i="1" s="1"/>
  <c r="E46" i="1" s="1"/>
  <c r="E57" i="1"/>
  <c r="E56" i="1"/>
  <c r="C45" i="1" s="1"/>
  <c r="E45" i="1" s="1"/>
  <c r="C94" i="1"/>
  <c r="C93" i="1"/>
  <c r="C105" i="1"/>
  <c r="C66" i="1"/>
  <c r="I9" i="1"/>
  <c r="I13" i="1"/>
  <c r="I12" i="1"/>
  <c r="I11" i="1"/>
  <c r="I10" i="1"/>
  <c r="C107" i="1"/>
  <c r="C82" i="1"/>
  <c r="C104" i="1"/>
  <c r="C92" i="1"/>
  <c r="C91" i="1"/>
  <c r="C58" i="1"/>
  <c r="C27" i="1"/>
  <c r="E19" i="2"/>
  <c r="F18" i="2"/>
  <c r="F17" i="2"/>
  <c r="F16" i="2"/>
  <c r="F15" i="2"/>
  <c r="F14" i="2"/>
  <c r="F19" i="2" s="1"/>
  <c r="E10" i="2"/>
  <c r="F9" i="2"/>
  <c r="F8" i="2"/>
  <c r="F7" i="2"/>
  <c r="F6" i="2"/>
  <c r="F5" i="2"/>
  <c r="F4" i="2"/>
  <c r="F10" i="2" s="1"/>
  <c r="F21" i="2" s="1"/>
  <c r="C47" i="1" l="1"/>
  <c r="E47" i="1" s="1"/>
  <c r="C76" i="1"/>
  <c r="C81" i="1"/>
  <c r="C95" i="1"/>
  <c r="E61" i="1"/>
  <c r="C61" i="1"/>
  <c r="I14" i="1"/>
  <c r="C16" i="1" s="1"/>
  <c r="N141" i="1" l="1"/>
  <c r="N142" i="1" s="1"/>
  <c r="C75" i="1"/>
  <c r="C80" i="1"/>
  <c r="O141" i="1" l="1"/>
  <c r="C38" i="1"/>
  <c r="I139" i="1" l="1"/>
  <c r="I140" i="1" s="1"/>
  <c r="H139" i="1"/>
  <c r="H140" i="1" s="1"/>
  <c r="G139" i="1"/>
  <c r="G140" i="1" s="1"/>
  <c r="J139" i="1"/>
  <c r="J140" i="1" s="1"/>
  <c r="E147" i="1"/>
  <c r="E149" i="1" s="1"/>
  <c r="D147" i="1"/>
  <c r="D149" i="1" s="1"/>
  <c r="F147" i="1"/>
  <c r="F149" i="1" s="1"/>
  <c r="C147" i="1"/>
  <c r="C149" i="1" s="1"/>
  <c r="O142" i="1"/>
  <c r="C73" i="1"/>
  <c r="L139" i="1"/>
  <c r="L140" i="1" s="1"/>
  <c r="K139" i="1"/>
  <c r="K140" i="1" s="1"/>
  <c r="N139" i="1"/>
  <c r="N140" i="1" s="1"/>
  <c r="M139" i="1"/>
  <c r="M140" i="1" s="1"/>
  <c r="C78" i="1"/>
  <c r="C53" i="1"/>
  <c r="C70" i="1" s="1"/>
  <c r="E53" i="1"/>
  <c r="I6" i="1" s="1"/>
  <c r="C19" i="1" s="1"/>
  <c r="C20" i="1" s="1"/>
  <c r="H147" i="1" l="1"/>
  <c r="H149" i="1" s="1"/>
  <c r="I147" i="1"/>
  <c r="I149" i="1" s="1"/>
  <c r="G147" i="1"/>
  <c r="G149" i="1" s="1"/>
  <c r="J147" i="1"/>
  <c r="J149" i="1" s="1"/>
  <c r="O139" i="1"/>
  <c r="K147" i="1"/>
  <c r="K149" i="1" s="1"/>
  <c r="L147" i="1"/>
  <c r="L149" i="1" s="1"/>
  <c r="C103" i="1"/>
  <c r="C102" i="1"/>
  <c r="C101" i="1"/>
  <c r="C74" i="1"/>
  <c r="C86" i="1"/>
  <c r="C100" i="1"/>
  <c r="C109" i="1"/>
  <c r="C83" i="1"/>
  <c r="C108" i="1"/>
  <c r="C111" i="1"/>
  <c r="C98" i="1"/>
  <c r="C110" i="1"/>
  <c r="C84" i="1"/>
  <c r="C99" i="1"/>
  <c r="C106" i="1"/>
  <c r="C85" i="1"/>
  <c r="C79" i="1"/>
  <c r="O140" i="1" l="1"/>
  <c r="C87" i="1"/>
  <c r="C112" i="1"/>
  <c r="N146" i="1" l="1"/>
  <c r="N147" i="1" s="1"/>
  <c r="N149" i="1" s="1"/>
  <c r="M146" i="1"/>
  <c r="C115" i="1"/>
  <c r="O146" i="1" l="1"/>
  <c r="M147" i="1"/>
  <c r="M149" i="1" s="1"/>
  <c r="C117" i="1"/>
  <c r="C4" i="1" s="1"/>
  <c r="E4" i="1" s="1"/>
  <c r="D47" i="1"/>
  <c r="D76" i="1"/>
  <c r="D58" i="1"/>
  <c r="D42" i="1"/>
  <c r="D81" i="1"/>
  <c r="D30" i="1"/>
  <c r="D43" i="1"/>
  <c r="D65" i="1"/>
  <c r="D32" i="1"/>
  <c r="D45" i="1"/>
  <c r="D46" i="1"/>
  <c r="D37" i="1"/>
  <c r="D56" i="1"/>
  <c r="D91" i="1"/>
  <c r="D50" i="1"/>
  <c r="D92" i="1"/>
  <c r="D51" i="1"/>
  <c r="D60" i="1"/>
  <c r="D73" i="1"/>
  <c r="D34" i="1"/>
  <c r="D57" i="1"/>
  <c r="D78" i="1"/>
  <c r="D59" i="1"/>
  <c r="D35" i="1"/>
  <c r="D48" i="1"/>
  <c r="D44" i="1"/>
  <c r="D94" i="1"/>
  <c r="D38" i="1"/>
  <c r="D90" i="1"/>
  <c r="D68" i="1"/>
  <c r="D41" i="1"/>
  <c r="D104" i="1"/>
  <c r="D77" i="1"/>
  <c r="D82" i="1"/>
  <c r="D49" i="1"/>
  <c r="D33" i="1"/>
  <c r="D64" i="1"/>
  <c r="D107" i="1"/>
  <c r="D93" i="1"/>
  <c r="D115" i="1"/>
  <c r="D61" i="1"/>
  <c r="D80" i="1"/>
  <c r="D105" i="1"/>
  <c r="D31" i="1"/>
  <c r="D52" i="1"/>
  <c r="D36" i="1"/>
  <c r="D75" i="1"/>
  <c r="D66" i="1"/>
  <c r="D95" i="1"/>
  <c r="D70" i="1"/>
  <c r="D74" i="1"/>
  <c r="D53" i="1"/>
  <c r="D85" i="1"/>
  <c r="D98" i="1"/>
  <c r="D106" i="1"/>
  <c r="D79" i="1"/>
  <c r="D101" i="1"/>
  <c r="D87" i="1"/>
  <c r="D111" i="1"/>
  <c r="D83" i="1"/>
  <c r="D99" i="1"/>
  <c r="D108" i="1"/>
  <c r="D103" i="1"/>
  <c r="D110" i="1"/>
  <c r="D84" i="1"/>
  <c r="D109" i="1"/>
  <c r="D102" i="1"/>
  <c r="D100" i="1"/>
  <c r="D86" i="1"/>
  <c r="D112" i="1"/>
  <c r="O147" i="1" l="1"/>
  <c r="O149" i="1"/>
</calcChain>
</file>

<file path=xl/sharedStrings.xml><?xml version="1.0" encoding="utf-8"?>
<sst xmlns="http://schemas.openxmlformats.org/spreadsheetml/2006/main" count="235" uniqueCount="169">
  <si>
    <t>Closed Loan Volume</t>
  </si>
  <si>
    <t>Revenue</t>
  </si>
  <si>
    <t>Executive Staff</t>
  </si>
  <si>
    <t>Salary</t>
  </si>
  <si>
    <t>With Benefits</t>
  </si>
  <si>
    <t>CFO</t>
  </si>
  <si>
    <t>Secondary Marketing</t>
  </si>
  <si>
    <t>Encompass Admin</t>
  </si>
  <si>
    <t>Compliance</t>
  </si>
  <si>
    <t>Operations Manager</t>
  </si>
  <si>
    <t>Admin Asst</t>
  </si>
  <si>
    <t>Total</t>
  </si>
  <si>
    <t>Production Staff</t>
  </si>
  <si>
    <t>Processors</t>
  </si>
  <si>
    <t>LOA</t>
  </si>
  <si>
    <t>Underwriter</t>
  </si>
  <si>
    <t>Closer</t>
  </si>
  <si>
    <t>Post Closer</t>
  </si>
  <si>
    <t>Total Salaries</t>
  </si>
  <si>
    <t>Net Income</t>
  </si>
  <si>
    <t>Servicing</t>
  </si>
  <si>
    <t>Secondary Marketing Manager</t>
  </si>
  <si>
    <t>Compliance Officer</t>
  </si>
  <si>
    <t>Encompass Administrator</t>
  </si>
  <si>
    <t>Admin Assistant</t>
  </si>
  <si>
    <t>Total Corporate Salaries</t>
  </si>
  <si>
    <t>Average Loan Amount</t>
  </si>
  <si>
    <t>Number of Units</t>
  </si>
  <si>
    <t>Operations Staff</t>
  </si>
  <si>
    <t>Underwriters</t>
  </si>
  <si>
    <t>LOA's</t>
  </si>
  <si>
    <t>Closers</t>
  </si>
  <si>
    <t>Loans per Processor</t>
  </si>
  <si>
    <t>Loans per LOA</t>
  </si>
  <si>
    <t>Loans per Underwriter</t>
  </si>
  <si>
    <t>Loans per Closer</t>
  </si>
  <si>
    <t>Processor Salary</t>
  </si>
  <si>
    <t>Underwriter Salary</t>
  </si>
  <si>
    <t>Closer Salary</t>
  </si>
  <si>
    <t>HR</t>
  </si>
  <si>
    <t>Health Insurance</t>
  </si>
  <si>
    <t>Life Insurance</t>
  </si>
  <si>
    <t>LOA Salary</t>
  </si>
  <si>
    <t>Total Expenses</t>
  </si>
  <si>
    <t>Corporate Salaries</t>
  </si>
  <si>
    <t>Loan Officer Comp</t>
  </si>
  <si>
    <t>Average Closing per LO</t>
  </si>
  <si>
    <t>LO Comp</t>
  </si>
  <si>
    <t>Total HR</t>
  </si>
  <si>
    <t>Loan Costs</t>
  </si>
  <si>
    <t>Warehouse Line</t>
  </si>
  <si>
    <t>Encompass</t>
  </si>
  <si>
    <t>Credit Reports</t>
  </si>
  <si>
    <t>Costs used to Calculate P &amp; L</t>
  </si>
  <si>
    <t>Total Loan Costs</t>
  </si>
  <si>
    <t>Other Expenses</t>
  </si>
  <si>
    <t>Rent</t>
  </si>
  <si>
    <t>Office Equipment</t>
  </si>
  <si>
    <t>Total Other Expenses</t>
  </si>
  <si>
    <t>IT Support</t>
  </si>
  <si>
    <t>Computers/ Printers</t>
  </si>
  <si>
    <t>Licensing</t>
  </si>
  <si>
    <t>Meals/ Entertainment</t>
  </si>
  <si>
    <t>Insurance</t>
  </si>
  <si>
    <t>LO Expense Reports</t>
  </si>
  <si>
    <t>Legal Fees</t>
  </si>
  <si>
    <t>Accounting Fees</t>
  </si>
  <si>
    <t>Internet</t>
  </si>
  <si>
    <t>Postage</t>
  </si>
  <si>
    <t>Marketing</t>
  </si>
  <si>
    <t>Percentage of Expenses</t>
  </si>
  <si>
    <t>Taxes SS- Corporate</t>
  </si>
  <si>
    <t>Taxes SS- Operations</t>
  </si>
  <si>
    <t>Taxes SS- Loan Officers</t>
  </si>
  <si>
    <t>Taxes Medicare- Corporate</t>
  </si>
  <si>
    <t>Taxes Medicare- Operations</t>
  </si>
  <si>
    <t>Taxes Medicare- Loan Officers</t>
  </si>
  <si>
    <t>Miscellaneous</t>
  </si>
  <si>
    <t>Onetime Setup Expenses</t>
  </si>
  <si>
    <t>Attorneys Fees</t>
  </si>
  <si>
    <t>Website</t>
  </si>
  <si>
    <t>Total Operations Staff Salaries</t>
  </si>
  <si>
    <t>HR- Payroll, 401k, etc.</t>
  </si>
  <si>
    <t>Total Onetime- Expenses</t>
  </si>
  <si>
    <t>Website updates</t>
  </si>
  <si>
    <t>Long/ Short Term Disability</t>
  </si>
  <si>
    <t>Disability Insurance</t>
  </si>
  <si>
    <t>Processor Count</t>
  </si>
  <si>
    <t>LOA Count</t>
  </si>
  <si>
    <t>Underwriter Count</t>
  </si>
  <si>
    <t>Closer Count</t>
  </si>
  <si>
    <t>Total Ops Count</t>
  </si>
  <si>
    <t>Ops Head Count</t>
  </si>
  <si>
    <t>401k</t>
  </si>
  <si>
    <t>Corporate Head Count</t>
  </si>
  <si>
    <t>Operations Staff Head Count</t>
  </si>
  <si>
    <t>Loan Officer Head Count</t>
  </si>
  <si>
    <t>Total Employee Head Count</t>
  </si>
  <si>
    <t>Middle Management Salaries</t>
  </si>
  <si>
    <t>Processing Manager</t>
  </si>
  <si>
    <t>Underwriting Manager</t>
  </si>
  <si>
    <t>Post Closer Salary</t>
  </si>
  <si>
    <t>Loans Per Post Closer</t>
  </si>
  <si>
    <t>Post Closer Count</t>
  </si>
  <si>
    <t>Closing Manager</t>
  </si>
  <si>
    <t>Total Middle Management Salaries</t>
  </si>
  <si>
    <t>Post Closing Manager</t>
  </si>
  <si>
    <t>Marketing Manager</t>
  </si>
  <si>
    <t>Sales Management</t>
  </si>
  <si>
    <t>Regional Manager</t>
  </si>
  <si>
    <t>Branch Manager</t>
  </si>
  <si>
    <t>Total Sales Management Salaries</t>
  </si>
  <si>
    <t>Taxes SS- Sales Management</t>
  </si>
  <si>
    <t>Accounting</t>
  </si>
  <si>
    <t>Human Resources</t>
  </si>
  <si>
    <t>Taxes SS - Middle Management</t>
  </si>
  <si>
    <t>IT</t>
  </si>
  <si>
    <t>Encompass &amp; CRM</t>
  </si>
  <si>
    <t>Appraisals</t>
  </si>
  <si>
    <t>Website Updates</t>
  </si>
  <si>
    <t>Middle Management Head Count</t>
  </si>
  <si>
    <t>Middle Mgt Head Count</t>
  </si>
  <si>
    <t>Gain on Sale Income - Basis Points</t>
  </si>
  <si>
    <t>Fee Income - Basis Points</t>
  </si>
  <si>
    <t>Post Closers</t>
  </si>
  <si>
    <t>Sales Mgt Head Count</t>
  </si>
  <si>
    <t>Regional Sales Mgr. Salary</t>
  </si>
  <si>
    <t>Branch Sales Mgr. Salary</t>
  </si>
  <si>
    <t>Overrides/ Bonuses</t>
  </si>
  <si>
    <t>Regional Sales Mgr.</t>
  </si>
  <si>
    <t>Mers, Verifications, etc.</t>
  </si>
  <si>
    <t>Secondary Marking Mgr</t>
  </si>
  <si>
    <t>Processing Managers</t>
  </si>
  <si>
    <t>Accounting Salary</t>
  </si>
  <si>
    <t>Encompass Salary</t>
  </si>
  <si>
    <t>IT Salary</t>
  </si>
  <si>
    <t>Taxes Medicare - Middle Management</t>
  </si>
  <si>
    <t>Taxes Medicare - Sales Management</t>
  </si>
  <si>
    <t>Basis Points on Net Income</t>
  </si>
  <si>
    <t>The Cells highlighted in Green are Variable and can be changed to fit your particular scenario. The others Cells should not be changed.</t>
  </si>
  <si>
    <t>Salaries</t>
  </si>
  <si>
    <t>HR Manager</t>
  </si>
  <si>
    <t>Licesning</t>
  </si>
  <si>
    <t>HR Staff</t>
  </si>
  <si>
    <t>President</t>
  </si>
  <si>
    <t>Mers, Verifications, etc</t>
  </si>
  <si>
    <t>LO Signing Bonuses</t>
  </si>
  <si>
    <t>Head of Compliance</t>
  </si>
  <si>
    <t>Head Count</t>
  </si>
  <si>
    <t>CASHFLOW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</si>
  <si>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</si>
  <si>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</si>
  <si>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</si>
  <si>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</si>
  <si>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</si>
  <si>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</si>
  <si>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</si>
  <si>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</si>
  <si>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</si>
  <si>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</si>
  <si>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</si>
  <si>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</si>
  <si>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HR Costs</t>
  </si>
  <si>
    <t>Ops Staff</t>
  </si>
  <si>
    <t>Fee Income</t>
  </si>
  <si>
    <t>Gain on Sale</t>
  </si>
  <si>
    <t>Total Revenue</t>
  </si>
  <si>
    <t>Secondary Marketing Mgr</t>
  </si>
  <si>
    <t>Branch Sales Mgr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</si>
</sst>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5" formatCode="#,##0.0000"/>
    <numFmt numFmtId="166" formatCode="0.000%"/>
    <numFmt numFmtId="167" formatCode="0.0"/>
    <numFmt numFmtId="168" formatCode="0.00000"/>
  </numFmts>
  <fonts count="7" x14ac:knownFonts="1"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2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1" fontId="4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left"/>
    </xf>
    <xf numFmtId="10" fontId="4" fillId="0" borderId="0" xfId="0" applyNumberFormat="1" applyFont="1" applyAlignment="1">
      <alignment horizontal="left"/>
    </xf>
    <xf numFmtId="164" fontId="4" fillId="2" borderId="0" xfId="0" applyNumberFormat="1" applyFont="1" applyFill="1"/>
    <xf numFmtId="165" fontId="4" fillId="2" borderId="0" xfId="0" applyNumberFormat="1" applyFont="1" applyFill="1"/>
    <xf numFmtId="1" fontId="4" fillId="2" borderId="0" xfId="0" applyNumberFormat="1" applyFont="1" applyFill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 vertical="center"/>
    </xf>
    <xf numFmtId="3" fontId="1" fillId="0" borderId="0" xfId="0" applyNumberFormat="1" applyFont="1"/>
    <xf numFmtId="3" fontId="5" fillId="0" borderId="0" xfId="0" applyNumberFormat="1" applyFont="1"/>
    <xf numFmtId="164" fontId="4" fillId="2" borderId="0" xfId="0" applyNumberFormat="1" applyFont="1" applyFill="1" applyAlignment="1">
      <alignment horizontal="right"/>
    </xf>
    <xf numFmtId="2" fontId="4" fillId="0" borderId="0" xfId="0" applyNumberFormat="1" applyFont="1"/>
    <xf numFmtId="2" fontId="1" fillId="0" borderId="0" xfId="0" applyNumberFormat="1" applyFont="1"/>
    <xf numFmtId="2" fontId="2" fillId="0" borderId="0" xfId="0" applyNumberFormat="1" applyFont="1"/>
    <xf numFmtId="0" fontId="4" fillId="2" borderId="0" xfId="0" applyFont="1" applyFill="1"/>
    <xf numFmtId="164" fontId="4" fillId="0" borderId="0" xfId="0" applyNumberFormat="1" applyFont="1" applyAlignment="1">
      <alignment horizontal="right" vertical="center"/>
    </xf>
    <xf numFmtId="167" fontId="4" fillId="0" borderId="0" xfId="0" applyNumberFormat="1" applyFont="1"/>
    <xf numFmtId="167" fontId="1" fillId="0" borderId="0" xfId="0" applyNumberFormat="1" applyFont="1"/>
    <xf numFmtId="168" fontId="4" fillId="0" borderId="0" xfId="0" applyNumberFormat="1" applyFont="1"/>
    <xf numFmtId="3" fontId="4" fillId="2" borderId="0" xfId="0" applyNumberFormat="1" applyFont="1" applyFill="1"/>
    <xf numFmtId="0" fontId="6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87D5-7297-47D1-A891-64191276CC27}">
  <dimension ref="B1:O150"/>
  <sheetViews>
    <sheetView tabSelected="1" workbookViewId="0"/>
  </sheetViews>
  <sheetFormatPr defaultRowHeight="18.75" x14ac:dyDescent="0.3"/>
  <cols>
    <col min="1" max="1" width="3.21875" style="6" customWidth="1"/>
    <col min="2" max="2" width="32.88671875" style="6" customWidth="1"/>
    <col min="3" max="3" width="12.77734375" style="6" customWidth="1"/>
    <col min="4" max="4" width="15.44140625" style="6" customWidth="1"/>
    <col min="5" max="5" width="23.21875" style="6" customWidth="1"/>
    <col min="6" max="6" width="18.44140625" style="6" customWidth="1"/>
    <col min="7" max="7" width="13.6640625" style="6" customWidth="1"/>
    <col min="8" max="8" width="21.21875" style="6" customWidth="1"/>
    <col min="9" max="9" width="13.5546875" style="6" customWidth="1"/>
    <col min="10" max="10" width="13.33203125" style="6" customWidth="1"/>
    <col min="11" max="11" width="12.44140625" style="6" customWidth="1"/>
    <col min="12" max="12" width="13.44140625" style="6" customWidth="1"/>
    <col min="13" max="13" width="14" style="6" customWidth="1"/>
    <col min="14" max="15" width="13.77734375" style="6" bestFit="1" customWidth="1"/>
    <col min="16" max="16" width="13.44140625" style="6" customWidth="1"/>
    <col min="17" max="16384" width="8.88671875" style="6"/>
  </cols>
  <sheetData>
    <row r="1" spans="2:9" x14ac:dyDescent="0.3">
      <c r="B1" s="6" t="s">
        <v>139</v>
      </c>
    </row>
    <row r="3" spans="2:9" x14ac:dyDescent="0.3">
      <c r="C3" s="21" t="s">
        <v>19</v>
      </c>
      <c r="D3" s="4"/>
      <c r="E3" s="4" t="s">
        <v>138</v>
      </c>
    </row>
    <row r="4" spans="2:9" x14ac:dyDescent="0.3">
      <c r="C4" s="7">
        <f>C117</f>
        <v>1611885.8488077112</v>
      </c>
      <c r="E4" s="33">
        <f>C4/C7</f>
        <v>8.0594292440385566E-3</v>
      </c>
    </row>
    <row r="5" spans="2:9" x14ac:dyDescent="0.3">
      <c r="C5" s="7"/>
    </row>
    <row r="6" spans="2:9" x14ac:dyDescent="0.3">
      <c r="B6" s="4" t="s">
        <v>53</v>
      </c>
      <c r="E6" s="4" t="s">
        <v>140</v>
      </c>
      <c r="H6" s="2" t="s">
        <v>121</v>
      </c>
      <c r="I6" s="28">
        <f>E53</f>
        <v>0</v>
      </c>
    </row>
    <row r="7" spans="2:9" x14ac:dyDescent="0.3">
      <c r="B7" s="6" t="s">
        <v>0</v>
      </c>
      <c r="C7" s="18">
        <v>200000000</v>
      </c>
      <c r="E7" s="6" t="s">
        <v>144</v>
      </c>
      <c r="F7" s="18">
        <v>350000</v>
      </c>
    </row>
    <row r="8" spans="2:9" x14ac:dyDescent="0.3">
      <c r="B8" s="6" t="s">
        <v>26</v>
      </c>
      <c r="C8" s="18">
        <v>375000</v>
      </c>
      <c r="E8" s="6" t="s">
        <v>5</v>
      </c>
      <c r="F8" s="34">
        <v>200000</v>
      </c>
      <c r="H8" s="4" t="s">
        <v>92</v>
      </c>
    </row>
    <row r="9" spans="2:9" x14ac:dyDescent="0.3">
      <c r="B9" s="6" t="s">
        <v>46</v>
      </c>
      <c r="C9" s="18">
        <v>15000000</v>
      </c>
      <c r="E9" s="9" t="s">
        <v>167</v>
      </c>
      <c r="F9" s="34">
        <v>250000</v>
      </c>
      <c r="H9" s="6" t="s">
        <v>87</v>
      </c>
      <c r="I9" s="26">
        <f>(C14/12) / C21</f>
        <v>2.2222222222222223</v>
      </c>
    </row>
    <row r="10" spans="2:9" x14ac:dyDescent="0.3">
      <c r="B10" s="6" t="s">
        <v>123</v>
      </c>
      <c r="C10" s="19">
        <v>0.03</v>
      </c>
      <c r="E10" s="9" t="s">
        <v>147</v>
      </c>
      <c r="F10" s="34">
        <v>150000</v>
      </c>
      <c r="H10" s="6" t="s">
        <v>88</v>
      </c>
      <c r="I10" s="26">
        <f>(C14/12) / C22</f>
        <v>2.2222222222222223</v>
      </c>
    </row>
    <row r="11" spans="2:9" x14ac:dyDescent="0.3">
      <c r="B11" s="6" t="s">
        <v>122</v>
      </c>
      <c r="C11" s="19">
        <v>4.4000000000000003E-3</v>
      </c>
      <c r="E11" s="9" t="s">
        <v>9</v>
      </c>
      <c r="F11" s="34">
        <v>150000</v>
      </c>
      <c r="H11" s="6" t="s">
        <v>89</v>
      </c>
      <c r="I11" s="26">
        <f>(C14/12) / C23</f>
        <v>1.1111111111111112</v>
      </c>
    </row>
    <row r="12" spans="2:9" x14ac:dyDescent="0.3">
      <c r="B12" s="6" t="s">
        <v>20</v>
      </c>
      <c r="C12" s="18"/>
      <c r="E12" s="9" t="s">
        <v>23</v>
      </c>
      <c r="F12" s="34">
        <v>175000</v>
      </c>
      <c r="H12" s="6" t="s">
        <v>90</v>
      </c>
      <c r="I12" s="26">
        <f>(C14/12) / C24</f>
        <v>1.1111111111111112</v>
      </c>
    </row>
    <row r="13" spans="2:9" x14ac:dyDescent="0.3">
      <c r="B13" s="6" t="s">
        <v>47</v>
      </c>
      <c r="C13" s="19">
        <v>7.4999999999999997E-3</v>
      </c>
      <c r="E13" s="9" t="s">
        <v>24</v>
      </c>
      <c r="F13" s="34">
        <v>75000</v>
      </c>
      <c r="H13" s="6" t="s">
        <v>103</v>
      </c>
      <c r="I13" s="26">
        <f>(C14/12) / C25</f>
        <v>0.74074074074074081</v>
      </c>
    </row>
    <row r="14" spans="2:9" x14ac:dyDescent="0.3">
      <c r="B14" s="6" t="s">
        <v>27</v>
      </c>
      <c r="C14" s="8">
        <f>C7/C8</f>
        <v>533.33333333333337</v>
      </c>
      <c r="E14" s="9" t="s">
        <v>141</v>
      </c>
      <c r="F14" s="18">
        <v>150000</v>
      </c>
      <c r="H14" s="2" t="s">
        <v>91</v>
      </c>
      <c r="I14" s="27">
        <f>SUM(I9:I13)</f>
        <v>7.4074074074074066</v>
      </c>
    </row>
    <row r="15" spans="2:9" x14ac:dyDescent="0.3">
      <c r="B15" s="6" t="s">
        <v>94</v>
      </c>
      <c r="C15" s="13">
        <f>COUNTA(B30:B36)</f>
        <v>7</v>
      </c>
      <c r="E15" s="9" t="s">
        <v>133</v>
      </c>
      <c r="F15" s="18">
        <v>100000</v>
      </c>
    </row>
    <row r="16" spans="2:9" x14ac:dyDescent="0.3">
      <c r="B16" s="6" t="s">
        <v>95</v>
      </c>
      <c r="C16" s="13">
        <f>I14</f>
        <v>7.4074074074074066</v>
      </c>
      <c r="E16" s="9" t="s">
        <v>6</v>
      </c>
      <c r="F16" s="18">
        <v>100000</v>
      </c>
      <c r="H16" s="4" t="s">
        <v>128</v>
      </c>
    </row>
    <row r="17" spans="2:9" x14ac:dyDescent="0.3">
      <c r="B17" s="6" t="s">
        <v>125</v>
      </c>
      <c r="C17" s="26">
        <f>E66</f>
        <v>0</v>
      </c>
      <c r="E17" s="6" t="s">
        <v>22</v>
      </c>
      <c r="F17" s="18">
        <v>100000</v>
      </c>
      <c r="H17" s="6" t="s">
        <v>144</v>
      </c>
      <c r="I17" s="29">
        <v>5.0000000000000001E-4</v>
      </c>
    </row>
    <row r="18" spans="2:9" x14ac:dyDescent="0.3">
      <c r="B18" s="6" t="s">
        <v>96</v>
      </c>
      <c r="C18" s="13">
        <f>C7/C9</f>
        <v>13.333333333333334</v>
      </c>
      <c r="E18" s="6" t="s">
        <v>114</v>
      </c>
      <c r="F18" s="18">
        <v>100000</v>
      </c>
      <c r="H18" s="6" t="s">
        <v>129</v>
      </c>
      <c r="I18" s="29">
        <v>5.0000000000000001E-4</v>
      </c>
    </row>
    <row r="19" spans="2:9" x14ac:dyDescent="0.3">
      <c r="B19" s="6" t="s">
        <v>120</v>
      </c>
      <c r="C19" s="13">
        <f>I6</f>
        <v>0</v>
      </c>
      <c r="E19" s="9" t="s">
        <v>99</v>
      </c>
      <c r="F19" s="18">
        <v>125000</v>
      </c>
      <c r="H19" s="6" t="s">
        <v>168</v>
      </c>
      <c r="I19" s="29">
        <v>1E-3</v>
      </c>
    </row>
    <row r="20" spans="2:9" x14ac:dyDescent="0.3">
      <c r="B20" s="6" t="s">
        <v>97</v>
      </c>
      <c r="C20" s="13">
        <f>SUM(C15:C19)</f>
        <v>27.74074074074074</v>
      </c>
      <c r="E20" s="9" t="s">
        <v>100</v>
      </c>
      <c r="F20" s="18">
        <v>175000</v>
      </c>
      <c r="H20" s="6" t="s">
        <v>131</v>
      </c>
      <c r="I20" s="29">
        <v>1E-4</v>
      </c>
    </row>
    <row r="21" spans="2:9" x14ac:dyDescent="0.3">
      <c r="B21" s="6" t="s">
        <v>32</v>
      </c>
      <c r="C21" s="20">
        <v>20</v>
      </c>
      <c r="E21" s="9" t="s">
        <v>104</v>
      </c>
      <c r="F21" s="18">
        <v>125000</v>
      </c>
      <c r="H21" s="6" t="s">
        <v>132</v>
      </c>
      <c r="I21" s="29"/>
    </row>
    <row r="22" spans="2:9" x14ac:dyDescent="0.3">
      <c r="B22" s="6" t="s">
        <v>33</v>
      </c>
      <c r="C22" s="20">
        <v>20</v>
      </c>
      <c r="E22" s="9" t="s">
        <v>106</v>
      </c>
      <c r="F22" s="18">
        <v>100000</v>
      </c>
      <c r="H22" s="6" t="s">
        <v>104</v>
      </c>
      <c r="I22" s="29"/>
    </row>
    <row r="23" spans="2:9" x14ac:dyDescent="0.3">
      <c r="B23" s="6" t="s">
        <v>34</v>
      </c>
      <c r="C23" s="20">
        <v>40</v>
      </c>
      <c r="E23" s="9" t="s">
        <v>107</v>
      </c>
      <c r="F23" s="18">
        <v>100000</v>
      </c>
      <c r="H23" s="6" t="s">
        <v>13</v>
      </c>
      <c r="I23" s="18">
        <v>50</v>
      </c>
    </row>
    <row r="24" spans="2:9" x14ac:dyDescent="0.3">
      <c r="B24" s="6" t="s">
        <v>35</v>
      </c>
      <c r="C24" s="20">
        <v>40</v>
      </c>
      <c r="E24" s="9" t="s">
        <v>143</v>
      </c>
      <c r="F24" s="18">
        <v>100000</v>
      </c>
      <c r="H24" s="6" t="s">
        <v>14</v>
      </c>
      <c r="I24" s="29">
        <v>5.0000000000000001E-4</v>
      </c>
    </row>
    <row r="25" spans="2:9" x14ac:dyDescent="0.3">
      <c r="B25" s="6" t="s">
        <v>102</v>
      </c>
      <c r="C25" s="20">
        <v>60</v>
      </c>
      <c r="E25" s="9" t="s">
        <v>134</v>
      </c>
      <c r="F25" s="18">
        <v>150000</v>
      </c>
      <c r="H25" s="6" t="s">
        <v>31</v>
      </c>
      <c r="I25" s="18">
        <v>25</v>
      </c>
    </row>
    <row r="26" spans="2:9" x14ac:dyDescent="0.3">
      <c r="E26" s="9" t="s">
        <v>135</v>
      </c>
      <c r="F26" s="18">
        <v>150000</v>
      </c>
      <c r="H26" s="6" t="s">
        <v>124</v>
      </c>
      <c r="I26" s="18">
        <v>10</v>
      </c>
    </row>
    <row r="27" spans="2:9" x14ac:dyDescent="0.3">
      <c r="B27" s="4" t="s">
        <v>1</v>
      </c>
      <c r="C27" s="3">
        <f>(C7*C10) + (C7*C11)</f>
        <v>6880000</v>
      </c>
      <c r="E27" s="6" t="s">
        <v>36</v>
      </c>
      <c r="F27" s="18">
        <v>75000</v>
      </c>
      <c r="H27" s="6" t="s">
        <v>146</v>
      </c>
      <c r="I27" s="19">
        <v>1E-3</v>
      </c>
    </row>
    <row r="28" spans="2:9" x14ac:dyDescent="0.3">
      <c r="C28" s="7"/>
      <c r="E28" s="6" t="s">
        <v>42</v>
      </c>
      <c r="F28" s="18">
        <v>75000</v>
      </c>
    </row>
    <row r="29" spans="2:9" x14ac:dyDescent="0.3">
      <c r="B29" s="4" t="s">
        <v>44</v>
      </c>
      <c r="C29" s="21" t="s">
        <v>3</v>
      </c>
      <c r="D29" s="4" t="s">
        <v>70</v>
      </c>
      <c r="E29" s="6" t="s">
        <v>37</v>
      </c>
      <c r="F29" s="18">
        <v>100000</v>
      </c>
    </row>
    <row r="30" spans="2:9" x14ac:dyDescent="0.3">
      <c r="B30" s="9" t="s">
        <v>144</v>
      </c>
      <c r="C30" s="10">
        <f>F7 + (C7*I17)</f>
        <v>450000</v>
      </c>
      <c r="D30" s="16">
        <f t="shared" ref="D30:D38" si="0">C30/ C$115</f>
        <v>8.5419561362039806E-2</v>
      </c>
      <c r="E30" s="6" t="s">
        <v>38</v>
      </c>
      <c r="F30" s="18">
        <v>75000</v>
      </c>
      <c r="G30" s="7"/>
    </row>
    <row r="31" spans="2:9" x14ac:dyDescent="0.3">
      <c r="B31" s="9" t="s">
        <v>5</v>
      </c>
      <c r="C31" s="10">
        <f>F8</f>
        <v>200000</v>
      </c>
      <c r="D31" s="16">
        <f t="shared" si="0"/>
        <v>3.7964249494239918E-2</v>
      </c>
      <c r="E31" s="6" t="s">
        <v>101</v>
      </c>
      <c r="F31" s="18">
        <v>60000</v>
      </c>
      <c r="G31" s="7"/>
    </row>
    <row r="32" spans="2:9" x14ac:dyDescent="0.3">
      <c r="B32" s="9" t="s">
        <v>21</v>
      </c>
      <c r="C32" s="10">
        <f xml:space="preserve"> F9 + ( I20* C7)</f>
        <v>270000</v>
      </c>
      <c r="D32" s="16">
        <f t="shared" si="0"/>
        <v>5.1251736817223885E-2</v>
      </c>
      <c r="E32" s="6" t="s">
        <v>126</v>
      </c>
      <c r="F32" s="18">
        <v>250000</v>
      </c>
      <c r="G32" s="7"/>
    </row>
    <row r="33" spans="2:7" x14ac:dyDescent="0.3">
      <c r="B33" s="9" t="s">
        <v>147</v>
      </c>
      <c r="C33" s="10">
        <f>F10</f>
        <v>150000</v>
      </c>
      <c r="D33" s="16">
        <f t="shared" si="0"/>
        <v>2.8473187120679939E-2</v>
      </c>
      <c r="E33" s="6" t="s">
        <v>127</v>
      </c>
      <c r="F33" s="18">
        <v>75000</v>
      </c>
      <c r="G33" s="7"/>
    </row>
    <row r="34" spans="2:7" x14ac:dyDescent="0.3">
      <c r="B34" s="9" t="s">
        <v>9</v>
      </c>
      <c r="C34" s="10">
        <f>F11</f>
        <v>150000</v>
      </c>
      <c r="D34" s="16">
        <f t="shared" si="0"/>
        <v>2.8473187120679939E-2</v>
      </c>
      <c r="G34" s="7"/>
    </row>
    <row r="35" spans="2:7" x14ac:dyDescent="0.3">
      <c r="B35" s="9" t="s">
        <v>23</v>
      </c>
      <c r="C35" s="10">
        <f>F12</f>
        <v>175000</v>
      </c>
      <c r="D35" s="16">
        <f t="shared" si="0"/>
        <v>3.3218718307459927E-2</v>
      </c>
      <c r="G35" s="7"/>
    </row>
    <row r="36" spans="2:7" x14ac:dyDescent="0.3">
      <c r="B36" s="9" t="s">
        <v>24</v>
      </c>
      <c r="C36" s="10">
        <v>75000</v>
      </c>
      <c r="D36" s="16">
        <f t="shared" si="0"/>
        <v>1.4236593560339969E-2</v>
      </c>
      <c r="G36" s="7"/>
    </row>
    <row r="37" spans="2:7" x14ac:dyDescent="0.3">
      <c r="B37" s="9" t="s">
        <v>141</v>
      </c>
      <c r="C37" s="30">
        <f>IF(C$14&gt;=1000,(1)*F14,0)</f>
        <v>0</v>
      </c>
      <c r="D37" s="16">
        <f t="shared" si="0"/>
        <v>0</v>
      </c>
      <c r="G37" s="7"/>
    </row>
    <row r="38" spans="2:7" x14ac:dyDescent="0.3">
      <c r="B38" s="11" t="s">
        <v>25</v>
      </c>
      <c r="C38" s="15">
        <f>SUM(C30:C37)</f>
        <v>1470000</v>
      </c>
      <c r="D38" s="16">
        <f t="shared" si="0"/>
        <v>0.27903723378266337</v>
      </c>
      <c r="G38" s="7"/>
    </row>
    <row r="39" spans="2:7" x14ac:dyDescent="0.3">
      <c r="B39" s="11"/>
      <c r="C39" s="15"/>
      <c r="D39" s="16"/>
      <c r="G39" s="7"/>
    </row>
    <row r="40" spans="2:7" x14ac:dyDescent="0.3">
      <c r="B40" s="12" t="s">
        <v>98</v>
      </c>
      <c r="C40" s="15"/>
      <c r="D40" s="16"/>
      <c r="E40" s="4" t="s">
        <v>148</v>
      </c>
      <c r="G40" s="7"/>
    </row>
    <row r="41" spans="2:7" x14ac:dyDescent="0.3">
      <c r="B41" s="9" t="s">
        <v>113</v>
      </c>
      <c r="C41" s="30">
        <f>IF(C$14&gt;=1000,(C$14/1000)*F15,0)</f>
        <v>0</v>
      </c>
      <c r="D41" s="16">
        <f t="shared" ref="D41:D53" si="1">C41/ C$115</f>
        <v>0</v>
      </c>
      <c r="E41" s="31">
        <f>IF(C41&gt;=1,(C$14/1000),0)</f>
        <v>0</v>
      </c>
      <c r="G41" s="7"/>
    </row>
    <row r="42" spans="2:7" x14ac:dyDescent="0.3">
      <c r="B42" s="9" t="s">
        <v>6</v>
      </c>
      <c r="C42" s="30">
        <f>IF(C$14&gt;=1000,(C$14/1000)*F16,0)</f>
        <v>0</v>
      </c>
      <c r="D42" s="16">
        <f t="shared" si="1"/>
        <v>0</v>
      </c>
      <c r="E42" s="31">
        <f>IF(C42&gt;=1,(C$14/1000),0)</f>
        <v>0</v>
      </c>
      <c r="G42" s="7"/>
    </row>
    <row r="43" spans="2:7" x14ac:dyDescent="0.3">
      <c r="B43" s="6" t="s">
        <v>22</v>
      </c>
      <c r="C43" s="30">
        <f>IF(C$14&gt;=1000,(C$14/1000)*F17,0)</f>
        <v>0</v>
      </c>
      <c r="D43" s="16">
        <f t="shared" si="1"/>
        <v>0</v>
      </c>
      <c r="E43" s="31">
        <f>IF(C43&gt;=1,(C$14/1000),0)</f>
        <v>0</v>
      </c>
      <c r="G43" s="7"/>
    </row>
    <row r="44" spans="2:7" x14ac:dyDescent="0.3">
      <c r="B44" s="6" t="s">
        <v>114</v>
      </c>
      <c r="C44" s="30">
        <f>IF(C$14&gt;=1000,(C$14/1000)*F18,0)</f>
        <v>0</v>
      </c>
      <c r="D44" s="16">
        <f t="shared" si="1"/>
        <v>0</v>
      </c>
      <c r="E44" s="31">
        <f>IF(C44&gt;=1,(C$14/1000),0)</f>
        <v>0</v>
      </c>
      <c r="G44" s="7"/>
    </row>
    <row r="45" spans="2:7" x14ac:dyDescent="0.3">
      <c r="B45" s="9" t="s">
        <v>99</v>
      </c>
      <c r="C45" s="30">
        <f>IF(E56&gt;=3,(C$14/800)*F19,0)</f>
        <v>0</v>
      </c>
      <c r="D45" s="16">
        <f t="shared" si="1"/>
        <v>0</v>
      </c>
      <c r="E45" s="31">
        <f>IF(C45&gt;=1,(C$14/800),0)</f>
        <v>0</v>
      </c>
      <c r="G45" s="7"/>
    </row>
    <row r="46" spans="2:7" x14ac:dyDescent="0.3">
      <c r="B46" s="9" t="s">
        <v>100</v>
      </c>
      <c r="C46" s="30">
        <f>IF(E58&gt;=2,(C$14/2000)*F20,0)</f>
        <v>0</v>
      </c>
      <c r="D46" s="16">
        <f t="shared" si="1"/>
        <v>0</v>
      </c>
      <c r="E46" s="31">
        <f>IF(C46&gt;=1,(C$14/2000),0)</f>
        <v>0</v>
      </c>
      <c r="G46" s="7"/>
    </row>
    <row r="47" spans="2:7" x14ac:dyDescent="0.3">
      <c r="B47" s="9" t="s">
        <v>104</v>
      </c>
      <c r="C47" s="30">
        <f>IF(E59&gt;=2,(C$14/2000)*F21,0)</f>
        <v>0</v>
      </c>
      <c r="D47" s="16">
        <f t="shared" si="1"/>
        <v>0</v>
      </c>
      <c r="E47" s="31">
        <f>IF(C47&gt;=1,(C$14/2000),0)</f>
        <v>0</v>
      </c>
      <c r="G47" s="7"/>
    </row>
    <row r="48" spans="2:7" x14ac:dyDescent="0.3">
      <c r="B48" s="9" t="s">
        <v>106</v>
      </c>
      <c r="C48" s="30">
        <f>IF(E60&gt;=3,(C$14/2000)*F22,0)</f>
        <v>0</v>
      </c>
      <c r="D48" s="16">
        <f t="shared" si="1"/>
        <v>0</v>
      </c>
      <c r="E48" s="31">
        <f>IF(C48&gt;=1,(C$14/2000),0)</f>
        <v>0</v>
      </c>
      <c r="G48" s="7"/>
    </row>
    <row r="49" spans="2:7" x14ac:dyDescent="0.3">
      <c r="B49" s="9" t="s">
        <v>107</v>
      </c>
      <c r="C49" s="30">
        <f>IF(C$14&gt;=1000,(C$14/1000)*F23,0)</f>
        <v>0</v>
      </c>
      <c r="D49" s="16">
        <f t="shared" si="1"/>
        <v>0</v>
      </c>
      <c r="E49" s="31">
        <f>IF(C49&gt;=1,(C$14/2000),0)</f>
        <v>0</v>
      </c>
      <c r="G49" s="7"/>
    </row>
    <row r="50" spans="2:7" x14ac:dyDescent="0.3">
      <c r="B50" s="9" t="s">
        <v>143</v>
      </c>
      <c r="C50" s="30">
        <f>IF(C$14&gt;=800,(C$14/800)*F24,0)</f>
        <v>0</v>
      </c>
      <c r="D50" s="16">
        <f t="shared" si="1"/>
        <v>0</v>
      </c>
      <c r="E50" s="31">
        <f>IF(C50&gt;=1,(C$14/800),0)</f>
        <v>0</v>
      </c>
      <c r="G50" s="7"/>
    </row>
    <row r="51" spans="2:7" x14ac:dyDescent="0.3">
      <c r="B51" s="9" t="s">
        <v>7</v>
      </c>
      <c r="C51" s="30">
        <f>IF(C$14&gt;=1500,(C$14/1500)*F25,0)</f>
        <v>0</v>
      </c>
      <c r="D51" s="16">
        <f t="shared" si="1"/>
        <v>0</v>
      </c>
      <c r="E51" s="31">
        <f>IF(C51&gt;=1,(C$14/1500),0)</f>
        <v>0</v>
      </c>
      <c r="G51" s="7"/>
    </row>
    <row r="52" spans="2:7" x14ac:dyDescent="0.3">
      <c r="B52" s="9" t="s">
        <v>116</v>
      </c>
      <c r="C52" s="30">
        <f>IF(C$14&gt;=1000,(C$14/1000)*F26,0)</f>
        <v>0</v>
      </c>
      <c r="D52" s="16">
        <f t="shared" si="1"/>
        <v>0</v>
      </c>
      <c r="E52" s="31">
        <f>IF(C52&gt;=1,(C$14/1000),0)</f>
        <v>0</v>
      </c>
      <c r="G52" s="7"/>
    </row>
    <row r="53" spans="2:7" x14ac:dyDescent="0.3">
      <c r="B53" s="11" t="s">
        <v>105</v>
      </c>
      <c r="C53" s="15">
        <f>SUM(C41:C52)</f>
        <v>0</v>
      </c>
      <c r="D53" s="16">
        <f t="shared" si="1"/>
        <v>0</v>
      </c>
      <c r="E53" s="32">
        <f>SUM(E41:E52)</f>
        <v>0</v>
      </c>
      <c r="G53" s="7"/>
    </row>
    <row r="54" spans="2:7" x14ac:dyDescent="0.3">
      <c r="B54" s="12"/>
      <c r="C54" s="7"/>
    </row>
    <row r="55" spans="2:7" x14ac:dyDescent="0.3">
      <c r="B55" s="12" t="s">
        <v>28</v>
      </c>
      <c r="C55" s="22" t="s">
        <v>3</v>
      </c>
      <c r="E55" s="4" t="s">
        <v>148</v>
      </c>
    </row>
    <row r="56" spans="2:7" x14ac:dyDescent="0.3">
      <c r="B56" s="6" t="s">
        <v>13</v>
      </c>
      <c r="C56" s="7">
        <f>( C14/12) / C21 *(F27) + (C14*I23)</f>
        <v>193333.33333333334</v>
      </c>
      <c r="D56" s="16">
        <f t="shared" ref="D56:D61" si="2">C56/ C$115</f>
        <v>3.6698774511098591E-2</v>
      </c>
      <c r="E56" s="26">
        <f>(C14/12) / C21</f>
        <v>2.2222222222222223</v>
      </c>
    </row>
    <row r="57" spans="2:7" x14ac:dyDescent="0.3">
      <c r="B57" s="6" t="s">
        <v>30</v>
      </c>
      <c r="C57" s="7">
        <f>(C14/12) / C22 * (F28) + (C7*I24)</f>
        <v>266666.66666666669</v>
      </c>
      <c r="D57" s="16">
        <f t="shared" si="2"/>
        <v>5.0618999325653224E-2</v>
      </c>
      <c r="E57" s="26">
        <f xml:space="preserve"> (C14/12) / C22</f>
        <v>2.2222222222222223</v>
      </c>
    </row>
    <row r="58" spans="2:7" x14ac:dyDescent="0.3">
      <c r="B58" s="6" t="s">
        <v>29</v>
      </c>
      <c r="C58" s="7">
        <f>(C14/12) / C23 *(F29)</f>
        <v>111111.11111111111</v>
      </c>
      <c r="D58" s="16">
        <f t="shared" si="2"/>
        <v>2.1091249719022175E-2</v>
      </c>
      <c r="E58" s="26">
        <f>(C14/12) / C23</f>
        <v>1.1111111111111112</v>
      </c>
    </row>
    <row r="59" spans="2:7" x14ac:dyDescent="0.3">
      <c r="B59" s="6" t="s">
        <v>31</v>
      </c>
      <c r="C59" s="7">
        <f>(C14/12) / C24 * (F30) + (C14*I25)</f>
        <v>96666.666666666672</v>
      </c>
      <c r="D59" s="16">
        <f t="shared" si="2"/>
        <v>1.8349387255549295E-2</v>
      </c>
      <c r="E59" s="26">
        <f>(C14/12) / C24</f>
        <v>1.1111111111111112</v>
      </c>
    </row>
    <row r="60" spans="2:7" x14ac:dyDescent="0.3">
      <c r="B60" s="6" t="s">
        <v>124</v>
      </c>
      <c r="C60" s="7">
        <f>(C14/12) / C25 * F31 + (C14* I26)</f>
        <v>49777.777777777781</v>
      </c>
      <c r="D60" s="16">
        <f t="shared" si="2"/>
        <v>9.4488798741219349E-3</v>
      </c>
      <c r="E60" s="26">
        <f>(C14/12) / C25</f>
        <v>0.74074074074074081</v>
      </c>
    </row>
    <row r="61" spans="2:7" x14ac:dyDescent="0.3">
      <c r="B61" s="2" t="s">
        <v>81</v>
      </c>
      <c r="C61" s="14">
        <f>SUM(C56:C60)</f>
        <v>717555.5555555555</v>
      </c>
      <c r="D61" s="16">
        <f t="shared" si="2"/>
        <v>0.13620729068544521</v>
      </c>
      <c r="E61" s="27">
        <f>SUM(E56:E60)</f>
        <v>7.4074074074074066</v>
      </c>
    </row>
    <row r="62" spans="2:7" x14ac:dyDescent="0.3">
      <c r="B62" s="2"/>
      <c r="C62" s="14"/>
      <c r="D62" s="16"/>
      <c r="E62" s="26"/>
    </row>
    <row r="63" spans="2:7" x14ac:dyDescent="0.3">
      <c r="B63" s="4" t="s">
        <v>108</v>
      </c>
      <c r="C63" s="7"/>
      <c r="D63" s="16"/>
      <c r="E63" s="4" t="s">
        <v>148</v>
      </c>
    </row>
    <row r="64" spans="2:7" x14ac:dyDescent="0.3">
      <c r="B64" s="6" t="s">
        <v>109</v>
      </c>
      <c r="C64" s="7">
        <f>IF(C7&gt;=400000000,(C7/400000000)*(F32)+(C7*I18),0)</f>
        <v>0</v>
      </c>
      <c r="D64" s="16">
        <f>C64/ C$115</f>
        <v>0</v>
      </c>
      <c r="E64" s="26">
        <f>IF(C64&gt;=1, (C7/400000000), 0)</f>
        <v>0</v>
      </c>
    </row>
    <row r="65" spans="2:5" x14ac:dyDescent="0.3">
      <c r="B65" s="6" t="s">
        <v>110</v>
      </c>
      <c r="C65" s="7">
        <f>IF(C7&gt;=400000000,(C7/100000000)*(F33)+(C7*I19),0)</f>
        <v>0</v>
      </c>
      <c r="D65" s="16">
        <f>C65/ C$115</f>
        <v>0</v>
      </c>
      <c r="E65" s="26">
        <f>IF(C65&gt;= 1, (C7/100000000), 0)</f>
        <v>0</v>
      </c>
    </row>
    <row r="66" spans="2:5" x14ac:dyDescent="0.3">
      <c r="B66" s="2" t="s">
        <v>111</v>
      </c>
      <c r="C66" s="3">
        <f>SUM(C64:C65)</f>
        <v>0</v>
      </c>
      <c r="D66" s="16">
        <f>C66/ C$115</f>
        <v>0</v>
      </c>
      <c r="E66" s="27">
        <f>SUM(E64:E65)</f>
        <v>0</v>
      </c>
    </row>
    <row r="67" spans="2:5" x14ac:dyDescent="0.3">
      <c r="B67" s="2"/>
      <c r="C67" s="7"/>
      <c r="D67" s="16"/>
      <c r="E67" s="26"/>
    </row>
    <row r="68" spans="2:5" x14ac:dyDescent="0.3">
      <c r="B68" s="4" t="s">
        <v>45</v>
      </c>
      <c r="C68" s="14">
        <f>(C7*C13) +(C7*I27)</f>
        <v>1700000</v>
      </c>
      <c r="D68" s="16">
        <f>C68/ C$115</f>
        <v>0.32269612070103931</v>
      </c>
      <c r="E68" s="26"/>
    </row>
    <row r="69" spans="2:5" x14ac:dyDescent="0.3">
      <c r="B69" s="2"/>
      <c r="C69" s="3"/>
      <c r="E69" s="26"/>
    </row>
    <row r="70" spans="2:5" x14ac:dyDescent="0.3">
      <c r="B70" s="4" t="s">
        <v>18</v>
      </c>
      <c r="C70" s="14">
        <f xml:space="preserve"> C38 + C53 + C61 + C66 + C68</f>
        <v>3887555.5555555555</v>
      </c>
      <c r="D70" s="16">
        <f>C70/ C$115</f>
        <v>0.73794064516914792</v>
      </c>
      <c r="E70" s="26"/>
    </row>
    <row r="71" spans="2:5" x14ac:dyDescent="0.3">
      <c r="C71" s="7"/>
    </row>
    <row r="72" spans="2:5" x14ac:dyDescent="0.3">
      <c r="B72" s="4" t="s">
        <v>39</v>
      </c>
      <c r="C72" s="7"/>
    </row>
    <row r="73" spans="2:5" x14ac:dyDescent="0.3">
      <c r="B73" s="6" t="s">
        <v>71</v>
      </c>
      <c r="C73" s="7">
        <f xml:space="preserve"> C38 * 0.0765</f>
        <v>112455</v>
      </c>
      <c r="D73" s="16">
        <f t="shared" ref="D73:D87" si="3">C73/ C$115</f>
        <v>2.1346348384373749E-2</v>
      </c>
    </row>
    <row r="74" spans="2:5" x14ac:dyDescent="0.3">
      <c r="B74" s="9" t="s">
        <v>115</v>
      </c>
      <c r="C74" s="7">
        <f>C53 * 0.0765</f>
        <v>0</v>
      </c>
      <c r="D74" s="16">
        <f t="shared" si="3"/>
        <v>0</v>
      </c>
    </row>
    <row r="75" spans="2:5" x14ac:dyDescent="0.3">
      <c r="B75" s="6" t="s">
        <v>72</v>
      </c>
      <c r="C75" s="7">
        <f>C61*0.0765</f>
        <v>54892.999999999993</v>
      </c>
      <c r="D75" s="16">
        <f t="shared" si="3"/>
        <v>1.0419857737436557E-2</v>
      </c>
    </row>
    <row r="76" spans="2:5" x14ac:dyDescent="0.3">
      <c r="B76" s="6" t="s">
        <v>112</v>
      </c>
      <c r="C76" s="7">
        <f>C66*0.0765</f>
        <v>0</v>
      </c>
      <c r="D76" s="16">
        <f t="shared" si="3"/>
        <v>0</v>
      </c>
    </row>
    <row r="77" spans="2:5" x14ac:dyDescent="0.3">
      <c r="B77" s="6" t="s">
        <v>73</v>
      </c>
      <c r="C77" s="7">
        <f>C68 * 0.0765</f>
        <v>130050</v>
      </c>
      <c r="D77" s="16">
        <f t="shared" si="3"/>
        <v>2.4686253233629506E-2</v>
      </c>
    </row>
    <row r="78" spans="2:5" x14ac:dyDescent="0.3">
      <c r="B78" s="6" t="s">
        <v>74</v>
      </c>
      <c r="C78" s="7">
        <f>C38*0.0145</f>
        <v>21315</v>
      </c>
      <c r="D78" s="16">
        <f t="shared" si="3"/>
        <v>4.0460398898486188E-3</v>
      </c>
    </row>
    <row r="79" spans="2:5" x14ac:dyDescent="0.3">
      <c r="B79" s="9" t="s">
        <v>136</v>
      </c>
      <c r="C79" s="7">
        <f>C53*0.0145</f>
        <v>0</v>
      </c>
      <c r="D79" s="16">
        <f t="shared" si="3"/>
        <v>0</v>
      </c>
    </row>
    <row r="80" spans="2:5" x14ac:dyDescent="0.3">
      <c r="B80" s="6" t="s">
        <v>75</v>
      </c>
      <c r="C80" s="7">
        <f>C61* 0.0145</f>
        <v>10404.555555555555</v>
      </c>
      <c r="D80" s="16">
        <f t="shared" si="3"/>
        <v>1.9750057149389554E-3</v>
      </c>
    </row>
    <row r="81" spans="2:6" x14ac:dyDescent="0.3">
      <c r="B81" s="6" t="s">
        <v>137</v>
      </c>
      <c r="C81" s="7">
        <f>C66*0.0145</f>
        <v>0</v>
      </c>
      <c r="D81" s="16">
        <f t="shared" si="3"/>
        <v>0</v>
      </c>
    </row>
    <row r="82" spans="2:6" x14ac:dyDescent="0.3">
      <c r="B82" s="6" t="s">
        <v>76</v>
      </c>
      <c r="C82" s="7">
        <f>C68 * 0.0145</f>
        <v>24650</v>
      </c>
      <c r="D82" s="16">
        <f t="shared" si="3"/>
        <v>4.6790937501650694E-3</v>
      </c>
    </row>
    <row r="83" spans="2:6" x14ac:dyDescent="0.3">
      <c r="B83" s="6" t="s">
        <v>40</v>
      </c>
      <c r="C83" s="7">
        <f xml:space="preserve"> C20* F83</f>
        <v>16644.444444444445</v>
      </c>
      <c r="D83" s="16">
        <f t="shared" si="3"/>
        <v>3.1594692079095223E-3</v>
      </c>
      <c r="E83" s="6" t="s">
        <v>40</v>
      </c>
      <c r="F83" s="18">
        <v>600</v>
      </c>
    </row>
    <row r="84" spans="2:6" x14ac:dyDescent="0.3">
      <c r="B84" s="6" t="s">
        <v>41</v>
      </c>
      <c r="C84" s="7">
        <f xml:space="preserve"> C20  * F84</f>
        <v>1387.037037037037</v>
      </c>
      <c r="D84" s="16">
        <f t="shared" si="3"/>
        <v>2.6328910065912681E-4</v>
      </c>
      <c r="E84" s="6" t="s">
        <v>41</v>
      </c>
      <c r="F84" s="18">
        <v>50</v>
      </c>
    </row>
    <row r="85" spans="2:6" x14ac:dyDescent="0.3">
      <c r="B85" s="6" t="s">
        <v>85</v>
      </c>
      <c r="C85" s="7">
        <f>C20 * F85</f>
        <v>1387.037037037037</v>
      </c>
      <c r="D85" s="16">
        <f t="shared" si="3"/>
        <v>2.6328910065912681E-4</v>
      </c>
      <c r="E85" s="6" t="s">
        <v>86</v>
      </c>
      <c r="F85" s="18">
        <v>50</v>
      </c>
    </row>
    <row r="86" spans="2:6" x14ac:dyDescent="0.3">
      <c r="B86" s="6" t="s">
        <v>93</v>
      </c>
      <c r="C86" s="7">
        <f>C70 * 0.02</f>
        <v>77751.111111111109</v>
      </c>
      <c r="D86" s="16">
        <f t="shared" si="3"/>
        <v>1.4758812903382958E-2</v>
      </c>
    </row>
    <row r="87" spans="2:6" x14ac:dyDescent="0.3">
      <c r="B87" s="2" t="s">
        <v>48</v>
      </c>
      <c r="C87" s="14">
        <f>SUM(C73:C86)</f>
        <v>450937.18518518517</v>
      </c>
      <c r="D87" s="16">
        <f t="shared" si="3"/>
        <v>8.5597459023003183E-2</v>
      </c>
    </row>
    <row r="88" spans="2:6" x14ac:dyDescent="0.3">
      <c r="B88" s="2"/>
      <c r="C88" s="14"/>
    </row>
    <row r="89" spans="2:6" x14ac:dyDescent="0.3">
      <c r="B89" s="4" t="s">
        <v>49</v>
      </c>
      <c r="C89" s="14"/>
      <c r="E89" s="4" t="s">
        <v>49</v>
      </c>
    </row>
    <row r="90" spans="2:6" x14ac:dyDescent="0.3">
      <c r="B90" s="6" t="s">
        <v>50</v>
      </c>
      <c r="C90" s="7">
        <f xml:space="preserve"> (C7*F90) / 365 * 5</f>
        <v>82191.780821917797</v>
      </c>
      <c r="D90" s="16">
        <f>C90/ C$115</f>
        <v>1.5601746367495855E-2</v>
      </c>
      <c r="E90" s="6" t="s">
        <v>50</v>
      </c>
      <c r="F90" s="29">
        <v>0.03</v>
      </c>
    </row>
    <row r="91" spans="2:6" x14ac:dyDescent="0.3">
      <c r="B91" s="6" t="s">
        <v>51</v>
      </c>
      <c r="C91" s="7">
        <f>C14* F91</f>
        <v>106666.66666666667</v>
      </c>
      <c r="D91" s="16">
        <f>C91/ C$115</f>
        <v>2.024759973026129E-2</v>
      </c>
      <c r="E91" s="6" t="s">
        <v>117</v>
      </c>
      <c r="F91" s="18">
        <v>200</v>
      </c>
    </row>
    <row r="92" spans="2:6" x14ac:dyDescent="0.3">
      <c r="B92" s="6" t="s">
        <v>52</v>
      </c>
      <c r="C92" s="7">
        <f xml:space="preserve"> C14 * 5 * F92</f>
        <v>320000.00000000006</v>
      </c>
      <c r="D92" s="16">
        <f>C92/ C$115</f>
        <v>6.0742799190783875E-2</v>
      </c>
      <c r="E92" s="6" t="s">
        <v>52</v>
      </c>
      <c r="F92" s="18">
        <v>120</v>
      </c>
    </row>
    <row r="93" spans="2:6" x14ac:dyDescent="0.3">
      <c r="B93" s="6" t="s">
        <v>145</v>
      </c>
      <c r="C93" s="7">
        <f>C14* F93</f>
        <v>53333.333333333336</v>
      </c>
      <c r="D93" s="16">
        <f>C93/ C$115</f>
        <v>1.0123799865130645E-2</v>
      </c>
      <c r="E93" s="6" t="s">
        <v>130</v>
      </c>
      <c r="F93" s="18">
        <v>100</v>
      </c>
    </row>
    <row r="94" spans="2:6" x14ac:dyDescent="0.3">
      <c r="B94" s="6" t="s">
        <v>118</v>
      </c>
      <c r="C94" s="7">
        <f>(C14* 0.05) * F94</f>
        <v>13333.333333333336</v>
      </c>
      <c r="D94" s="16">
        <f t="shared" ref="D94" si="4">C94/ C$115</f>
        <v>2.5309499662826617E-3</v>
      </c>
      <c r="E94" s="6" t="s">
        <v>118</v>
      </c>
      <c r="F94" s="18">
        <v>500</v>
      </c>
    </row>
    <row r="95" spans="2:6" x14ac:dyDescent="0.3">
      <c r="B95" s="4" t="s">
        <v>54</v>
      </c>
      <c r="C95" s="14">
        <f>SUM(C90:C94)</f>
        <v>575525.1141552513</v>
      </c>
      <c r="D95" s="16">
        <f>C95/ C$115</f>
        <v>0.10924689511995435</v>
      </c>
    </row>
    <row r="96" spans="2:6" x14ac:dyDescent="0.3">
      <c r="B96" s="4"/>
      <c r="C96" s="14"/>
    </row>
    <row r="97" spans="2:7" x14ac:dyDescent="0.3">
      <c r="B97" s="4" t="s">
        <v>55</v>
      </c>
      <c r="C97" s="14"/>
      <c r="F97" s="4" t="s">
        <v>55</v>
      </c>
    </row>
    <row r="98" spans="2:7" x14ac:dyDescent="0.3">
      <c r="B98" s="6" t="s">
        <v>56</v>
      </c>
      <c r="C98" s="7">
        <f>C20 * G98</f>
        <v>83222.222222222219</v>
      </c>
      <c r="D98" s="16">
        <f t="shared" ref="D98:D112" si="5">C98/ C$115</f>
        <v>1.5797346039547609E-2</v>
      </c>
      <c r="F98" s="6" t="s">
        <v>56</v>
      </c>
      <c r="G98" s="18">
        <v>3000</v>
      </c>
    </row>
    <row r="99" spans="2:7" x14ac:dyDescent="0.3">
      <c r="B99" s="6" t="s">
        <v>60</v>
      </c>
      <c r="C99" s="7">
        <f>C20*G99</f>
        <v>27740.740740740741</v>
      </c>
      <c r="D99" s="16">
        <f t="shared" si="5"/>
        <v>5.2657820131825368E-3</v>
      </c>
      <c r="F99" s="6" t="s">
        <v>57</v>
      </c>
      <c r="G99" s="18">
        <v>1000</v>
      </c>
    </row>
    <row r="100" spans="2:7" x14ac:dyDescent="0.3">
      <c r="B100" s="6" t="s">
        <v>59</v>
      </c>
      <c r="C100" s="7">
        <f>C20 *G100</f>
        <v>33288.888888888891</v>
      </c>
      <c r="D100" s="16">
        <f t="shared" si="5"/>
        <v>6.3189384158190446E-3</v>
      </c>
      <c r="F100" s="6" t="s">
        <v>59</v>
      </c>
      <c r="G100" s="18">
        <v>1200</v>
      </c>
    </row>
    <row r="101" spans="2:7" x14ac:dyDescent="0.3">
      <c r="B101" s="6" t="s">
        <v>63</v>
      </c>
      <c r="C101" s="7">
        <f>C20* G101</f>
        <v>13870.37037037037</v>
      </c>
      <c r="D101" s="16">
        <f t="shared" si="5"/>
        <v>2.6328910065912684E-3</v>
      </c>
      <c r="F101" s="6" t="s">
        <v>63</v>
      </c>
      <c r="G101" s="18">
        <v>500</v>
      </c>
    </row>
    <row r="102" spans="2:7" x14ac:dyDescent="0.3">
      <c r="B102" s="6" t="s">
        <v>65</v>
      </c>
      <c r="C102" s="7">
        <f>C20* G102</f>
        <v>27740.740740740741</v>
      </c>
      <c r="D102" s="16">
        <f t="shared" si="5"/>
        <v>5.2657820131825368E-3</v>
      </c>
      <c r="F102" s="6" t="s">
        <v>65</v>
      </c>
      <c r="G102" s="25">
        <v>1000</v>
      </c>
    </row>
    <row r="103" spans="2:7" x14ac:dyDescent="0.3">
      <c r="B103" s="6" t="s">
        <v>66</v>
      </c>
      <c r="C103" s="7">
        <f>C20* G103</f>
        <v>27740.740740740741</v>
      </c>
      <c r="D103" s="16">
        <f t="shared" si="5"/>
        <v>5.2657820131825368E-3</v>
      </c>
      <c r="F103" s="6" t="s">
        <v>66</v>
      </c>
      <c r="G103" s="25">
        <v>1000</v>
      </c>
    </row>
    <row r="104" spans="2:7" x14ac:dyDescent="0.3">
      <c r="B104" s="6" t="s">
        <v>69</v>
      </c>
      <c r="C104" s="7">
        <f>C18* G104</f>
        <v>13333.333333333334</v>
      </c>
      <c r="D104" s="16">
        <f t="shared" si="5"/>
        <v>2.5309499662826613E-3</v>
      </c>
      <c r="F104" s="6" t="s">
        <v>69</v>
      </c>
      <c r="G104" s="18">
        <v>1000</v>
      </c>
    </row>
    <row r="105" spans="2:7" x14ac:dyDescent="0.3">
      <c r="B105" s="6" t="s">
        <v>61</v>
      </c>
      <c r="C105" s="7">
        <f>(10000) + (C18* G105)</f>
        <v>13333.333333333334</v>
      </c>
      <c r="D105" s="16">
        <f t="shared" si="5"/>
        <v>2.5309499662826613E-3</v>
      </c>
      <c r="F105" s="6" t="s">
        <v>61</v>
      </c>
      <c r="G105" s="18">
        <v>250</v>
      </c>
    </row>
    <row r="106" spans="2:7" x14ac:dyDescent="0.3">
      <c r="B106" s="6" t="s">
        <v>62</v>
      </c>
      <c r="C106" s="7">
        <f xml:space="preserve"> C20*G106</f>
        <v>13870.37037037037</v>
      </c>
      <c r="D106" s="16">
        <f t="shared" si="5"/>
        <v>2.6328910065912684E-3</v>
      </c>
      <c r="F106" s="6" t="s">
        <v>62</v>
      </c>
      <c r="G106" s="18">
        <v>500</v>
      </c>
    </row>
    <row r="107" spans="2:7" x14ac:dyDescent="0.3">
      <c r="B107" s="6" t="s">
        <v>64</v>
      </c>
      <c r="C107" s="7">
        <f>C18 * G107</f>
        <v>66666.666666666672</v>
      </c>
      <c r="D107" s="16">
        <f t="shared" si="5"/>
        <v>1.2654749831413306E-2</v>
      </c>
      <c r="F107" s="6" t="s">
        <v>64</v>
      </c>
      <c r="G107" s="18">
        <v>5000</v>
      </c>
    </row>
    <row r="108" spans="2:7" x14ac:dyDescent="0.3">
      <c r="B108" s="6" t="s">
        <v>84</v>
      </c>
      <c r="C108" s="7">
        <f>C20* G108</f>
        <v>8322.2222222222226</v>
      </c>
      <c r="D108" s="16">
        <f>C108/ C$115</f>
        <v>1.5797346039547612E-3</v>
      </c>
      <c r="F108" s="6" t="s">
        <v>119</v>
      </c>
      <c r="G108" s="18">
        <v>300</v>
      </c>
    </row>
    <row r="109" spans="2:7" x14ac:dyDescent="0.3">
      <c r="B109" s="6" t="s">
        <v>67</v>
      </c>
      <c r="C109" s="7">
        <f>C20* G109</f>
        <v>5548.1481481481478</v>
      </c>
      <c r="D109" s="16">
        <f t="shared" si="5"/>
        <v>1.0531564026365072E-3</v>
      </c>
      <c r="F109" s="6" t="s">
        <v>67</v>
      </c>
      <c r="G109" s="18">
        <v>200</v>
      </c>
    </row>
    <row r="110" spans="2:7" x14ac:dyDescent="0.3">
      <c r="B110" s="6" t="s">
        <v>68</v>
      </c>
      <c r="C110" s="7">
        <f>C20* G110</f>
        <v>2774.0740740740739</v>
      </c>
      <c r="D110" s="16">
        <f t="shared" si="5"/>
        <v>5.2657820131825361E-4</v>
      </c>
      <c r="F110" s="6" t="s">
        <v>68</v>
      </c>
      <c r="G110" s="18">
        <v>100</v>
      </c>
    </row>
    <row r="111" spans="2:7" x14ac:dyDescent="0.3">
      <c r="B111" s="6" t="s">
        <v>77</v>
      </c>
      <c r="C111" s="7">
        <f>F83* C20</f>
        <v>16644.444444444445</v>
      </c>
      <c r="D111" s="16">
        <f t="shared" si="5"/>
        <v>3.1594692079095223E-3</v>
      </c>
      <c r="F111" s="6" t="s">
        <v>77</v>
      </c>
      <c r="G111" s="18">
        <v>5000</v>
      </c>
    </row>
    <row r="112" spans="2:7" x14ac:dyDescent="0.3">
      <c r="B112" s="4" t="s">
        <v>58</v>
      </c>
      <c r="C112" s="14">
        <f>SUM(C98:C111)</f>
        <v>354096.29629629635</v>
      </c>
      <c r="D112" s="16">
        <f t="shared" si="5"/>
        <v>6.7215000687894488E-2</v>
      </c>
    </row>
    <row r="113" spans="2:4" x14ac:dyDescent="0.3">
      <c r="B113" s="4"/>
      <c r="C113" s="7"/>
    </row>
    <row r="114" spans="2:4" x14ac:dyDescent="0.3">
      <c r="C114" s="7"/>
    </row>
    <row r="115" spans="2:4" x14ac:dyDescent="0.3">
      <c r="B115" s="4" t="s">
        <v>43</v>
      </c>
      <c r="C115" s="3">
        <f xml:space="preserve"> C70 + C87 + C95 +C112</f>
        <v>5268114.1511922888</v>
      </c>
      <c r="D115" s="17">
        <f t="shared" ref="D115" si="6">C115/ C$115</f>
        <v>1</v>
      </c>
    </row>
    <row r="116" spans="2:4" x14ac:dyDescent="0.3">
      <c r="C116" s="7"/>
    </row>
    <row r="117" spans="2:4" x14ac:dyDescent="0.3">
      <c r="B117" s="4" t="s">
        <v>19</v>
      </c>
      <c r="C117" s="3">
        <f>C27- C115</f>
        <v>1611885.8488077112</v>
      </c>
    </row>
    <row r="118" spans="2:4" x14ac:dyDescent="0.3">
      <c r="C118" s="7"/>
    </row>
    <row r="119" spans="2:4" x14ac:dyDescent="0.3">
      <c r="C119" s="7"/>
    </row>
    <row r="120" spans="2:4" x14ac:dyDescent="0.3">
      <c r="B120" s="4" t="s">
        <v>78</v>
      </c>
      <c r="C120" s="7"/>
    </row>
    <row r="121" spans="2:4" x14ac:dyDescent="0.3">
      <c r="B121" s="6" t="s">
        <v>51</v>
      </c>
      <c r="C121" s="8">
        <v>30000</v>
      </c>
    </row>
    <row r="122" spans="2:4" x14ac:dyDescent="0.3">
      <c r="B122" s="6" t="s">
        <v>79</v>
      </c>
      <c r="C122" s="8">
        <v>15000</v>
      </c>
    </row>
    <row r="123" spans="2:4" x14ac:dyDescent="0.3">
      <c r="B123" s="6" t="s">
        <v>66</v>
      </c>
      <c r="C123" s="8">
        <v>10000</v>
      </c>
    </row>
    <row r="124" spans="2:4" x14ac:dyDescent="0.3">
      <c r="B124" s="6" t="s">
        <v>142</v>
      </c>
      <c r="C124" s="8">
        <v>10000</v>
      </c>
    </row>
    <row r="125" spans="2:4" x14ac:dyDescent="0.3">
      <c r="B125" s="6" t="s">
        <v>77</v>
      </c>
      <c r="C125" s="8">
        <v>10000</v>
      </c>
    </row>
    <row r="126" spans="2:4" x14ac:dyDescent="0.3">
      <c r="B126" s="6" t="s">
        <v>82</v>
      </c>
      <c r="C126" s="8">
        <v>5000</v>
      </c>
    </row>
    <row r="127" spans="2:4" x14ac:dyDescent="0.3">
      <c r="B127" s="6" t="s">
        <v>80</v>
      </c>
      <c r="C127" s="24">
        <v>2000</v>
      </c>
    </row>
    <row r="128" spans="2:4" x14ac:dyDescent="0.3">
      <c r="B128" s="2" t="s">
        <v>83</v>
      </c>
      <c r="C128" s="23">
        <f>SUM(C121:C127)</f>
        <v>82000</v>
      </c>
    </row>
    <row r="129" spans="2:15" x14ac:dyDescent="0.3">
      <c r="B129" s="2"/>
      <c r="C129" s="23"/>
    </row>
    <row r="130" spans="2:15" ht="25.5" x14ac:dyDescent="0.35">
      <c r="E130" s="35" t="s">
        <v>149</v>
      </c>
    </row>
    <row r="133" spans="2:15" x14ac:dyDescent="0.3">
      <c r="C133" s="21" t="s">
        <v>150</v>
      </c>
      <c r="D133" s="21" t="s">
        <v>151</v>
      </c>
      <c r="E133" s="21" t="s">
        <v>152</v>
      </c>
      <c r="F133" s="21" t="s">
        <v>153</v>
      </c>
      <c r="G133" s="21" t="s">
        <v>154</v>
      </c>
      <c r="H133" s="21" t="s">
        <v>155</v>
      </c>
      <c r="I133" s="21" t="s">
        <v>156</v>
      </c>
      <c r="J133" s="21" t="s">
        <v>157</v>
      </c>
      <c r="K133" s="21" t="s">
        <v>158</v>
      </c>
      <c r="L133" s="21" t="s">
        <v>159</v>
      </c>
      <c r="M133" s="21" t="s">
        <v>160</v>
      </c>
      <c r="N133" s="21" t="s">
        <v>161</v>
      </c>
      <c r="O133" s="21" t="s">
        <v>11</v>
      </c>
    </row>
    <row r="134" spans="2:15" x14ac:dyDescent="0.3">
      <c r="B134" s="6" t="s">
        <v>0</v>
      </c>
      <c r="C134" s="7">
        <f>$C7*0.03</f>
        <v>6000000</v>
      </c>
      <c r="D134" s="7">
        <f>$C7*0.03</f>
        <v>6000000</v>
      </c>
      <c r="E134" s="7">
        <f>$C7*0.03</f>
        <v>6000000</v>
      </c>
      <c r="F134" s="7">
        <f t="shared" ref="F134" si="7">$C7*0.03</f>
        <v>6000000</v>
      </c>
      <c r="G134" s="7">
        <f>$C7*0.04</f>
        <v>8000000</v>
      </c>
      <c r="H134" s="7">
        <f t="shared" ref="H134:J134" si="8">$C7*0.04</f>
        <v>8000000</v>
      </c>
      <c r="I134" s="7">
        <f t="shared" si="8"/>
        <v>8000000</v>
      </c>
      <c r="J134" s="7">
        <f t="shared" si="8"/>
        <v>8000000</v>
      </c>
      <c r="K134" s="7">
        <f>$C7*0.05</f>
        <v>10000000</v>
      </c>
      <c r="L134" s="7">
        <f>$C7*0.06</f>
        <v>12000000</v>
      </c>
      <c r="M134" s="7">
        <f>$C7*0.07</f>
        <v>14000000.000000002</v>
      </c>
      <c r="N134" s="7">
        <f>$C7*0.08</f>
        <v>16000000</v>
      </c>
      <c r="O134" s="3">
        <f>SUM(C134:N134)</f>
        <v>108000000</v>
      </c>
    </row>
    <row r="135" spans="2:15" x14ac:dyDescent="0.3">
      <c r="B135" s="2" t="s">
        <v>164</v>
      </c>
      <c r="C135" s="3">
        <f t="shared" ref="C135:N135" si="9">C134*$C10</f>
        <v>180000</v>
      </c>
      <c r="D135" s="3">
        <f t="shared" si="9"/>
        <v>180000</v>
      </c>
      <c r="E135" s="3">
        <f t="shared" si="9"/>
        <v>180000</v>
      </c>
      <c r="F135" s="3">
        <f t="shared" si="9"/>
        <v>180000</v>
      </c>
      <c r="G135" s="3">
        <f t="shared" si="9"/>
        <v>240000</v>
      </c>
      <c r="H135" s="3">
        <f t="shared" si="9"/>
        <v>240000</v>
      </c>
      <c r="I135" s="3">
        <f t="shared" si="9"/>
        <v>240000</v>
      </c>
      <c r="J135" s="3">
        <f t="shared" si="9"/>
        <v>240000</v>
      </c>
      <c r="K135" s="3">
        <f t="shared" si="9"/>
        <v>300000</v>
      </c>
      <c r="L135" s="3">
        <f t="shared" si="9"/>
        <v>360000</v>
      </c>
      <c r="M135" s="3">
        <f t="shared" si="9"/>
        <v>420000.00000000006</v>
      </c>
      <c r="N135" s="3">
        <f t="shared" si="9"/>
        <v>480000</v>
      </c>
      <c r="O135" s="3">
        <f>SUM(C135:N135)</f>
        <v>3240000</v>
      </c>
    </row>
    <row r="136" spans="2:15" x14ac:dyDescent="0.3">
      <c r="B136" s="2" t="s">
        <v>165</v>
      </c>
      <c r="C136" s="3"/>
      <c r="D136" s="3"/>
      <c r="E136" s="3"/>
      <c r="F136" s="3"/>
      <c r="G136" s="3"/>
      <c r="H136" s="3"/>
      <c r="I136" s="3"/>
      <c r="J136" s="3"/>
      <c r="K136" s="3"/>
      <c r="L136" s="3">
        <f>L134* $C11</f>
        <v>52800</v>
      </c>
      <c r="M136" s="3">
        <f>M134* $C11</f>
        <v>61600.000000000015</v>
      </c>
      <c r="N136" s="3">
        <f t="shared" ref="N136" si="10">N134* $C11</f>
        <v>70400</v>
      </c>
      <c r="O136" s="3">
        <f>SUM(C136:N136)</f>
        <v>184800</v>
      </c>
    </row>
    <row r="137" spans="2:15" x14ac:dyDescent="0.3">
      <c r="B137" s="2" t="s">
        <v>166</v>
      </c>
      <c r="C137" s="3">
        <f t="shared" ref="C137:N137" si="11">SUM(C135:C136)</f>
        <v>180000</v>
      </c>
      <c r="D137" s="3">
        <f t="shared" si="11"/>
        <v>180000</v>
      </c>
      <c r="E137" s="3">
        <f t="shared" si="11"/>
        <v>180000</v>
      </c>
      <c r="F137" s="3">
        <f t="shared" si="11"/>
        <v>180000</v>
      </c>
      <c r="G137" s="3">
        <f t="shared" si="11"/>
        <v>240000</v>
      </c>
      <c r="H137" s="3">
        <f t="shared" si="11"/>
        <v>240000</v>
      </c>
      <c r="I137" s="3">
        <f t="shared" si="11"/>
        <v>240000</v>
      </c>
      <c r="J137" s="3">
        <f t="shared" si="11"/>
        <v>240000</v>
      </c>
      <c r="K137" s="3">
        <f t="shared" si="11"/>
        <v>300000</v>
      </c>
      <c r="L137" s="3">
        <f t="shared" si="11"/>
        <v>412800</v>
      </c>
      <c r="M137" s="3">
        <f t="shared" si="11"/>
        <v>481600.00000000006</v>
      </c>
      <c r="N137" s="3">
        <f t="shared" si="11"/>
        <v>550400</v>
      </c>
      <c r="O137" s="3">
        <f>SUM(C137:N137)</f>
        <v>3424800</v>
      </c>
    </row>
    <row r="138" spans="2:15" x14ac:dyDescent="0.3">
      <c r="B13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3"/>
    </row>
    <row r="139" spans="2:15" x14ac:dyDescent="0.3">
      <c r="B139" t="s">
        <v>44</v>
      </c>
      <c r="C139" s="1">
        <v>100000</v>
      </c>
      <c r="D139" s="1">
        <v>100000</v>
      </c>
      <c r="E139" s="1">
        <v>100000</v>
      </c>
      <c r="F139" s="1">
        <v>100000</v>
      </c>
      <c r="G139" s="1">
        <f>$C38/12</f>
        <v>122500</v>
      </c>
      <c r="H139" s="1">
        <f t="shared" ref="H139:J139" si="12">$C38/12</f>
        <v>122500</v>
      </c>
      <c r="I139" s="1">
        <f t="shared" si="12"/>
        <v>122500</v>
      </c>
      <c r="J139" s="1">
        <f t="shared" si="12"/>
        <v>122500</v>
      </c>
      <c r="K139" s="1">
        <f>$C38/12</f>
        <v>122500</v>
      </c>
      <c r="L139" s="1">
        <f>$C38/12</f>
        <v>122500</v>
      </c>
      <c r="M139" s="1">
        <f>$C38/12</f>
        <v>122500</v>
      </c>
      <c r="N139" s="1">
        <f>$C38/12</f>
        <v>122500</v>
      </c>
      <c r="O139" s="3">
        <f t="shared" ref="O139:O145" si="13">SUM(C139:N139)</f>
        <v>1380000</v>
      </c>
    </row>
    <row r="140" spans="2:15" x14ac:dyDescent="0.3">
      <c r="B140" t="s">
        <v>162</v>
      </c>
      <c r="C140" s="1">
        <f>C139*0.12</f>
        <v>12000</v>
      </c>
      <c r="D140" s="1">
        <f>D139*0.12</f>
        <v>12000</v>
      </c>
      <c r="E140" s="1">
        <f t="shared" ref="E140:N140" si="14">E139*0.12</f>
        <v>12000</v>
      </c>
      <c r="F140" s="1">
        <f t="shared" si="14"/>
        <v>12000</v>
      </c>
      <c r="G140" s="1">
        <f t="shared" si="14"/>
        <v>14700</v>
      </c>
      <c r="H140" s="1">
        <f t="shared" si="14"/>
        <v>14700</v>
      </c>
      <c r="I140" s="1">
        <f t="shared" si="14"/>
        <v>14700</v>
      </c>
      <c r="J140" s="1">
        <f t="shared" si="14"/>
        <v>14700</v>
      </c>
      <c r="K140" s="1">
        <f t="shared" si="14"/>
        <v>14700</v>
      </c>
      <c r="L140" s="1">
        <f t="shared" si="14"/>
        <v>14700</v>
      </c>
      <c r="M140" s="1">
        <f t="shared" si="14"/>
        <v>14700</v>
      </c>
      <c r="N140" s="1">
        <f t="shared" si="14"/>
        <v>14700</v>
      </c>
      <c r="O140" s="3">
        <f t="shared" si="13"/>
        <v>165600</v>
      </c>
    </row>
    <row r="141" spans="2:15" x14ac:dyDescent="0.3">
      <c r="B141" t="s">
        <v>163</v>
      </c>
      <c r="C141" s="1">
        <v>10000</v>
      </c>
      <c r="D141" s="1">
        <v>10000</v>
      </c>
      <c r="E141" s="1">
        <v>10000</v>
      </c>
      <c r="F141" s="1">
        <v>10000</v>
      </c>
      <c r="G141" s="1">
        <v>12000</v>
      </c>
      <c r="H141" s="1">
        <v>12000</v>
      </c>
      <c r="I141" s="1">
        <v>12000</v>
      </c>
      <c r="J141" s="1">
        <v>12000</v>
      </c>
      <c r="K141" s="1">
        <v>20000</v>
      </c>
      <c r="L141" s="1">
        <v>20000</v>
      </c>
      <c r="M141" s="1">
        <v>30000</v>
      </c>
      <c r="N141" s="1">
        <f t="shared" ref="N141" si="15">$C61/12</f>
        <v>59796.296296296292</v>
      </c>
      <c r="O141" s="3">
        <f t="shared" si="13"/>
        <v>217796.29629629629</v>
      </c>
    </row>
    <row r="142" spans="2:15" x14ac:dyDescent="0.3">
      <c r="B142" t="s">
        <v>162</v>
      </c>
      <c r="C142" s="1">
        <f>C141*0.12</f>
        <v>1200</v>
      </c>
      <c r="D142" s="1">
        <f t="shared" ref="D142:N142" si="16">D141*0.12</f>
        <v>1200</v>
      </c>
      <c r="E142" s="1">
        <f t="shared" si="16"/>
        <v>1200</v>
      </c>
      <c r="F142" s="1">
        <f t="shared" si="16"/>
        <v>1200</v>
      </c>
      <c r="G142" s="1">
        <f t="shared" si="16"/>
        <v>1440</v>
      </c>
      <c r="H142" s="1">
        <f t="shared" si="16"/>
        <v>1440</v>
      </c>
      <c r="I142" s="1">
        <f t="shared" si="16"/>
        <v>1440</v>
      </c>
      <c r="J142" s="1">
        <f t="shared" si="16"/>
        <v>1440</v>
      </c>
      <c r="K142" s="1">
        <f t="shared" si="16"/>
        <v>2400</v>
      </c>
      <c r="L142" s="1">
        <f t="shared" si="16"/>
        <v>2400</v>
      </c>
      <c r="M142" s="1">
        <f t="shared" si="16"/>
        <v>3600</v>
      </c>
      <c r="N142" s="1">
        <f t="shared" si="16"/>
        <v>7175.5555555555547</v>
      </c>
      <c r="O142" s="3">
        <f t="shared" si="13"/>
        <v>26135.555555555555</v>
      </c>
    </row>
    <row r="143" spans="2:15" x14ac:dyDescent="0.3">
      <c r="B143" t="s">
        <v>47</v>
      </c>
      <c r="C143" s="1">
        <f t="shared" ref="C143:N143" si="17">C134*$C13</f>
        <v>45000</v>
      </c>
      <c r="D143" s="1">
        <f t="shared" si="17"/>
        <v>45000</v>
      </c>
      <c r="E143" s="1">
        <f t="shared" si="17"/>
        <v>45000</v>
      </c>
      <c r="F143" s="1">
        <f t="shared" si="17"/>
        <v>45000</v>
      </c>
      <c r="G143" s="1">
        <f t="shared" si="17"/>
        <v>60000</v>
      </c>
      <c r="H143" s="1">
        <f t="shared" si="17"/>
        <v>60000</v>
      </c>
      <c r="I143" s="1">
        <f t="shared" si="17"/>
        <v>60000</v>
      </c>
      <c r="J143" s="1">
        <f t="shared" si="17"/>
        <v>60000</v>
      </c>
      <c r="K143" s="1">
        <f t="shared" si="17"/>
        <v>75000</v>
      </c>
      <c r="L143" s="1">
        <f t="shared" si="17"/>
        <v>90000</v>
      </c>
      <c r="M143" s="1">
        <f t="shared" si="17"/>
        <v>105000.00000000001</v>
      </c>
      <c r="N143" s="1">
        <f t="shared" si="17"/>
        <v>120000</v>
      </c>
      <c r="O143" s="3">
        <f t="shared" si="13"/>
        <v>810000</v>
      </c>
    </row>
    <row r="144" spans="2:15" x14ac:dyDescent="0.3">
      <c r="B144" s="6" t="s">
        <v>162</v>
      </c>
      <c r="C144" s="7">
        <f>C143*0.12</f>
        <v>5400</v>
      </c>
      <c r="D144" s="7">
        <f>D143*0.12</f>
        <v>5400</v>
      </c>
      <c r="E144" s="7">
        <f t="shared" ref="E144:N144" si="18">E143*0.12</f>
        <v>5400</v>
      </c>
      <c r="F144" s="7">
        <f t="shared" si="18"/>
        <v>5400</v>
      </c>
      <c r="G144" s="7">
        <f t="shared" si="18"/>
        <v>7200</v>
      </c>
      <c r="H144" s="7">
        <f t="shared" si="18"/>
        <v>7200</v>
      </c>
      <c r="I144" s="7">
        <f t="shared" si="18"/>
        <v>7200</v>
      </c>
      <c r="J144" s="7">
        <f t="shared" si="18"/>
        <v>7200</v>
      </c>
      <c r="K144" s="7">
        <f t="shared" si="18"/>
        <v>9000</v>
      </c>
      <c r="L144" s="7">
        <f t="shared" si="18"/>
        <v>10800</v>
      </c>
      <c r="M144" s="7">
        <f t="shared" si="18"/>
        <v>12600.000000000002</v>
      </c>
      <c r="N144" s="7">
        <f t="shared" si="18"/>
        <v>14400</v>
      </c>
      <c r="O144" s="3">
        <f t="shared" si="13"/>
        <v>97200</v>
      </c>
    </row>
    <row r="145" spans="2:15" x14ac:dyDescent="0.3">
      <c r="B145" s="6" t="s">
        <v>49</v>
      </c>
      <c r="C145" s="7">
        <v>13566</v>
      </c>
      <c r="D145" s="7">
        <v>13566</v>
      </c>
      <c r="E145" s="7">
        <v>13566</v>
      </c>
      <c r="F145" s="7">
        <v>13566</v>
      </c>
      <c r="G145" s="7">
        <v>18088</v>
      </c>
      <c r="H145" s="7">
        <v>18088</v>
      </c>
      <c r="I145" s="7">
        <v>18088</v>
      </c>
      <c r="J145" s="7">
        <v>18088</v>
      </c>
      <c r="K145" s="7">
        <v>22610</v>
      </c>
      <c r="L145" s="7">
        <v>27132</v>
      </c>
      <c r="M145" s="7">
        <v>31365</v>
      </c>
      <c r="N145" s="7">
        <v>36175</v>
      </c>
      <c r="O145" s="3">
        <f t="shared" si="13"/>
        <v>243898</v>
      </c>
    </row>
    <row r="146" spans="2:15" x14ac:dyDescent="0.3">
      <c r="B146" s="6" t="s">
        <v>55</v>
      </c>
      <c r="C146" s="36">
        <v>10000</v>
      </c>
      <c r="D146" s="36">
        <v>10000</v>
      </c>
      <c r="E146" s="36">
        <v>10000</v>
      </c>
      <c r="F146" s="36">
        <v>10000</v>
      </c>
      <c r="G146" s="36">
        <v>12000</v>
      </c>
      <c r="H146" s="36">
        <v>12000</v>
      </c>
      <c r="I146" s="36">
        <v>12000</v>
      </c>
      <c r="J146" s="36">
        <v>12000</v>
      </c>
      <c r="K146" s="36">
        <v>16000</v>
      </c>
      <c r="L146" s="36">
        <v>18000</v>
      </c>
      <c r="M146" s="36">
        <f t="shared" ref="M146:N146" si="19">$C112/12</f>
        <v>29508.02469135803</v>
      </c>
      <c r="N146" s="36">
        <f t="shared" si="19"/>
        <v>29508.02469135803</v>
      </c>
      <c r="O146" s="14">
        <f>SUM(C146:N146)</f>
        <v>181016.04938271607</v>
      </c>
    </row>
    <row r="147" spans="2:15" x14ac:dyDescent="0.3">
      <c r="B147" s="2" t="s">
        <v>43</v>
      </c>
      <c r="C147" s="3">
        <f t="shared" ref="C147:N147" si="20">SUM(C139:C146)</f>
        <v>197166</v>
      </c>
      <c r="D147" s="3">
        <f t="shared" si="20"/>
        <v>197166</v>
      </c>
      <c r="E147" s="3">
        <f t="shared" si="20"/>
        <v>197166</v>
      </c>
      <c r="F147" s="3">
        <f t="shared" si="20"/>
        <v>197166</v>
      </c>
      <c r="G147" s="3">
        <f t="shared" si="20"/>
        <v>247928</v>
      </c>
      <c r="H147" s="3">
        <f t="shared" si="20"/>
        <v>247928</v>
      </c>
      <c r="I147" s="3">
        <f t="shared" si="20"/>
        <v>247928</v>
      </c>
      <c r="J147" s="3">
        <f t="shared" si="20"/>
        <v>247928</v>
      </c>
      <c r="K147" s="3">
        <f t="shared" si="20"/>
        <v>282210</v>
      </c>
      <c r="L147" s="3">
        <f t="shared" si="20"/>
        <v>305532</v>
      </c>
      <c r="M147" s="3">
        <f t="shared" si="20"/>
        <v>349273.02469135803</v>
      </c>
      <c r="N147" s="3">
        <f t="shared" si="20"/>
        <v>404254.87654320989</v>
      </c>
      <c r="O147" s="3">
        <f>SUM(C147:N147)</f>
        <v>3121645.9012345681</v>
      </c>
    </row>
    <row r="148" spans="2:15" x14ac:dyDescent="0.3">
      <c r="B148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3"/>
    </row>
    <row r="149" spans="2:15" x14ac:dyDescent="0.3">
      <c r="B149" s="2" t="s">
        <v>19</v>
      </c>
      <c r="C149" s="3">
        <f t="shared" ref="C149:N149" si="21">C137-C147</f>
        <v>-17166</v>
      </c>
      <c r="D149" s="3">
        <f t="shared" si="21"/>
        <v>-17166</v>
      </c>
      <c r="E149" s="3">
        <f t="shared" si="21"/>
        <v>-17166</v>
      </c>
      <c r="F149" s="3">
        <f t="shared" si="21"/>
        <v>-17166</v>
      </c>
      <c r="G149" s="3">
        <f t="shared" si="21"/>
        <v>-7928</v>
      </c>
      <c r="H149" s="3">
        <f t="shared" si="21"/>
        <v>-7928</v>
      </c>
      <c r="I149" s="3">
        <f t="shared" si="21"/>
        <v>-7928</v>
      </c>
      <c r="J149" s="3">
        <f t="shared" si="21"/>
        <v>-7928</v>
      </c>
      <c r="K149" s="3">
        <f t="shared" si="21"/>
        <v>17790</v>
      </c>
      <c r="L149" s="3">
        <f t="shared" si="21"/>
        <v>107268</v>
      </c>
      <c r="M149" s="3">
        <f t="shared" si="21"/>
        <v>132326.97530864202</v>
      </c>
      <c r="N149" s="3">
        <f t="shared" si="21"/>
        <v>146145.12345679011</v>
      </c>
      <c r="O149" s="3">
        <f>SUM(C149:N149)</f>
        <v>303154.09876543214</v>
      </c>
    </row>
    <row r="150" spans="2:15" x14ac:dyDescent="0.3">
      <c r="B150"/>
      <c r="C150"/>
      <c r="D150"/>
      <c r="E150"/>
      <c r="F150"/>
      <c r="G150"/>
      <c r="H150"/>
      <c r="I150"/>
      <c r="J150"/>
      <c r="K150"/>
      <c r="L150"/>
      <c r="M150"/>
      <c r="N15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04B9E-FC18-4827-BF44-8B69F52B160F}">
  <dimension ref="C3:F22"/>
  <sheetViews>
    <sheetView workbookViewId="0"/>
  </sheetViews>
  <sheetFormatPr defaultRowHeight="18.75" x14ac:dyDescent="0.3"/>
  <cols>
    <col min="3" max="3" width="16.109375" customWidth="1"/>
    <col min="5" max="5" width="13.5546875" customWidth="1"/>
    <col min="6" max="6" width="17.88671875" customWidth="1"/>
  </cols>
  <sheetData>
    <row r="3" spans="3:6" x14ac:dyDescent="0.3">
      <c r="C3" s="4" t="s">
        <v>2</v>
      </c>
      <c r="D3" s="4"/>
      <c r="E3" s="4" t="s">
        <v>3</v>
      </c>
      <c r="F3" s="4" t="s">
        <v>4</v>
      </c>
    </row>
    <row r="4" spans="3:6" x14ac:dyDescent="0.3">
      <c r="C4" t="s">
        <v>5</v>
      </c>
      <c r="E4" s="1">
        <v>200000</v>
      </c>
      <c r="F4" s="1">
        <f>E4*1.2</f>
        <v>240000</v>
      </c>
    </row>
    <row r="5" spans="3:6" x14ac:dyDescent="0.3">
      <c r="C5" t="s">
        <v>6</v>
      </c>
      <c r="E5" s="1">
        <v>250000</v>
      </c>
      <c r="F5" s="1">
        <f>E5*1.2</f>
        <v>300000</v>
      </c>
    </row>
    <row r="6" spans="3:6" x14ac:dyDescent="0.3">
      <c r="C6" t="s">
        <v>7</v>
      </c>
      <c r="E6" s="1">
        <v>175000</v>
      </c>
      <c r="F6" s="1">
        <f>E6*1.2</f>
        <v>210000</v>
      </c>
    </row>
    <row r="7" spans="3:6" x14ac:dyDescent="0.3">
      <c r="C7" t="s">
        <v>8</v>
      </c>
      <c r="E7" s="1">
        <v>175000</v>
      </c>
      <c r="F7" s="1">
        <f t="shared" ref="F7" si="0">E7*1.2</f>
        <v>210000</v>
      </c>
    </row>
    <row r="8" spans="3:6" x14ac:dyDescent="0.3">
      <c r="C8" t="s">
        <v>9</v>
      </c>
      <c r="E8" s="1">
        <v>175000</v>
      </c>
      <c r="F8" s="1">
        <f>E8*1.2</f>
        <v>210000</v>
      </c>
    </row>
    <row r="9" spans="3:6" x14ac:dyDescent="0.3">
      <c r="C9" t="s">
        <v>10</v>
      </c>
      <c r="E9" s="5">
        <v>75000</v>
      </c>
      <c r="F9" s="5">
        <f>E9*1.2</f>
        <v>90000</v>
      </c>
    </row>
    <row r="10" spans="3:6" x14ac:dyDescent="0.3">
      <c r="C10" s="2" t="s">
        <v>11</v>
      </c>
      <c r="D10" s="2"/>
      <c r="E10" s="3">
        <f>SUM(E4:E9)</f>
        <v>1050000</v>
      </c>
      <c r="F10" s="3">
        <f>SUM(F4:F9)</f>
        <v>1260000</v>
      </c>
    </row>
    <row r="13" spans="3:6" x14ac:dyDescent="0.3">
      <c r="C13" s="4" t="s">
        <v>12</v>
      </c>
    </row>
    <row r="14" spans="3:6" x14ac:dyDescent="0.3">
      <c r="C14" t="s">
        <v>13</v>
      </c>
      <c r="D14">
        <v>2</v>
      </c>
      <c r="E14" s="1">
        <v>75000</v>
      </c>
      <c r="F14" s="1">
        <f>(E14*2) * 1.2</f>
        <v>180000</v>
      </c>
    </row>
    <row r="15" spans="3:6" x14ac:dyDescent="0.3">
      <c r="C15" t="s">
        <v>14</v>
      </c>
      <c r="D15">
        <v>2</v>
      </c>
      <c r="E15" s="1">
        <v>50000</v>
      </c>
      <c r="F15" s="1">
        <f t="shared" ref="F15:F18" si="1">(E15*2) * 1.2</f>
        <v>120000</v>
      </c>
    </row>
    <row r="16" spans="3:6" x14ac:dyDescent="0.3">
      <c r="C16" t="s">
        <v>15</v>
      </c>
      <c r="D16">
        <v>1</v>
      </c>
      <c r="E16" s="1">
        <v>100000</v>
      </c>
      <c r="F16" s="1">
        <f t="shared" si="1"/>
        <v>240000</v>
      </c>
    </row>
    <row r="17" spans="3:6" x14ac:dyDescent="0.3">
      <c r="C17" t="s">
        <v>16</v>
      </c>
      <c r="D17">
        <v>1</v>
      </c>
      <c r="E17" s="1">
        <v>60000</v>
      </c>
      <c r="F17" s="1">
        <f t="shared" si="1"/>
        <v>144000</v>
      </c>
    </row>
    <row r="18" spans="3:6" x14ac:dyDescent="0.3">
      <c r="C18" t="s">
        <v>17</v>
      </c>
      <c r="D18">
        <v>1</v>
      </c>
      <c r="E18" s="1">
        <v>50000</v>
      </c>
      <c r="F18" s="1">
        <f t="shared" si="1"/>
        <v>120000</v>
      </c>
    </row>
    <row r="19" spans="3:6" x14ac:dyDescent="0.3">
      <c r="C19" s="2" t="s">
        <v>11</v>
      </c>
      <c r="E19" s="3">
        <f>SUM(E14:E18)</f>
        <v>335000</v>
      </c>
      <c r="F19" s="3">
        <f>SUM(F14:F18)</f>
        <v>804000</v>
      </c>
    </row>
    <row r="20" spans="3:6" x14ac:dyDescent="0.3">
      <c r="E20" s="1"/>
      <c r="F20" s="1"/>
    </row>
    <row r="21" spans="3:6" x14ac:dyDescent="0.3">
      <c r="C21" s="2" t="s">
        <v>18</v>
      </c>
      <c r="E21" s="1"/>
      <c r="F21" s="3">
        <f>F10 + F19</f>
        <v>2064000</v>
      </c>
    </row>
    <row r="22" spans="3:6" x14ac:dyDescent="0.3">
      <c r="E22" s="1"/>
      <c r="F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 &amp; L</vt:lpstr>
      <vt:lpstr>Salaries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Freedman</dc:creator>
  <cp:lastModifiedBy>Gary Freedman</cp:lastModifiedBy>
  <dcterms:created xsi:type="dcterms:W3CDTF">2024-05-15T13:49:00Z</dcterms:created>
  <dcterms:modified xsi:type="dcterms:W3CDTF">2024-07-19T11:10:01Z</dcterms:modified>
</cp:coreProperties>
</file>