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INVESTMENTS\Kenya - ProMind\"/>
    </mc:Choice>
  </mc:AlternateContent>
  <xr:revisionPtr revIDLastSave="0" documentId="13_ncr:1_{CADC4528-C137-4539-8351-370407DD80C3}" xr6:coauthVersionLast="47" xr6:coauthVersionMax="47" xr10:uidLastSave="{00000000-0000-0000-0000-000000000000}"/>
  <bookViews>
    <workbookView xWindow="28680" yWindow="-120" windowWidth="29040" windowHeight="15720" xr2:uid="{57F5D4A1-F515-4981-823D-E826F524894E}"/>
  </bookViews>
  <sheets>
    <sheet name="Summary" sheetId="1" r:id="rId1"/>
    <sheet name="CAPEX" sheetId="3" r:id="rId2"/>
    <sheet name="CAPEX backup" sheetId="2" r:id="rId3"/>
    <sheet name="Insurance" sheetId="4" r:id="rId4"/>
  </sheets>
  <definedNames>
    <definedName name="_xlnm.Print_Area" localSheetId="0">Summary!$A$1:$J$84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8" i="1" l="1"/>
  <c r="E76" i="1"/>
  <c r="J22" i="1"/>
  <c r="I22" i="1"/>
  <c r="H22" i="1"/>
  <c r="CC22" i="1"/>
  <c r="CB22" i="1"/>
  <c r="CA22" i="1"/>
  <c r="BZ22" i="1"/>
  <c r="BY22" i="1"/>
  <c r="BX22" i="1"/>
  <c r="BW22" i="1"/>
  <c r="BV22" i="1"/>
  <c r="BU22" i="1"/>
  <c r="BT22" i="1"/>
  <c r="BS22" i="1"/>
  <c r="BR22" i="1"/>
  <c r="BO22" i="1"/>
  <c r="BN22" i="1"/>
  <c r="BM22" i="1"/>
  <c r="BL22" i="1"/>
  <c r="BK22" i="1"/>
  <c r="BJ22" i="1"/>
  <c r="BI22" i="1"/>
  <c r="BH22" i="1"/>
  <c r="BG22" i="1"/>
  <c r="BF22" i="1"/>
  <c r="BE22" i="1"/>
  <c r="BD22" i="1"/>
  <c r="BA22" i="1"/>
  <c r="AZ22" i="1"/>
  <c r="AY22" i="1"/>
  <c r="AX22" i="1"/>
  <c r="AW22" i="1"/>
  <c r="AV22" i="1"/>
  <c r="AU22" i="1"/>
  <c r="AT22" i="1"/>
  <c r="AS22" i="1"/>
  <c r="AR22" i="1"/>
  <c r="AQ22" i="1"/>
  <c r="AP22" i="1"/>
  <c r="AM22" i="1"/>
  <c r="AL22" i="1"/>
  <c r="AK22" i="1"/>
  <c r="AJ22" i="1"/>
  <c r="AI22" i="1"/>
  <c r="AH22" i="1"/>
  <c r="AG22" i="1"/>
  <c r="AF22" i="1"/>
  <c r="AE22" i="1"/>
  <c r="AD22" i="1"/>
  <c r="AC22" i="1"/>
  <c r="AB22" i="1"/>
  <c r="Y22" i="1"/>
  <c r="X22" i="1"/>
  <c r="W22" i="1"/>
  <c r="V22" i="1"/>
  <c r="U22" i="1"/>
  <c r="T22" i="1"/>
  <c r="S22" i="1"/>
  <c r="R22" i="1"/>
  <c r="Q22" i="1"/>
  <c r="P22" i="1"/>
  <c r="O22" i="1"/>
  <c r="N22" i="1"/>
  <c r="B90" i="1"/>
  <c r="B26" i="1"/>
  <c r="B25" i="1"/>
  <c r="B24" i="1"/>
  <c r="B16" i="1"/>
  <c r="F22" i="1" l="1"/>
  <c r="G22" i="1"/>
  <c r="CC68" i="1"/>
  <c r="BZ68" i="1"/>
  <c r="BW68" i="1"/>
  <c r="BT68" i="1"/>
  <c r="BO68" i="1"/>
  <c r="BL68" i="1"/>
  <c r="BI68" i="1"/>
  <c r="BF68" i="1"/>
  <c r="BA68" i="1"/>
  <c r="AX68" i="1"/>
  <c r="AU68" i="1"/>
  <c r="AR68" i="1"/>
  <c r="AM68" i="1"/>
  <c r="AJ68" i="1"/>
  <c r="AG68" i="1"/>
  <c r="AD68" i="1"/>
  <c r="V68" i="1"/>
  <c r="S68" i="1"/>
  <c r="P68" i="1"/>
  <c r="Y67" i="1"/>
  <c r="Y66" i="1"/>
  <c r="V67" i="1"/>
  <c r="S67" i="1"/>
  <c r="P67" i="1"/>
  <c r="F67" i="1" l="1"/>
  <c r="C56" i="1" l="1"/>
  <c r="BV56" i="1"/>
  <c r="B55" i="1"/>
  <c r="BO55" i="1" s="1"/>
  <c r="CC42" i="1"/>
  <c r="CB42" i="1"/>
  <c r="CA42" i="1"/>
  <c r="BZ42" i="1"/>
  <c r="BY42" i="1"/>
  <c r="BX42" i="1"/>
  <c r="BW42" i="1"/>
  <c r="BV42" i="1"/>
  <c r="BU42" i="1"/>
  <c r="BT42" i="1"/>
  <c r="BS42" i="1"/>
  <c r="BR42" i="1"/>
  <c r="CC41" i="1"/>
  <c r="CB41" i="1"/>
  <c r="CA41" i="1"/>
  <c r="BZ41" i="1"/>
  <c r="BY41" i="1"/>
  <c r="BX41" i="1"/>
  <c r="BW41" i="1"/>
  <c r="BV41" i="1"/>
  <c r="BU41" i="1"/>
  <c r="BT41" i="1"/>
  <c r="BS41" i="1"/>
  <c r="BR41" i="1"/>
  <c r="CC40" i="1"/>
  <c r="CB40" i="1"/>
  <c r="CA40" i="1"/>
  <c r="BZ40" i="1"/>
  <c r="BY40" i="1"/>
  <c r="BX40" i="1"/>
  <c r="BW40" i="1"/>
  <c r="BV40" i="1"/>
  <c r="BU40" i="1"/>
  <c r="BT40" i="1"/>
  <c r="BS40" i="1"/>
  <c r="BR40" i="1"/>
  <c r="CC39" i="1"/>
  <c r="CB39" i="1"/>
  <c r="CA39" i="1"/>
  <c r="BZ39" i="1"/>
  <c r="BY39" i="1"/>
  <c r="BX39" i="1"/>
  <c r="BW39" i="1"/>
  <c r="BV39" i="1"/>
  <c r="BU39" i="1"/>
  <c r="BT39" i="1"/>
  <c r="BS39" i="1"/>
  <c r="BR39" i="1"/>
  <c r="CC38" i="1"/>
  <c r="CB38" i="1"/>
  <c r="CA38" i="1"/>
  <c r="BZ38" i="1"/>
  <c r="BY38" i="1"/>
  <c r="BX38" i="1"/>
  <c r="BW38" i="1"/>
  <c r="BV38" i="1"/>
  <c r="BU38" i="1"/>
  <c r="BT38" i="1"/>
  <c r="BS38" i="1"/>
  <c r="BR38" i="1"/>
  <c r="CC37" i="1"/>
  <c r="CB37" i="1"/>
  <c r="CA37" i="1"/>
  <c r="BZ37" i="1"/>
  <c r="BY37" i="1"/>
  <c r="BX37" i="1"/>
  <c r="BW37" i="1"/>
  <c r="BV37" i="1"/>
  <c r="BU37" i="1"/>
  <c r="BT37" i="1"/>
  <c r="BS37" i="1"/>
  <c r="BR37" i="1"/>
  <c r="BO42" i="1"/>
  <c r="BN42" i="1"/>
  <c r="BM42" i="1"/>
  <c r="BL42" i="1"/>
  <c r="BK42" i="1"/>
  <c r="BJ42" i="1"/>
  <c r="BI42" i="1"/>
  <c r="BH42" i="1"/>
  <c r="BG42" i="1"/>
  <c r="BF42" i="1"/>
  <c r="BE42" i="1"/>
  <c r="BD42" i="1"/>
  <c r="BO41" i="1"/>
  <c r="BN41" i="1"/>
  <c r="BM41" i="1"/>
  <c r="BL41" i="1"/>
  <c r="BK41" i="1"/>
  <c r="BJ41" i="1"/>
  <c r="BI41" i="1"/>
  <c r="BH41" i="1"/>
  <c r="BG41" i="1"/>
  <c r="BF41" i="1"/>
  <c r="BE41" i="1"/>
  <c r="BD41" i="1"/>
  <c r="BO40" i="1"/>
  <c r="BN40" i="1"/>
  <c r="BM40" i="1"/>
  <c r="BL40" i="1"/>
  <c r="BK40" i="1"/>
  <c r="BJ40" i="1"/>
  <c r="BI40" i="1"/>
  <c r="BH40" i="1"/>
  <c r="BG40" i="1"/>
  <c r="BF40" i="1"/>
  <c r="BE40" i="1"/>
  <c r="BD40" i="1"/>
  <c r="BO39" i="1"/>
  <c r="BN39" i="1"/>
  <c r="BM39" i="1"/>
  <c r="BL39" i="1"/>
  <c r="BK39" i="1"/>
  <c r="BJ39" i="1"/>
  <c r="BI39" i="1"/>
  <c r="BH39" i="1"/>
  <c r="BG39" i="1"/>
  <c r="BF39" i="1"/>
  <c r="BE39" i="1"/>
  <c r="BD39" i="1"/>
  <c r="BO38" i="1"/>
  <c r="BN38" i="1"/>
  <c r="BM38" i="1"/>
  <c r="BL38" i="1"/>
  <c r="BK38" i="1"/>
  <c r="BJ38" i="1"/>
  <c r="BI38" i="1"/>
  <c r="BH38" i="1"/>
  <c r="BG38" i="1"/>
  <c r="BF38" i="1"/>
  <c r="BE38" i="1"/>
  <c r="BD38" i="1"/>
  <c r="BO37" i="1"/>
  <c r="BN37" i="1"/>
  <c r="BM37" i="1"/>
  <c r="BL37" i="1"/>
  <c r="BK37" i="1"/>
  <c r="BJ37" i="1"/>
  <c r="BI37" i="1"/>
  <c r="BH37" i="1"/>
  <c r="BG37" i="1"/>
  <c r="BF37" i="1"/>
  <c r="BE37" i="1"/>
  <c r="BD37" i="1"/>
  <c r="BA42" i="1"/>
  <c r="AZ42" i="1"/>
  <c r="AY42" i="1"/>
  <c r="AX42" i="1"/>
  <c r="AW42" i="1"/>
  <c r="AV42" i="1"/>
  <c r="AU42" i="1"/>
  <c r="AT42" i="1"/>
  <c r="AS42" i="1"/>
  <c r="AR42" i="1"/>
  <c r="AQ42" i="1"/>
  <c r="AP42" i="1"/>
  <c r="BA41" i="1"/>
  <c r="AZ41" i="1"/>
  <c r="AY41" i="1"/>
  <c r="AX41" i="1"/>
  <c r="AW41" i="1"/>
  <c r="AV41" i="1"/>
  <c r="AU41" i="1"/>
  <c r="AT41" i="1"/>
  <c r="AS41" i="1"/>
  <c r="AR41" i="1"/>
  <c r="AQ41" i="1"/>
  <c r="AP41" i="1"/>
  <c r="BA40" i="1"/>
  <c r="AZ40" i="1"/>
  <c r="AY40" i="1"/>
  <c r="AX40" i="1"/>
  <c r="AW40" i="1"/>
  <c r="AV40" i="1"/>
  <c r="AU40" i="1"/>
  <c r="AT40" i="1"/>
  <c r="AS40" i="1"/>
  <c r="AR40" i="1"/>
  <c r="AQ40" i="1"/>
  <c r="AP40" i="1"/>
  <c r="BA39" i="1"/>
  <c r="AZ39" i="1"/>
  <c r="AY39" i="1"/>
  <c r="AX39" i="1"/>
  <c r="AW39" i="1"/>
  <c r="AV39" i="1"/>
  <c r="AU39" i="1"/>
  <c r="AT39" i="1"/>
  <c r="AS39" i="1"/>
  <c r="AR39" i="1"/>
  <c r="AQ39" i="1"/>
  <c r="AP39" i="1"/>
  <c r="BA38" i="1"/>
  <c r="AZ38" i="1"/>
  <c r="AY38" i="1"/>
  <c r="AX38" i="1"/>
  <c r="AW38" i="1"/>
  <c r="AV38" i="1"/>
  <c r="AU38" i="1"/>
  <c r="AT38" i="1"/>
  <c r="AS38" i="1"/>
  <c r="AR38" i="1"/>
  <c r="AQ38" i="1"/>
  <c r="AP38" i="1"/>
  <c r="BA37" i="1"/>
  <c r="AZ37" i="1"/>
  <c r="AY37" i="1"/>
  <c r="AX37" i="1"/>
  <c r="AW37" i="1"/>
  <c r="AV37" i="1"/>
  <c r="AU37" i="1"/>
  <c r="AT37" i="1"/>
  <c r="AS37" i="1"/>
  <c r="AR37" i="1"/>
  <c r="AQ37" i="1"/>
  <c r="AP37" i="1"/>
  <c r="AM42" i="1"/>
  <c r="AL42" i="1"/>
  <c r="AK42" i="1"/>
  <c r="AJ42" i="1"/>
  <c r="AI42" i="1"/>
  <c r="AH42" i="1"/>
  <c r="AG42" i="1"/>
  <c r="AF42" i="1"/>
  <c r="AE42" i="1"/>
  <c r="AD42" i="1"/>
  <c r="AC42" i="1"/>
  <c r="AB42" i="1"/>
  <c r="AM41" i="1"/>
  <c r="AL41" i="1"/>
  <c r="AK41" i="1"/>
  <c r="AJ41" i="1"/>
  <c r="AI41" i="1"/>
  <c r="AH41" i="1"/>
  <c r="AG41" i="1"/>
  <c r="AF41" i="1"/>
  <c r="AE41" i="1"/>
  <c r="AD41" i="1"/>
  <c r="AC41" i="1"/>
  <c r="AB41" i="1"/>
  <c r="AM40" i="1"/>
  <c r="AL40" i="1"/>
  <c r="AK40" i="1"/>
  <c r="AJ40" i="1"/>
  <c r="AI40" i="1"/>
  <c r="AH40" i="1"/>
  <c r="AG40" i="1"/>
  <c r="AF40" i="1"/>
  <c r="AE40" i="1"/>
  <c r="AD40" i="1"/>
  <c r="AC40" i="1"/>
  <c r="AB40" i="1"/>
  <c r="AM39" i="1"/>
  <c r="AL39" i="1"/>
  <c r="AK39" i="1"/>
  <c r="AJ39" i="1"/>
  <c r="AI39" i="1"/>
  <c r="AH39" i="1"/>
  <c r="AG39" i="1"/>
  <c r="AF39" i="1"/>
  <c r="AE39" i="1"/>
  <c r="AD39" i="1"/>
  <c r="AC39" i="1"/>
  <c r="AB39" i="1"/>
  <c r="AM38" i="1"/>
  <c r="AL38" i="1"/>
  <c r="AK38" i="1"/>
  <c r="AJ38" i="1"/>
  <c r="AI38" i="1"/>
  <c r="AH38" i="1"/>
  <c r="AG38" i="1"/>
  <c r="AF38" i="1"/>
  <c r="AE38" i="1"/>
  <c r="AD38" i="1"/>
  <c r="AC38" i="1"/>
  <c r="AB38" i="1"/>
  <c r="AM37" i="1"/>
  <c r="AL37" i="1"/>
  <c r="AK37" i="1"/>
  <c r="AJ37" i="1"/>
  <c r="AI37" i="1"/>
  <c r="AH37" i="1"/>
  <c r="AG37" i="1"/>
  <c r="AF37" i="1"/>
  <c r="AE37" i="1"/>
  <c r="AD37" i="1"/>
  <c r="AC37" i="1"/>
  <c r="AB37" i="1"/>
  <c r="Y42" i="1"/>
  <c r="X42" i="1"/>
  <c r="W42" i="1"/>
  <c r="V42" i="1"/>
  <c r="U42" i="1"/>
  <c r="T42" i="1"/>
  <c r="S42" i="1"/>
  <c r="R42" i="1"/>
  <c r="Q42" i="1"/>
  <c r="P42" i="1"/>
  <c r="O42" i="1"/>
  <c r="N42" i="1"/>
  <c r="Y41" i="1"/>
  <c r="X41" i="1"/>
  <c r="W41" i="1"/>
  <c r="V41" i="1"/>
  <c r="U41" i="1"/>
  <c r="T41" i="1"/>
  <c r="S41" i="1"/>
  <c r="R41" i="1"/>
  <c r="Q41" i="1"/>
  <c r="P41" i="1"/>
  <c r="O41" i="1"/>
  <c r="N41" i="1"/>
  <c r="Y40" i="1"/>
  <c r="X40" i="1"/>
  <c r="W40" i="1"/>
  <c r="V40" i="1"/>
  <c r="U40" i="1"/>
  <c r="T40" i="1"/>
  <c r="S40" i="1"/>
  <c r="R40" i="1"/>
  <c r="Q40" i="1"/>
  <c r="P40" i="1"/>
  <c r="O40" i="1"/>
  <c r="N40" i="1"/>
  <c r="Y39" i="1"/>
  <c r="X39" i="1"/>
  <c r="W39" i="1"/>
  <c r="V39" i="1"/>
  <c r="U39" i="1"/>
  <c r="T39" i="1"/>
  <c r="S39" i="1"/>
  <c r="R39" i="1"/>
  <c r="Q39" i="1"/>
  <c r="P39" i="1"/>
  <c r="O39" i="1"/>
  <c r="N39" i="1"/>
  <c r="Y38" i="1"/>
  <c r="X38" i="1"/>
  <c r="W38" i="1"/>
  <c r="V38" i="1"/>
  <c r="U38" i="1"/>
  <c r="T38" i="1"/>
  <c r="S38" i="1"/>
  <c r="R38" i="1"/>
  <c r="Q38" i="1"/>
  <c r="P38" i="1"/>
  <c r="O38" i="1"/>
  <c r="N38" i="1"/>
  <c r="Y37" i="1"/>
  <c r="X37" i="1"/>
  <c r="W37" i="1"/>
  <c r="V37" i="1"/>
  <c r="U37" i="1"/>
  <c r="T37" i="1"/>
  <c r="S37" i="1"/>
  <c r="R37" i="1"/>
  <c r="Q37" i="1"/>
  <c r="P37" i="1"/>
  <c r="O37" i="1"/>
  <c r="N37" i="1"/>
  <c r="C53" i="1"/>
  <c r="BZ56" i="1"/>
  <c r="BY56" i="1"/>
  <c r="BX56" i="1"/>
  <c r="BW56" i="1"/>
  <c r="BJ56" i="1"/>
  <c r="BI56" i="1"/>
  <c r="BH56" i="1"/>
  <c r="BG56" i="1"/>
  <c r="AT56" i="1"/>
  <c r="AS56" i="1"/>
  <c r="AR56" i="1"/>
  <c r="AQ56" i="1"/>
  <c r="AD56" i="1"/>
  <c r="AC56" i="1"/>
  <c r="AB56" i="1"/>
  <c r="Y56" i="1"/>
  <c r="N56" i="1"/>
  <c r="CC54" i="1"/>
  <c r="CB54" i="1"/>
  <c r="CA54" i="1"/>
  <c r="BZ54" i="1"/>
  <c r="BY54" i="1"/>
  <c r="BX54" i="1"/>
  <c r="BW54" i="1"/>
  <c r="BV54" i="1"/>
  <c r="BU54" i="1"/>
  <c r="BT54" i="1"/>
  <c r="BS54" i="1"/>
  <c r="BR54" i="1"/>
  <c r="BO54" i="1"/>
  <c r="BN54" i="1"/>
  <c r="BM54" i="1"/>
  <c r="BL54" i="1"/>
  <c r="BK54" i="1"/>
  <c r="BJ54" i="1"/>
  <c r="BI54" i="1"/>
  <c r="BH54" i="1"/>
  <c r="BG54" i="1"/>
  <c r="BF54" i="1"/>
  <c r="BE54" i="1"/>
  <c r="BD54" i="1"/>
  <c r="BA54" i="1"/>
  <c r="AZ54" i="1"/>
  <c r="AY54" i="1"/>
  <c r="AX54" i="1"/>
  <c r="AW54" i="1"/>
  <c r="AV54" i="1"/>
  <c r="AU54" i="1"/>
  <c r="AT54" i="1"/>
  <c r="AS54" i="1"/>
  <c r="AR54" i="1"/>
  <c r="AQ54" i="1"/>
  <c r="AP54" i="1"/>
  <c r="AM54" i="1"/>
  <c r="AL54" i="1"/>
  <c r="AK54" i="1"/>
  <c r="AJ54" i="1"/>
  <c r="AI54" i="1"/>
  <c r="AH54" i="1"/>
  <c r="AG54" i="1"/>
  <c r="AF54" i="1"/>
  <c r="AE54" i="1"/>
  <c r="AD54" i="1"/>
  <c r="AC54" i="1"/>
  <c r="AB54" i="1"/>
  <c r="Y54" i="1"/>
  <c r="X54" i="1"/>
  <c r="W54" i="1"/>
  <c r="V54" i="1"/>
  <c r="U54" i="1"/>
  <c r="T54" i="1"/>
  <c r="S54" i="1"/>
  <c r="R54" i="1"/>
  <c r="Q54" i="1"/>
  <c r="P54" i="1"/>
  <c r="O54" i="1"/>
  <c r="N54" i="1"/>
  <c r="CC53" i="1"/>
  <c r="CB53" i="1"/>
  <c r="CA53" i="1"/>
  <c r="BZ53" i="1"/>
  <c r="BY53" i="1"/>
  <c r="BX53" i="1"/>
  <c r="BW53" i="1"/>
  <c r="BV53" i="1"/>
  <c r="BU53" i="1"/>
  <c r="BT53" i="1"/>
  <c r="BS53" i="1"/>
  <c r="BR53" i="1"/>
  <c r="BO53" i="1"/>
  <c r="BN53" i="1"/>
  <c r="BM53" i="1"/>
  <c r="BL53" i="1"/>
  <c r="BK53" i="1"/>
  <c r="BJ53" i="1"/>
  <c r="BI53" i="1"/>
  <c r="BH53" i="1"/>
  <c r="BG53" i="1"/>
  <c r="BF53" i="1"/>
  <c r="BE53" i="1"/>
  <c r="BD53" i="1"/>
  <c r="BA53" i="1"/>
  <c r="AZ53" i="1"/>
  <c r="AY53" i="1"/>
  <c r="AX53" i="1"/>
  <c r="AW53" i="1"/>
  <c r="AV53" i="1"/>
  <c r="AU53" i="1"/>
  <c r="AT53" i="1"/>
  <c r="AS53" i="1"/>
  <c r="AR53" i="1"/>
  <c r="AQ53" i="1"/>
  <c r="AP53" i="1"/>
  <c r="AM53" i="1"/>
  <c r="AL53" i="1"/>
  <c r="AK53" i="1"/>
  <c r="AJ53" i="1"/>
  <c r="AI53" i="1"/>
  <c r="AH53" i="1"/>
  <c r="AG53" i="1"/>
  <c r="AF53" i="1"/>
  <c r="AE53" i="1"/>
  <c r="AD53" i="1"/>
  <c r="AC53" i="1"/>
  <c r="AB53" i="1"/>
  <c r="Y53" i="1"/>
  <c r="X53" i="1"/>
  <c r="W53" i="1"/>
  <c r="V53" i="1"/>
  <c r="U53" i="1"/>
  <c r="T53" i="1"/>
  <c r="S53" i="1"/>
  <c r="R53" i="1"/>
  <c r="Q53" i="1"/>
  <c r="P53" i="1"/>
  <c r="O53" i="1"/>
  <c r="N53" i="1"/>
  <c r="CC52" i="1"/>
  <c r="CB52" i="1"/>
  <c r="CA52" i="1"/>
  <c r="BZ52" i="1"/>
  <c r="BY52" i="1"/>
  <c r="BX52" i="1"/>
  <c r="BW52" i="1"/>
  <c r="BV52" i="1"/>
  <c r="BU52" i="1"/>
  <c r="BT52" i="1"/>
  <c r="BS52" i="1"/>
  <c r="BR52" i="1"/>
  <c r="BO52" i="1"/>
  <c r="BN52" i="1"/>
  <c r="BM52" i="1"/>
  <c r="BL52" i="1"/>
  <c r="BK52" i="1"/>
  <c r="BJ52" i="1"/>
  <c r="BI52" i="1"/>
  <c r="BH52" i="1"/>
  <c r="BG52" i="1"/>
  <c r="BF52" i="1"/>
  <c r="BE52" i="1"/>
  <c r="BD52" i="1"/>
  <c r="BA52" i="1"/>
  <c r="AZ52" i="1"/>
  <c r="AY52" i="1"/>
  <c r="AX52" i="1"/>
  <c r="AW52" i="1"/>
  <c r="AV52" i="1"/>
  <c r="AU52" i="1"/>
  <c r="AT52" i="1"/>
  <c r="AS52" i="1"/>
  <c r="AR52" i="1"/>
  <c r="AQ52" i="1"/>
  <c r="AP52" i="1"/>
  <c r="AM52" i="1"/>
  <c r="AL52" i="1"/>
  <c r="AK52" i="1"/>
  <c r="AJ52" i="1"/>
  <c r="AI52" i="1"/>
  <c r="AH52" i="1"/>
  <c r="AG52" i="1"/>
  <c r="AF52" i="1"/>
  <c r="AE52" i="1"/>
  <c r="AD52" i="1"/>
  <c r="AC52" i="1"/>
  <c r="AB52" i="1"/>
  <c r="Y52" i="1"/>
  <c r="X52" i="1"/>
  <c r="W52" i="1"/>
  <c r="V52" i="1"/>
  <c r="U52" i="1"/>
  <c r="T52" i="1"/>
  <c r="S52" i="1"/>
  <c r="R52" i="1"/>
  <c r="Q52" i="1"/>
  <c r="P52" i="1"/>
  <c r="O52" i="1"/>
  <c r="N52" i="1"/>
  <c r="CC51" i="1"/>
  <c r="CB51" i="1"/>
  <c r="CA51" i="1"/>
  <c r="BZ51" i="1"/>
  <c r="BY51" i="1"/>
  <c r="BX51" i="1"/>
  <c r="BW51" i="1"/>
  <c r="BV51" i="1"/>
  <c r="BU51" i="1"/>
  <c r="BT51" i="1"/>
  <c r="BS51" i="1"/>
  <c r="BR51" i="1"/>
  <c r="BO51" i="1"/>
  <c r="BN51" i="1"/>
  <c r="BM51" i="1"/>
  <c r="BL51" i="1"/>
  <c r="BK51" i="1"/>
  <c r="BJ51" i="1"/>
  <c r="BI51" i="1"/>
  <c r="BH51" i="1"/>
  <c r="BG51" i="1"/>
  <c r="BF51" i="1"/>
  <c r="BE51" i="1"/>
  <c r="BD51" i="1"/>
  <c r="BA51" i="1"/>
  <c r="AZ51" i="1"/>
  <c r="AY51" i="1"/>
  <c r="AX51" i="1"/>
  <c r="AW51" i="1"/>
  <c r="AV51" i="1"/>
  <c r="AU51" i="1"/>
  <c r="AT51" i="1"/>
  <c r="AS51" i="1"/>
  <c r="AR51" i="1"/>
  <c r="AQ51" i="1"/>
  <c r="AP51" i="1"/>
  <c r="AM51" i="1"/>
  <c r="AL51" i="1"/>
  <c r="AK51" i="1"/>
  <c r="AJ51" i="1"/>
  <c r="AI51" i="1"/>
  <c r="AH51" i="1"/>
  <c r="AG51" i="1"/>
  <c r="AF51" i="1"/>
  <c r="AE51" i="1"/>
  <c r="AD51" i="1"/>
  <c r="AC51" i="1"/>
  <c r="AB51" i="1"/>
  <c r="Y51" i="1"/>
  <c r="X51" i="1"/>
  <c r="W51" i="1"/>
  <c r="V51" i="1"/>
  <c r="U51" i="1"/>
  <c r="T51" i="1"/>
  <c r="S51" i="1"/>
  <c r="R51" i="1"/>
  <c r="Q51" i="1"/>
  <c r="P51" i="1"/>
  <c r="O51" i="1"/>
  <c r="N51" i="1"/>
  <c r="CC34" i="1"/>
  <c r="CB34" i="1"/>
  <c r="CA34" i="1"/>
  <c r="BZ34" i="1"/>
  <c r="BY34" i="1"/>
  <c r="BX34" i="1"/>
  <c r="BW34" i="1"/>
  <c r="BV34" i="1"/>
  <c r="BU34" i="1"/>
  <c r="BT34" i="1"/>
  <c r="BS34" i="1"/>
  <c r="BR34" i="1"/>
  <c r="BO34" i="1"/>
  <c r="BN34" i="1"/>
  <c r="BM34" i="1"/>
  <c r="BL34" i="1"/>
  <c r="BK34" i="1"/>
  <c r="BJ34" i="1"/>
  <c r="BI34" i="1"/>
  <c r="BH34" i="1"/>
  <c r="BG34" i="1"/>
  <c r="BF34" i="1"/>
  <c r="BE34" i="1"/>
  <c r="BD34" i="1"/>
  <c r="BA34" i="1"/>
  <c r="AZ34" i="1"/>
  <c r="AY34" i="1"/>
  <c r="AX34" i="1"/>
  <c r="AW34" i="1"/>
  <c r="AV34" i="1"/>
  <c r="AU34" i="1"/>
  <c r="AT34" i="1"/>
  <c r="AS34" i="1"/>
  <c r="AR34" i="1"/>
  <c r="AQ34" i="1"/>
  <c r="AP34" i="1"/>
  <c r="AM34" i="1"/>
  <c r="AL34" i="1"/>
  <c r="AK34" i="1"/>
  <c r="AJ34" i="1"/>
  <c r="AI34" i="1"/>
  <c r="AH34" i="1"/>
  <c r="AG34" i="1"/>
  <c r="AF34" i="1"/>
  <c r="AE34" i="1"/>
  <c r="AD34" i="1"/>
  <c r="AC34" i="1"/>
  <c r="AB34" i="1"/>
  <c r="Y34" i="1"/>
  <c r="X34" i="1"/>
  <c r="W34" i="1"/>
  <c r="V34" i="1"/>
  <c r="U34" i="1"/>
  <c r="T34" i="1"/>
  <c r="S34" i="1"/>
  <c r="R34" i="1"/>
  <c r="Q34" i="1"/>
  <c r="P34" i="1"/>
  <c r="O34" i="1"/>
  <c r="N34" i="1"/>
  <c r="Z18" i="1"/>
  <c r="B14" i="1"/>
  <c r="C592" i="2"/>
  <c r="E27" i="3"/>
  <c r="D26" i="3"/>
  <c r="E570" i="2"/>
  <c r="AT46" i="1" l="1"/>
  <c r="AH45" i="1"/>
  <c r="AJ45" i="1"/>
  <c r="BL46" i="1"/>
  <c r="BL45" i="1"/>
  <c r="BR45" i="1"/>
  <c r="BX46" i="1"/>
  <c r="BZ46" i="1"/>
  <c r="AE46" i="1"/>
  <c r="AQ47" i="1"/>
  <c r="BY47" i="1"/>
  <c r="AG46" i="1"/>
  <c r="BD47" i="1"/>
  <c r="AR47" i="1"/>
  <c r="AR46" i="1"/>
  <c r="AU46" i="1"/>
  <c r="BM46" i="1"/>
  <c r="AF46" i="1"/>
  <c r="AZ48" i="1"/>
  <c r="BN45" i="1"/>
  <c r="BV47" i="1"/>
  <c r="BO45" i="1"/>
  <c r="BW47" i="1"/>
  <c r="BM45" i="1"/>
  <c r="R46" i="1"/>
  <c r="R45" i="1"/>
  <c r="AD47" i="1"/>
  <c r="AJ48" i="1"/>
  <c r="AP45" i="1"/>
  <c r="AP46" i="1"/>
  <c r="AP48" i="1"/>
  <c r="AT47" i="1"/>
  <c r="AV46" i="1"/>
  <c r="AV45" i="1"/>
  <c r="AX45" i="1"/>
  <c r="BD46" i="1"/>
  <c r="BD45" i="1"/>
  <c r="BF48" i="1"/>
  <c r="BF47" i="1"/>
  <c r="BH47" i="1"/>
  <c r="BH46" i="1"/>
  <c r="BJ47" i="1"/>
  <c r="BJ46" i="1"/>
  <c r="BR47" i="1"/>
  <c r="BR46" i="1"/>
  <c r="BR48" i="1"/>
  <c r="BT45" i="1"/>
  <c r="BT48" i="1"/>
  <c r="BT47" i="1"/>
  <c r="BV48" i="1"/>
  <c r="BY46" i="1"/>
  <c r="R48" i="1"/>
  <c r="AK47" i="1"/>
  <c r="AK46" i="1"/>
  <c r="AK48" i="1"/>
  <c r="AY47" i="1"/>
  <c r="AY46" i="1"/>
  <c r="AY45" i="1"/>
  <c r="BM48" i="1"/>
  <c r="BM47" i="1"/>
  <c r="CA45" i="1"/>
  <c r="CA48" i="1"/>
  <c r="CA47" i="1"/>
  <c r="CA46" i="1"/>
  <c r="X46" i="1"/>
  <c r="X45" i="1"/>
  <c r="X48" i="1"/>
  <c r="X47" i="1"/>
  <c r="AL46" i="1"/>
  <c r="AL45" i="1"/>
  <c r="BN46" i="1"/>
  <c r="BN47" i="1"/>
  <c r="BN48" i="1"/>
  <c r="CB48" i="1"/>
  <c r="CB47" i="1"/>
  <c r="Y46" i="1"/>
  <c r="Y45" i="1"/>
  <c r="Y48" i="1"/>
  <c r="Y47" i="1"/>
  <c r="AM46" i="1"/>
  <c r="AM45" i="1"/>
  <c r="BA47" i="1"/>
  <c r="BA46" i="1"/>
  <c r="BA45" i="1"/>
  <c r="BA48" i="1"/>
  <c r="BO46" i="1"/>
  <c r="BO47" i="1"/>
  <c r="BO48" i="1"/>
  <c r="CC48" i="1"/>
  <c r="CC47" i="1"/>
  <c r="O46" i="1"/>
  <c r="Q46" i="1"/>
  <c r="Q45" i="1"/>
  <c r="S45" i="1"/>
  <c r="S48" i="1"/>
  <c r="U48" i="1"/>
  <c r="AC47" i="1"/>
  <c r="AC46" i="1"/>
  <c r="AI48" i="1"/>
  <c r="AI45" i="1"/>
  <c r="AS47" i="1"/>
  <c r="AS46" i="1"/>
  <c r="AW46" i="1"/>
  <c r="AW45" i="1"/>
  <c r="BE48" i="1"/>
  <c r="BE47" i="1"/>
  <c r="BG47" i="1"/>
  <c r="BI47" i="1"/>
  <c r="BI46" i="1"/>
  <c r="BK46" i="1"/>
  <c r="BS48" i="1"/>
  <c r="BS45" i="1"/>
  <c r="BU48" i="1"/>
  <c r="BU47" i="1"/>
  <c r="N48" i="1"/>
  <c r="N45" i="1"/>
  <c r="N47" i="1"/>
  <c r="N46" i="1"/>
  <c r="P46" i="1"/>
  <c r="P45" i="1"/>
  <c r="T45" i="1"/>
  <c r="V48" i="1"/>
  <c r="V47" i="1"/>
  <c r="AB45" i="1"/>
  <c r="AB48" i="1"/>
  <c r="AB47" i="1"/>
  <c r="AB46" i="1"/>
  <c r="AH46" i="1"/>
  <c r="AH48" i="1"/>
  <c r="O45" i="1"/>
  <c r="S46" i="1"/>
  <c r="AC45" i="1"/>
  <c r="AE47" i="1"/>
  <c r="AI46" i="1"/>
  <c r="AQ46" i="1"/>
  <c r="AU47" i="1"/>
  <c r="BE45" i="1"/>
  <c r="BG48" i="1"/>
  <c r="BK47" i="1"/>
  <c r="BS47" i="1"/>
  <c r="BU45" i="1"/>
  <c r="BW48" i="1"/>
  <c r="T48" i="1"/>
  <c r="P47" i="1"/>
  <c r="T46" i="1"/>
  <c r="AD48" i="1"/>
  <c r="AF47" i="1"/>
  <c r="AR45" i="1"/>
  <c r="AV47" i="1"/>
  <c r="BF46" i="1"/>
  <c r="BH48" i="1"/>
  <c r="BT46" i="1"/>
  <c r="BV45" i="1"/>
  <c r="BX48" i="1"/>
  <c r="CB46" i="1"/>
  <c r="AL48" i="1"/>
  <c r="CC45" i="1"/>
  <c r="CC46" i="1"/>
  <c r="AM48" i="1"/>
  <c r="U45" i="1"/>
  <c r="AD46" i="1"/>
  <c r="AX48" i="1"/>
  <c r="V45" i="1"/>
  <c r="AM47" i="1"/>
  <c r="AY48" i="1"/>
  <c r="AF45" i="1"/>
  <c r="AP47" i="1"/>
  <c r="W45" i="1"/>
  <c r="W46" i="1"/>
  <c r="W48" i="1"/>
  <c r="W47" i="1"/>
  <c r="AZ46" i="1"/>
  <c r="AZ47" i="1"/>
  <c r="AZ45" i="1"/>
  <c r="AK45" i="1"/>
  <c r="R26" i="1"/>
  <c r="R25" i="1"/>
  <c r="BX47" i="1"/>
  <c r="CB45" i="1"/>
  <c r="AL47" i="1"/>
  <c r="AG45" i="1"/>
  <c r="BD48" i="1"/>
  <c r="Q48" i="1"/>
  <c r="U46" i="1"/>
  <c r="AE45" i="1"/>
  <c r="AG47" i="1"/>
  <c r="AS48" i="1"/>
  <c r="AW47" i="1"/>
  <c r="BG46" i="1"/>
  <c r="BI48" i="1"/>
  <c r="BU46" i="1"/>
  <c r="BW45" i="1"/>
  <c r="BY48" i="1"/>
  <c r="R47" i="1"/>
  <c r="AF48" i="1"/>
  <c r="AH47" i="1"/>
  <c r="AT48" i="1"/>
  <c r="BH45" i="1"/>
  <c r="BJ48" i="1"/>
  <c r="BV46" i="1"/>
  <c r="BX45" i="1"/>
  <c r="S47" i="1"/>
  <c r="AG48" i="1"/>
  <c r="AI47" i="1"/>
  <c r="AU45" i="1"/>
  <c r="BI45" i="1"/>
  <c r="BK48" i="1"/>
  <c r="BW46" i="1"/>
  <c r="BY45" i="1"/>
  <c r="T47" i="1"/>
  <c r="AV48" i="1"/>
  <c r="BJ45" i="1"/>
  <c r="U47" i="1"/>
  <c r="AW48" i="1"/>
  <c r="BK45" i="1"/>
  <c r="V46" i="1"/>
  <c r="AJ47" i="1"/>
  <c r="AJ46" i="1"/>
  <c r="AX47" i="1"/>
  <c r="AX46" i="1"/>
  <c r="BL47" i="1"/>
  <c r="BL48" i="1"/>
  <c r="BZ45" i="1"/>
  <c r="BZ48" i="1"/>
  <c r="BZ47" i="1"/>
  <c r="O47" i="1"/>
  <c r="AQ48" i="1"/>
  <c r="BF45" i="1"/>
  <c r="AR48" i="1"/>
  <c r="AQ45" i="1"/>
  <c r="BG45" i="1"/>
  <c r="BS46" i="1"/>
  <c r="Q47" i="1"/>
  <c r="AC48" i="1"/>
  <c r="AS45" i="1"/>
  <c r="BE46" i="1"/>
  <c r="O48" i="1"/>
  <c r="AE48" i="1"/>
  <c r="AU48" i="1"/>
  <c r="AD45" i="1"/>
  <c r="AT45" i="1"/>
  <c r="P48" i="1"/>
  <c r="Y26" i="1"/>
  <c r="Y24" i="1"/>
  <c r="P25" i="1"/>
  <c r="X26" i="1"/>
  <c r="X24" i="1"/>
  <c r="P24" i="1"/>
  <c r="W26" i="1"/>
  <c r="W24" i="1"/>
  <c r="O26" i="1"/>
  <c r="V26" i="1"/>
  <c r="V24" i="1"/>
  <c r="O25" i="1"/>
  <c r="U26" i="1"/>
  <c r="U24" i="1"/>
  <c r="O24" i="1"/>
  <c r="T26" i="1"/>
  <c r="T24" i="1"/>
  <c r="N26" i="1"/>
  <c r="S24" i="1"/>
  <c r="S25" i="1"/>
  <c r="T25" i="1"/>
  <c r="U25" i="1"/>
  <c r="V25" i="1"/>
  <c r="N24" i="1"/>
  <c r="W25" i="1"/>
  <c r="N25" i="1"/>
  <c r="X25" i="1"/>
  <c r="P26" i="1"/>
  <c r="Y25" i="1"/>
  <c r="Q24" i="1"/>
  <c r="S26" i="1"/>
  <c r="Q25" i="1"/>
  <c r="Q26" i="1"/>
  <c r="R24" i="1"/>
  <c r="N9" i="1"/>
  <c r="F66" i="1"/>
  <c r="AZ55" i="1"/>
  <c r="AL55" i="1"/>
  <c r="BA55" i="1"/>
  <c r="BD55" i="1"/>
  <c r="BR55" i="1"/>
  <c r="BS55" i="1"/>
  <c r="BT55" i="1"/>
  <c r="W55" i="1"/>
  <c r="X55" i="1"/>
  <c r="Y55" i="1"/>
  <c r="AJ55" i="1"/>
  <c r="AK55" i="1"/>
  <c r="AM55" i="1"/>
  <c r="BE55" i="1"/>
  <c r="BU55" i="1"/>
  <c r="C55" i="1"/>
  <c r="AP55" i="1"/>
  <c r="BF55" i="1"/>
  <c r="BV55" i="1"/>
  <c r="N55" i="1"/>
  <c r="AQ55" i="1"/>
  <c r="BG55" i="1"/>
  <c r="BW55" i="1"/>
  <c r="O55" i="1"/>
  <c r="AB55" i="1"/>
  <c r="AR55" i="1"/>
  <c r="BH55" i="1"/>
  <c r="BX55" i="1"/>
  <c r="P55" i="1"/>
  <c r="AC55" i="1"/>
  <c r="AS55" i="1"/>
  <c r="BI55" i="1"/>
  <c r="BY55" i="1"/>
  <c r="Q55" i="1"/>
  <c r="AD55" i="1"/>
  <c r="AT55" i="1"/>
  <c r="BJ55" i="1"/>
  <c r="BZ55" i="1"/>
  <c r="R55" i="1"/>
  <c r="AE55" i="1"/>
  <c r="AU55" i="1"/>
  <c r="BK55" i="1"/>
  <c r="CA55" i="1"/>
  <c r="S55" i="1"/>
  <c r="AF55" i="1"/>
  <c r="AV55" i="1"/>
  <c r="BL55" i="1"/>
  <c r="CB55" i="1"/>
  <c r="T55" i="1"/>
  <c r="AG55" i="1"/>
  <c r="AW55" i="1"/>
  <c r="BM55" i="1"/>
  <c r="CC55" i="1"/>
  <c r="U55" i="1"/>
  <c r="AH55" i="1"/>
  <c r="AX55" i="1"/>
  <c r="BN55" i="1"/>
  <c r="V55" i="1"/>
  <c r="AI55" i="1"/>
  <c r="AY55" i="1"/>
  <c r="O56" i="1"/>
  <c r="AE56" i="1"/>
  <c r="AU56" i="1"/>
  <c r="BK56" i="1"/>
  <c r="CA56" i="1"/>
  <c r="P56" i="1"/>
  <c r="AF56" i="1"/>
  <c r="AV56" i="1"/>
  <c r="BL56" i="1"/>
  <c r="CB56" i="1"/>
  <c r="Q56" i="1"/>
  <c r="AG56" i="1"/>
  <c r="AW56" i="1"/>
  <c r="BM56" i="1"/>
  <c r="CC56" i="1"/>
  <c r="R56" i="1"/>
  <c r="AH56" i="1"/>
  <c r="AX56" i="1"/>
  <c r="BN56" i="1"/>
  <c r="S56" i="1"/>
  <c r="AI56" i="1"/>
  <c r="AY56" i="1"/>
  <c r="BO56" i="1"/>
  <c r="T56" i="1"/>
  <c r="AJ56" i="1"/>
  <c r="AZ56" i="1"/>
  <c r="BR56" i="1"/>
  <c r="U56" i="1"/>
  <c r="AK56" i="1"/>
  <c r="BA56" i="1"/>
  <c r="BS56" i="1"/>
  <c r="V56" i="1"/>
  <c r="AL56" i="1"/>
  <c r="BD56" i="1"/>
  <c r="BT56" i="1"/>
  <c r="W56" i="1"/>
  <c r="AM56" i="1"/>
  <c r="BE56" i="1"/>
  <c r="BU56" i="1"/>
  <c r="X56" i="1"/>
  <c r="AP56" i="1"/>
  <c r="BF56" i="1"/>
  <c r="J38" i="1"/>
  <c r="J39" i="1"/>
  <c r="J40" i="1"/>
  <c r="J41" i="1"/>
  <c r="G37" i="1"/>
  <c r="F41" i="1"/>
  <c r="G40" i="1"/>
  <c r="I38" i="1"/>
  <c r="J37" i="1"/>
  <c r="J68" i="1"/>
  <c r="G68" i="1"/>
  <c r="I39" i="1"/>
  <c r="I42" i="1"/>
  <c r="H38" i="1"/>
  <c r="H39" i="1"/>
  <c r="H40" i="1"/>
  <c r="H41" i="1"/>
  <c r="I37" i="1"/>
  <c r="I68" i="1"/>
  <c r="J42" i="1"/>
  <c r="G38" i="1"/>
  <c r="G39" i="1"/>
  <c r="G41" i="1"/>
  <c r="H37" i="1"/>
  <c r="H68" i="1"/>
  <c r="F39" i="1"/>
  <c r="F40" i="1"/>
  <c r="F38" i="1"/>
  <c r="H42" i="1"/>
  <c r="F68" i="1"/>
  <c r="G42" i="1"/>
  <c r="I41" i="1"/>
  <c r="F37" i="1"/>
  <c r="F42" i="1"/>
  <c r="I40" i="1"/>
  <c r="F75" i="1"/>
  <c r="G53" i="1"/>
  <c r="F54" i="1"/>
  <c r="G34" i="1"/>
  <c r="G51" i="1"/>
  <c r="F34" i="1"/>
  <c r="H51" i="1"/>
  <c r="I51" i="1"/>
  <c r="J51" i="1"/>
  <c r="F52" i="1"/>
  <c r="G52" i="1"/>
  <c r="J52" i="1"/>
  <c r="F53" i="1"/>
  <c r="G54" i="1"/>
  <c r="H54" i="1"/>
  <c r="I54" i="1"/>
  <c r="J54" i="1"/>
  <c r="I52" i="1"/>
  <c r="H34" i="1"/>
  <c r="I34" i="1"/>
  <c r="F51" i="1"/>
  <c r="H52" i="1"/>
  <c r="J53" i="1"/>
  <c r="J34" i="1"/>
  <c r="I53" i="1"/>
  <c r="H53" i="1"/>
  <c r="D25" i="3"/>
  <c r="J69" i="1" l="1"/>
  <c r="Y61" i="1"/>
  <c r="R60" i="1"/>
  <c r="X61" i="1"/>
  <c r="Q60" i="1"/>
  <c r="N59" i="1"/>
  <c r="O60" i="1"/>
  <c r="V59" i="1"/>
  <c r="Y60" i="1"/>
  <c r="V61" i="1"/>
  <c r="W60" i="1"/>
  <c r="P59" i="1"/>
  <c r="P60" i="1"/>
  <c r="S59" i="1"/>
  <c r="S61" i="1"/>
  <c r="S60" i="1"/>
  <c r="T60" i="1"/>
  <c r="T59" i="1"/>
  <c r="R59" i="1"/>
  <c r="R61" i="1"/>
  <c r="P61" i="1"/>
  <c r="X59" i="1"/>
  <c r="W59" i="1"/>
  <c r="T61" i="1"/>
  <c r="X60" i="1"/>
  <c r="Q59" i="1"/>
  <c r="O59" i="1"/>
  <c r="O61" i="1"/>
  <c r="U60" i="1"/>
  <c r="U59" i="1"/>
  <c r="Q61" i="1"/>
  <c r="Y59" i="1"/>
  <c r="U61" i="1"/>
  <c r="F27" i="1"/>
  <c r="N61" i="1"/>
  <c r="V60" i="1"/>
  <c r="N60" i="1"/>
  <c r="W61" i="1"/>
  <c r="J55" i="1"/>
  <c r="I55" i="1"/>
  <c r="F55" i="1"/>
  <c r="I56" i="1"/>
  <c r="H55" i="1"/>
  <c r="G55" i="1"/>
  <c r="F56" i="1"/>
  <c r="H56" i="1"/>
  <c r="J56" i="1"/>
  <c r="G56" i="1"/>
  <c r="F22" i="3"/>
  <c r="E22" i="3"/>
  <c r="D22" i="3"/>
  <c r="F20" i="3"/>
  <c r="E20" i="3"/>
  <c r="D20" i="3"/>
  <c r="D16" i="3"/>
  <c r="F15" i="3"/>
  <c r="E15" i="3"/>
  <c r="D15" i="3"/>
  <c r="B8" i="3"/>
  <c r="H24" i="3" s="1"/>
  <c r="J65" i="1" s="1"/>
  <c r="D6" i="3"/>
  <c r="B6" i="3"/>
  <c r="E18" i="3"/>
  <c r="F18" i="3" s="1"/>
  <c r="D13" i="3"/>
  <c r="F62" i="1" l="1"/>
  <c r="D19" i="3"/>
  <c r="D17" i="3"/>
  <c r="B5" i="3"/>
  <c r="D27" i="3" s="1"/>
  <c r="D24" i="3"/>
  <c r="F16" i="3"/>
  <c r="F17" i="3" s="1"/>
  <c r="E16" i="3"/>
  <c r="E17" i="3" s="1"/>
  <c r="B4" i="3"/>
  <c r="D4" i="3" s="1"/>
  <c r="E21" i="3"/>
  <c r="F19" i="3" l="1"/>
  <c r="E19" i="3"/>
  <c r="G24" i="3"/>
  <c r="O19" i="1"/>
  <c r="AM17" i="1"/>
  <c r="AL17" i="1"/>
  <c r="AK17" i="1"/>
  <c r="AJ17" i="1"/>
  <c r="AI17" i="1"/>
  <c r="AH17" i="1"/>
  <c r="AG17" i="1"/>
  <c r="AF17" i="1"/>
  <c r="AE17" i="1"/>
  <c r="AD17" i="1"/>
  <c r="AC17" i="1"/>
  <c r="AB17" i="1"/>
  <c r="AM16" i="1"/>
  <c r="BA16" i="1" s="1"/>
  <c r="BO16" i="1" s="1"/>
  <c r="CC16" i="1" s="1"/>
  <c r="AL16" i="1"/>
  <c r="AZ16" i="1" s="1"/>
  <c r="BN16" i="1" s="1"/>
  <c r="CB16" i="1" s="1"/>
  <c r="AK16" i="1"/>
  <c r="AY16" i="1" s="1"/>
  <c r="BM16" i="1" s="1"/>
  <c r="CA16" i="1" s="1"/>
  <c r="AJ16" i="1"/>
  <c r="AX16" i="1" s="1"/>
  <c r="BL16" i="1" s="1"/>
  <c r="BZ16" i="1" s="1"/>
  <c r="AI16" i="1"/>
  <c r="AW16" i="1" s="1"/>
  <c r="BK16" i="1" s="1"/>
  <c r="BY16" i="1" s="1"/>
  <c r="AH16" i="1"/>
  <c r="AV16" i="1" s="1"/>
  <c r="BJ16" i="1" s="1"/>
  <c r="BX16" i="1" s="1"/>
  <c r="AG16" i="1"/>
  <c r="AU16" i="1" s="1"/>
  <c r="BI16" i="1" s="1"/>
  <c r="BW16" i="1" s="1"/>
  <c r="AF16" i="1"/>
  <c r="AT16" i="1" s="1"/>
  <c r="BH16" i="1" s="1"/>
  <c r="BV16" i="1" s="1"/>
  <c r="AE16" i="1"/>
  <c r="AS16" i="1" s="1"/>
  <c r="BG16" i="1" s="1"/>
  <c r="BU16" i="1" s="1"/>
  <c r="AD16" i="1"/>
  <c r="AR16" i="1" s="1"/>
  <c r="BF16" i="1" s="1"/>
  <c r="BT16" i="1" s="1"/>
  <c r="AC16" i="1"/>
  <c r="AQ16" i="1" s="1"/>
  <c r="BE16" i="1" s="1"/>
  <c r="BS16" i="1" s="1"/>
  <c r="AB16" i="1"/>
  <c r="AP16" i="1" s="1"/>
  <c r="BD16" i="1" s="1"/>
  <c r="BR16" i="1" s="1"/>
  <c r="AB14" i="1"/>
  <c r="AC14" i="1" s="1"/>
  <c r="AD14" i="1" s="1"/>
  <c r="AE14" i="1" s="1"/>
  <c r="AF14" i="1" s="1"/>
  <c r="AG14" i="1" s="1"/>
  <c r="AH14" i="1" s="1"/>
  <c r="AI14" i="1" s="1"/>
  <c r="AJ14" i="1" s="1"/>
  <c r="AK14" i="1" s="1"/>
  <c r="AL14" i="1" s="1"/>
  <c r="AM14" i="1" s="1"/>
  <c r="O14" i="1"/>
  <c r="P14" i="1" s="1"/>
  <c r="Q14" i="1" s="1"/>
  <c r="R14" i="1" s="1"/>
  <c r="S14" i="1" s="1"/>
  <c r="T14" i="1" s="1"/>
  <c r="U14" i="1" s="1"/>
  <c r="V14" i="1" s="1"/>
  <c r="W14" i="1" s="1"/>
  <c r="X14" i="1" s="1"/>
  <c r="Y14" i="1" s="1"/>
  <c r="C51" i="1"/>
  <c r="C54" i="1"/>
  <c r="C52" i="1"/>
  <c r="C34" i="1"/>
  <c r="E574" i="2" s="1"/>
  <c r="E571" i="2" s="1"/>
  <c r="E572" i="2" s="1"/>
  <c r="D30" i="3" s="1"/>
  <c r="B5" i="1"/>
  <c r="B4" i="1"/>
  <c r="C4" i="1" s="1"/>
  <c r="O29" i="1" l="1"/>
  <c r="O71" i="1" s="1"/>
  <c r="AR17" i="1"/>
  <c r="AR19" i="1" s="1"/>
  <c r="AD26" i="1"/>
  <c r="AD24" i="1"/>
  <c r="AD25" i="1"/>
  <c r="AS17" i="1"/>
  <c r="AS19" i="1" s="1"/>
  <c r="AE26" i="1"/>
  <c r="AE25" i="1"/>
  <c r="AE24" i="1"/>
  <c r="AT17" i="1"/>
  <c r="AT19" i="1" s="1"/>
  <c r="AF26" i="1"/>
  <c r="AF25" i="1"/>
  <c r="AF24" i="1"/>
  <c r="AU17" i="1"/>
  <c r="AG25" i="1"/>
  <c r="AG24" i="1"/>
  <c r="AG26" i="1"/>
  <c r="AV17" i="1"/>
  <c r="AV19" i="1" s="1"/>
  <c r="AH25" i="1"/>
  <c r="AH24" i="1"/>
  <c r="AH26" i="1"/>
  <c r="AW17" i="1"/>
  <c r="AW19" i="1" s="1"/>
  <c r="AI25" i="1"/>
  <c r="AI24" i="1"/>
  <c r="AI26" i="1"/>
  <c r="AX17" i="1"/>
  <c r="AX19" i="1" s="1"/>
  <c r="AJ24" i="1"/>
  <c r="AJ25" i="1"/>
  <c r="AJ26" i="1"/>
  <c r="AY17" i="1"/>
  <c r="AY19" i="1" s="1"/>
  <c r="AK24" i="1"/>
  <c r="AK25" i="1"/>
  <c r="AK26" i="1"/>
  <c r="AZ17" i="1"/>
  <c r="AZ19" i="1" s="1"/>
  <c r="AL24" i="1"/>
  <c r="AL25" i="1"/>
  <c r="AL26" i="1"/>
  <c r="BA17" i="1"/>
  <c r="AM24" i="1"/>
  <c r="AM25" i="1"/>
  <c r="AM26" i="1"/>
  <c r="AP17" i="1"/>
  <c r="AB25" i="1"/>
  <c r="AB26" i="1"/>
  <c r="AB24" i="1"/>
  <c r="AQ17" i="1"/>
  <c r="AQ19" i="1" s="1"/>
  <c r="AC25" i="1"/>
  <c r="AC26" i="1"/>
  <c r="AC24" i="1"/>
  <c r="D29" i="3"/>
  <c r="H29" i="3" s="1"/>
  <c r="D31" i="3"/>
  <c r="D32" i="3"/>
  <c r="AP14" i="1"/>
  <c r="AQ14" i="1" s="1"/>
  <c r="AR14" i="1" s="1"/>
  <c r="AS14" i="1" s="1"/>
  <c r="AT14" i="1" s="1"/>
  <c r="AU14" i="1" s="1"/>
  <c r="AV14" i="1" s="1"/>
  <c r="AW14" i="1" s="1"/>
  <c r="AX14" i="1" s="1"/>
  <c r="AY14" i="1" s="1"/>
  <c r="AZ14" i="1" s="1"/>
  <c r="BA14" i="1" s="1"/>
  <c r="N19" i="1"/>
  <c r="AB19" i="1"/>
  <c r="AC19" i="1"/>
  <c r="AM19" i="1"/>
  <c r="AG19" i="1"/>
  <c r="AH19" i="1"/>
  <c r="BF17" i="1"/>
  <c r="AN18" i="1"/>
  <c r="AD19" i="1"/>
  <c r="AE19" i="1"/>
  <c r="AF19" i="1"/>
  <c r="AI19" i="1"/>
  <c r="AJ19" i="1"/>
  <c r="AK19" i="1"/>
  <c r="AL19" i="1"/>
  <c r="U19" i="1"/>
  <c r="P19" i="1"/>
  <c r="Q19" i="1"/>
  <c r="R19" i="1"/>
  <c r="S19" i="1"/>
  <c r="T19" i="1"/>
  <c r="V19" i="1"/>
  <c r="O76" i="1" l="1"/>
  <c r="BG17" i="1"/>
  <c r="BG26" i="1" s="1"/>
  <c r="AI29" i="1"/>
  <c r="AI71" i="1" s="1"/>
  <c r="AK29" i="1"/>
  <c r="AK71" i="1" s="1"/>
  <c r="AE29" i="1"/>
  <c r="AE71" i="1" s="1"/>
  <c r="V29" i="1"/>
  <c r="V71" i="1" s="1"/>
  <c r="AD29" i="1"/>
  <c r="AD71" i="1" s="1"/>
  <c r="P29" i="1"/>
  <c r="P71" i="1" s="1"/>
  <c r="U29" i="1"/>
  <c r="U71" i="1" s="1"/>
  <c r="N29" i="1"/>
  <c r="N71" i="1" s="1"/>
  <c r="T29" i="1"/>
  <c r="T71" i="1" s="1"/>
  <c r="S29" i="1"/>
  <c r="S71" i="1" s="1"/>
  <c r="R29" i="1"/>
  <c r="R71" i="1" s="1"/>
  <c r="Q29" i="1"/>
  <c r="Q71" i="1" s="1"/>
  <c r="AM29" i="1"/>
  <c r="AM71" i="1" s="1"/>
  <c r="AL29" i="1"/>
  <c r="AL71" i="1" s="1"/>
  <c r="AC29" i="1"/>
  <c r="AC71" i="1" s="1"/>
  <c r="AB29" i="1"/>
  <c r="AB71" i="1" s="1"/>
  <c r="AF29" i="1"/>
  <c r="AF71" i="1" s="1"/>
  <c r="AJ29" i="1"/>
  <c r="AJ71" i="1" s="1"/>
  <c r="AH29" i="1"/>
  <c r="AH71" i="1" s="1"/>
  <c r="AG29" i="1"/>
  <c r="AG71" i="1" s="1"/>
  <c r="AH60" i="1"/>
  <c r="AH76" i="1" s="1"/>
  <c r="AL61" i="1"/>
  <c r="BH17" i="1"/>
  <c r="BH19" i="1" s="1"/>
  <c r="AI61" i="1"/>
  <c r="BD17" i="1"/>
  <c r="AP24" i="1"/>
  <c r="AP25" i="1"/>
  <c r="AP26" i="1"/>
  <c r="BI17" i="1"/>
  <c r="AU24" i="1"/>
  <c r="AU25" i="1"/>
  <c r="AU26" i="1"/>
  <c r="AJ61" i="1"/>
  <c r="AJ59" i="1"/>
  <c r="AJ60" i="1"/>
  <c r="AJ76" i="1" s="1"/>
  <c r="AF60" i="1"/>
  <c r="AF59" i="1"/>
  <c r="BL17" i="1"/>
  <c r="AX26" i="1"/>
  <c r="AX24" i="1"/>
  <c r="AX25" i="1"/>
  <c r="AM61" i="1"/>
  <c r="AM60" i="1"/>
  <c r="AM76" i="1" s="1"/>
  <c r="AM59" i="1"/>
  <c r="AF61" i="1"/>
  <c r="BO17" i="1"/>
  <c r="BA24" i="1"/>
  <c r="BA26" i="1"/>
  <c r="BA25" i="1"/>
  <c r="AI59" i="1"/>
  <c r="AI60" i="1"/>
  <c r="AT24" i="1"/>
  <c r="AT25" i="1"/>
  <c r="AT26" i="1"/>
  <c r="AE61" i="1"/>
  <c r="AE59" i="1"/>
  <c r="BK17" i="1"/>
  <c r="AW25" i="1"/>
  <c r="AW26" i="1"/>
  <c r="AW24" i="1"/>
  <c r="BB18" i="1"/>
  <c r="H75" i="1" s="1"/>
  <c r="BA19" i="1"/>
  <c r="AC59" i="1"/>
  <c r="AC61" i="1"/>
  <c r="AL59" i="1"/>
  <c r="AL60" i="1"/>
  <c r="AE60" i="1"/>
  <c r="AC60" i="1"/>
  <c r="BN17" i="1"/>
  <c r="AZ24" i="1"/>
  <c r="AZ26" i="1"/>
  <c r="AZ25" i="1"/>
  <c r="AH61" i="1"/>
  <c r="AH59" i="1"/>
  <c r="AS24" i="1"/>
  <c r="AS25" i="1"/>
  <c r="AS26" i="1"/>
  <c r="BF24" i="1"/>
  <c r="BF26" i="1"/>
  <c r="BF25" i="1"/>
  <c r="AP19" i="1"/>
  <c r="BE17" i="1"/>
  <c r="AQ24" i="1"/>
  <c r="AQ26" i="1"/>
  <c r="AQ25" i="1"/>
  <c r="AQ29" i="1" s="1"/>
  <c r="AQ71" i="1" s="1"/>
  <c r="BJ17" i="1"/>
  <c r="AV25" i="1"/>
  <c r="AV26" i="1"/>
  <c r="AV24" i="1"/>
  <c r="AD59" i="1"/>
  <c r="AD61" i="1"/>
  <c r="AB59" i="1"/>
  <c r="AB60" i="1"/>
  <c r="G27" i="1"/>
  <c r="AK60" i="1"/>
  <c r="AK61" i="1"/>
  <c r="AK59" i="1"/>
  <c r="AG61" i="1"/>
  <c r="AD60" i="1"/>
  <c r="AU19" i="1"/>
  <c r="AB61" i="1"/>
  <c r="BM17" i="1"/>
  <c r="AY26" i="1"/>
  <c r="AY24" i="1"/>
  <c r="AY25" i="1"/>
  <c r="AG60" i="1"/>
  <c r="AG59" i="1"/>
  <c r="AR24" i="1"/>
  <c r="AR25" i="1"/>
  <c r="AR26" i="1"/>
  <c r="G75" i="1"/>
  <c r="G19" i="1"/>
  <c r="BD14" i="1"/>
  <c r="BE14" i="1" s="1"/>
  <c r="BF14" i="1" s="1"/>
  <c r="BG14" i="1" s="1"/>
  <c r="BH14" i="1" s="1"/>
  <c r="BI14" i="1" s="1"/>
  <c r="BJ14" i="1" s="1"/>
  <c r="BK14" i="1" s="1"/>
  <c r="BL14" i="1" s="1"/>
  <c r="BM14" i="1" s="1"/>
  <c r="BN14" i="1" s="1"/>
  <c r="BO14" i="1" s="1"/>
  <c r="BF19" i="1"/>
  <c r="BT17" i="1"/>
  <c r="AN19" i="1"/>
  <c r="W19" i="1"/>
  <c r="AI76" i="1" l="1"/>
  <c r="S76" i="1"/>
  <c r="AK76" i="1"/>
  <c r="AE76" i="1"/>
  <c r="P76" i="1"/>
  <c r="AL76" i="1"/>
  <c r="N76" i="1"/>
  <c r="AG76" i="1"/>
  <c r="AF76" i="1"/>
  <c r="AD76" i="1"/>
  <c r="AC76" i="1"/>
  <c r="AB76" i="1"/>
  <c r="V76" i="1"/>
  <c r="U76" i="1"/>
  <c r="T76" i="1"/>
  <c r="R76" i="1"/>
  <c r="Q76" i="1"/>
  <c r="BU17" i="1"/>
  <c r="BU26" i="1" s="1"/>
  <c r="BG19" i="1"/>
  <c r="BG24" i="1"/>
  <c r="BG25" i="1"/>
  <c r="BG61" i="1" s="1"/>
  <c r="W29" i="1"/>
  <c r="W71" i="1" s="1"/>
  <c r="AT29" i="1"/>
  <c r="AT71" i="1" s="1"/>
  <c r="AU29" i="1"/>
  <c r="AU71" i="1" s="1"/>
  <c r="AS29" i="1"/>
  <c r="AX29" i="1"/>
  <c r="AX71" i="1" s="1"/>
  <c r="AY29" i="1"/>
  <c r="AY71" i="1" s="1"/>
  <c r="AV29" i="1"/>
  <c r="AV71" i="1" s="1"/>
  <c r="AW29" i="1"/>
  <c r="AW71" i="1" s="1"/>
  <c r="G29" i="1"/>
  <c r="G71" i="1" s="1"/>
  <c r="AZ29" i="1"/>
  <c r="AR29" i="1"/>
  <c r="AR71" i="1" s="1"/>
  <c r="AP29" i="1"/>
  <c r="AP71" i="1" s="1"/>
  <c r="BA29" i="1"/>
  <c r="BA71" i="1" s="1"/>
  <c r="BF29" i="1"/>
  <c r="BF71" i="1" s="1"/>
  <c r="BH24" i="1"/>
  <c r="BH25" i="1"/>
  <c r="BH26" i="1"/>
  <c r="BV17" i="1"/>
  <c r="BV19" i="1" s="1"/>
  <c r="BP18" i="1"/>
  <c r="I75" i="1" s="1"/>
  <c r="AQ60" i="1"/>
  <c r="AQ76" i="1" s="1"/>
  <c r="AQ61" i="1"/>
  <c r="AQ59" i="1"/>
  <c r="BS17" i="1"/>
  <c r="BE26" i="1"/>
  <c r="BE24" i="1"/>
  <c r="BE25" i="1"/>
  <c r="BE19" i="1"/>
  <c r="CB17" i="1"/>
  <c r="BN24" i="1"/>
  <c r="BN25" i="1"/>
  <c r="BN26" i="1"/>
  <c r="BN19" i="1"/>
  <c r="G62" i="1"/>
  <c r="AT59" i="1"/>
  <c r="AT61" i="1"/>
  <c r="AT60" i="1"/>
  <c r="AT76" i="1" s="1"/>
  <c r="BT24" i="1"/>
  <c r="BT25" i="1"/>
  <c r="BT26" i="1"/>
  <c r="AR60" i="1"/>
  <c r="AR76" i="1" s="1"/>
  <c r="AR61" i="1"/>
  <c r="AZ61" i="1"/>
  <c r="AW59" i="1"/>
  <c r="AW61" i="1"/>
  <c r="AZ60" i="1"/>
  <c r="AZ59" i="1"/>
  <c r="AW60" i="1"/>
  <c r="BU19" i="1"/>
  <c r="BU24" i="1"/>
  <c r="BU25" i="1"/>
  <c r="BY17" i="1"/>
  <c r="BK24" i="1"/>
  <c r="BK25" i="1"/>
  <c r="BK26" i="1"/>
  <c r="BK19" i="1"/>
  <c r="BA61" i="1"/>
  <c r="AX59" i="1"/>
  <c r="AX61" i="1"/>
  <c r="AU60" i="1"/>
  <c r="AU76" i="1" s="1"/>
  <c r="AU59" i="1"/>
  <c r="AU61" i="1"/>
  <c r="AY61" i="1"/>
  <c r="AY60" i="1"/>
  <c r="AY76" i="1" s="1"/>
  <c r="BA60" i="1"/>
  <c r="BA76" i="1" s="1"/>
  <c r="BA59" i="1"/>
  <c r="AX60" i="1"/>
  <c r="BI25" i="1"/>
  <c r="BI24" i="1"/>
  <c r="BI26" i="1"/>
  <c r="BW17" i="1"/>
  <c r="BI19" i="1"/>
  <c r="AY59" i="1"/>
  <c r="CC17" i="1"/>
  <c r="BO24" i="1"/>
  <c r="BO25" i="1"/>
  <c r="BO26" i="1"/>
  <c r="BO19" i="1"/>
  <c r="BZ17" i="1"/>
  <c r="BL24" i="1"/>
  <c r="BL25" i="1"/>
  <c r="BL26" i="1"/>
  <c r="BL19" i="1"/>
  <c r="BB19" i="1"/>
  <c r="CA17" i="1"/>
  <c r="BM24" i="1"/>
  <c r="BM25" i="1"/>
  <c r="BM26" i="1"/>
  <c r="BM19" i="1"/>
  <c r="BF60" i="1"/>
  <c r="BF76" i="1" s="1"/>
  <c r="BG60" i="1"/>
  <c r="BF61" i="1"/>
  <c r="BF59" i="1"/>
  <c r="H27" i="1"/>
  <c r="AP61" i="1"/>
  <c r="AP59" i="1"/>
  <c r="AP60" i="1"/>
  <c r="AP76" i="1" s="1"/>
  <c r="AV60" i="1"/>
  <c r="AV59" i="1"/>
  <c r="BR17" i="1"/>
  <c r="BD26" i="1"/>
  <c r="BD24" i="1"/>
  <c r="BD25" i="1"/>
  <c r="BD19" i="1"/>
  <c r="H19" i="1"/>
  <c r="AV61" i="1"/>
  <c r="AS61" i="1"/>
  <c r="AS60" i="1"/>
  <c r="AS59" i="1"/>
  <c r="BJ24" i="1"/>
  <c r="BJ25" i="1"/>
  <c r="BJ26" i="1"/>
  <c r="BJ19" i="1"/>
  <c r="BX17" i="1"/>
  <c r="AR59" i="1"/>
  <c r="BR14" i="1"/>
  <c r="BS14" i="1" s="1"/>
  <c r="BT14" i="1" s="1"/>
  <c r="BU14" i="1" s="1"/>
  <c r="BV14" i="1" s="1"/>
  <c r="BW14" i="1" s="1"/>
  <c r="BX14" i="1" s="1"/>
  <c r="BY14" i="1" s="1"/>
  <c r="BZ14" i="1" s="1"/>
  <c r="CA14" i="1" s="1"/>
  <c r="CB14" i="1" s="1"/>
  <c r="CC14" i="1" s="1"/>
  <c r="BT19" i="1"/>
  <c r="X19" i="1"/>
  <c r="AW76" i="1" l="1"/>
  <c r="AV76" i="1"/>
  <c r="AX76" i="1"/>
  <c r="G76" i="1"/>
  <c r="W76" i="1"/>
  <c r="BG59" i="1"/>
  <c r="BG29" i="1"/>
  <c r="BG71" i="1" s="1"/>
  <c r="BN29" i="1"/>
  <c r="BN71" i="1" s="1"/>
  <c r="X29" i="1"/>
  <c r="X71" i="1" s="1"/>
  <c r="BI29" i="1"/>
  <c r="BI71" i="1" s="1"/>
  <c r="BK29" i="1"/>
  <c r="BK71" i="1" s="1"/>
  <c r="BD29" i="1"/>
  <c r="BD71" i="1" s="1"/>
  <c r="BJ29" i="1"/>
  <c r="BJ71" i="1" s="1"/>
  <c r="AS71" i="1"/>
  <c r="AS76" i="1" s="1"/>
  <c r="BL29" i="1"/>
  <c r="BL71" i="1" s="1"/>
  <c r="BO29" i="1"/>
  <c r="BO71" i="1" s="1"/>
  <c r="AZ71" i="1"/>
  <c r="AZ76" i="1" s="1"/>
  <c r="BM29" i="1"/>
  <c r="BM71" i="1" s="1"/>
  <c r="BU29" i="1"/>
  <c r="BU71" i="1" s="1"/>
  <c r="BT29" i="1"/>
  <c r="BT71" i="1" s="1"/>
  <c r="BH61" i="1"/>
  <c r="BE29" i="1"/>
  <c r="BE71" i="1" s="1"/>
  <c r="BH29" i="1"/>
  <c r="BH71" i="1" s="1"/>
  <c r="BH59" i="1"/>
  <c r="BH60" i="1"/>
  <c r="H29" i="1"/>
  <c r="H71" i="1" s="1"/>
  <c r="BV24" i="1"/>
  <c r="BV26" i="1"/>
  <c r="BV25" i="1"/>
  <c r="BL61" i="1"/>
  <c r="BK61" i="1"/>
  <c r="BP19" i="1"/>
  <c r="CD18" i="1"/>
  <c r="J75" i="1" s="1"/>
  <c r="BI61" i="1"/>
  <c r="CC24" i="1"/>
  <c r="CC26" i="1"/>
  <c r="CC25" i="1"/>
  <c r="CC19" i="1"/>
  <c r="BN59" i="1"/>
  <c r="BN61" i="1"/>
  <c r="BN60" i="1"/>
  <c r="CB24" i="1"/>
  <c r="CB26" i="1"/>
  <c r="CB25" i="1"/>
  <c r="CB19" i="1"/>
  <c r="BW19" i="1"/>
  <c r="BW25" i="1"/>
  <c r="BW26" i="1"/>
  <c r="BW24" i="1"/>
  <c r="BO60" i="1"/>
  <c r="BO76" i="1" s="1"/>
  <c r="BO59" i="1"/>
  <c r="BO61" i="1"/>
  <c r="BK60" i="1"/>
  <c r="BK76" i="1" s="1"/>
  <c r="BK59" i="1"/>
  <c r="H62" i="1"/>
  <c r="H76" i="1" s="1"/>
  <c r="BM61" i="1"/>
  <c r="BM60" i="1"/>
  <c r="BM59" i="1"/>
  <c r="BY26" i="1"/>
  <c r="BY24" i="1"/>
  <c r="BY25" i="1"/>
  <c r="BY19" i="1"/>
  <c r="CA24" i="1"/>
  <c r="CA26" i="1"/>
  <c r="CA25" i="1"/>
  <c r="CA19" i="1"/>
  <c r="I19" i="1"/>
  <c r="BX19" i="1"/>
  <c r="BX26" i="1"/>
  <c r="BX25" i="1"/>
  <c r="BX24" i="1"/>
  <c r="BI60" i="1"/>
  <c r="BI59" i="1"/>
  <c r="BU60" i="1"/>
  <c r="BU59" i="1"/>
  <c r="BU61" i="1"/>
  <c r="BT61" i="1"/>
  <c r="BT59" i="1"/>
  <c r="BT60" i="1"/>
  <c r="BT76" i="1" s="1"/>
  <c r="BE59" i="1"/>
  <c r="BE60" i="1"/>
  <c r="BD60" i="1"/>
  <c r="BD76" i="1" s="1"/>
  <c r="BD59" i="1"/>
  <c r="BD61" i="1"/>
  <c r="I27" i="1"/>
  <c r="BL59" i="1"/>
  <c r="BL60" i="1"/>
  <c r="BL76" i="1" s="1"/>
  <c r="BE61" i="1"/>
  <c r="BZ24" i="1"/>
  <c r="BZ26" i="1"/>
  <c r="BZ25" i="1"/>
  <c r="BZ19" i="1"/>
  <c r="BS24" i="1"/>
  <c r="BS25" i="1"/>
  <c r="BS26" i="1"/>
  <c r="BS19" i="1"/>
  <c r="BR24" i="1"/>
  <c r="BR25" i="1"/>
  <c r="BR26" i="1"/>
  <c r="BR19" i="1"/>
  <c r="BJ61" i="1"/>
  <c r="BJ59" i="1"/>
  <c r="BJ60" i="1"/>
  <c r="Y19" i="1"/>
  <c r="BJ76" i="1" l="1"/>
  <c r="BU76" i="1"/>
  <c r="X76" i="1"/>
  <c r="BI76" i="1"/>
  <c r="BM76" i="1"/>
  <c r="BN76" i="1"/>
  <c r="BG76" i="1"/>
  <c r="BE76" i="1"/>
  <c r="BH76" i="1"/>
  <c r="BZ29" i="1"/>
  <c r="BZ71" i="1" s="1"/>
  <c r="BR29" i="1"/>
  <c r="BR71" i="1" s="1"/>
  <c r="BS29" i="1"/>
  <c r="BS71" i="1" s="1"/>
  <c r="Y29" i="1"/>
  <c r="Y71" i="1" s="1"/>
  <c r="CB29" i="1"/>
  <c r="CB71" i="1" s="1"/>
  <c r="CA29" i="1"/>
  <c r="CA71" i="1" s="1"/>
  <c r="CC29" i="1"/>
  <c r="CC71" i="1" s="1"/>
  <c r="BV29" i="1"/>
  <c r="BW29" i="1"/>
  <c r="BW71" i="1" s="1"/>
  <c r="BX29" i="1"/>
  <c r="BX71" i="1" s="1"/>
  <c r="BY29" i="1"/>
  <c r="BY71" i="1" s="1"/>
  <c r="I29" i="1"/>
  <c r="I71" i="1" s="1"/>
  <c r="BV59" i="1"/>
  <c r="BV61" i="1"/>
  <c r="BV60" i="1"/>
  <c r="BZ59" i="1"/>
  <c r="BZ60" i="1"/>
  <c r="BZ76" i="1" s="1"/>
  <c r="BZ61" i="1"/>
  <c r="BR61" i="1"/>
  <c r="BY60" i="1"/>
  <c r="BY61" i="1"/>
  <c r="BY59" i="1"/>
  <c r="CA59" i="1"/>
  <c r="CA60" i="1"/>
  <c r="CA61" i="1"/>
  <c r="CB59" i="1"/>
  <c r="CB60" i="1"/>
  <c r="CB61" i="1"/>
  <c r="J27" i="1"/>
  <c r="BR60" i="1"/>
  <c r="BR76" i="1" s="1"/>
  <c r="BR59" i="1"/>
  <c r="BX61" i="1"/>
  <c r="BX60" i="1"/>
  <c r="BX76" i="1" s="1"/>
  <c r="CD19" i="1"/>
  <c r="I62" i="1"/>
  <c r="BW60" i="1"/>
  <c r="BW61" i="1"/>
  <c r="BX59" i="1"/>
  <c r="BW59" i="1"/>
  <c r="J19" i="1"/>
  <c r="BS60" i="1"/>
  <c r="BS59" i="1"/>
  <c r="BS61" i="1"/>
  <c r="CC61" i="1"/>
  <c r="CC59" i="1"/>
  <c r="CC60" i="1"/>
  <c r="Z19" i="1"/>
  <c r="F19" i="1"/>
  <c r="CC76" i="1" l="1"/>
  <c r="CA76" i="1"/>
  <c r="Y76" i="1"/>
  <c r="BS76" i="1"/>
  <c r="CB76" i="1"/>
  <c r="BW76" i="1"/>
  <c r="I76" i="1"/>
  <c r="BY76" i="1"/>
  <c r="BV71" i="1"/>
  <c r="BV76" i="1" s="1"/>
  <c r="F29" i="1"/>
  <c r="F71" i="1" s="1"/>
  <c r="J29" i="1"/>
  <c r="J71" i="1" s="1"/>
  <c r="J62" i="1"/>
  <c r="J76" i="1" s="1"/>
  <c r="D34" i="3"/>
  <c r="E65" i="1" s="1"/>
  <c r="F45" i="1"/>
  <c r="J45" i="1"/>
  <c r="I45" i="1"/>
  <c r="H45" i="1"/>
  <c r="G45" i="1"/>
  <c r="H46" i="1"/>
  <c r="G46" i="1"/>
  <c r="I46" i="1"/>
  <c r="J46" i="1"/>
  <c r="H47" i="1"/>
  <c r="I48" i="1"/>
  <c r="F48" i="1"/>
  <c r="G47" i="1"/>
  <c r="J47" i="1"/>
  <c r="F46" i="1"/>
  <c r="H48" i="1"/>
  <c r="F47" i="1"/>
  <c r="I47" i="1"/>
  <c r="G48" i="1"/>
  <c r="J48" i="1"/>
  <c r="F76" i="1" l="1"/>
  <c r="S77" i="1"/>
  <c r="T77" i="1"/>
  <c r="P77" i="1"/>
  <c r="Q77" i="1"/>
  <c r="U77" i="1"/>
  <c r="O77" i="1"/>
  <c r="Y77" i="1"/>
  <c r="N77" i="1"/>
  <c r="V77" i="1"/>
  <c r="X77" i="1"/>
  <c r="R77" i="1"/>
  <c r="W77" i="1"/>
  <c r="E88" i="1" l="1"/>
  <c r="F88" i="1" s="1"/>
  <c r="G88" i="1" s="1"/>
  <c r="E89" i="1" l="1"/>
  <c r="F89" i="1"/>
  <c r="G89" i="1"/>
  <c r="H88" i="1"/>
  <c r="I88" i="1" l="1"/>
  <c r="H89" i="1"/>
  <c r="I89" i="1" l="1"/>
  <c r="J88" i="1"/>
  <c r="J89" i="1" s="1"/>
  <c r="B89" i="1" l="1"/>
  <c r="E83" i="1" l="1"/>
  <c r="E80" i="1"/>
  <c r="E79" i="1" l="1"/>
  <c r="M88" i="1"/>
  <c r="E78" i="1"/>
  <c r="E84" i="1"/>
  <c r="F84" i="1" s="1"/>
  <c r="E86" i="1"/>
  <c r="F8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Dmitry Markov</author>
  </authors>
  <commentList>
    <comment ref="B574" authorId="0" shapeId="0" xr:uid="{0A2A8F88-1796-4A80-A9EE-A2AF3BED4196}">
      <text>
        <r>
          <rPr>
            <sz val="9"/>
            <color indexed="81"/>
            <rFont val="Tahoma"/>
            <family val="2"/>
          </rPr>
          <t>The Land Lease: If your $500k includes the land or a long-term lease, your legal costs will rise. A property lawyer will charge roughly 1% to 2% of the lease value to conduct due diligence (ensuring the land isn't a "wildlife corridor" or community-owned land with disputed title).</t>
        </r>
      </text>
    </comment>
    <comment ref="B576" authorId="0" shapeId="0" xr:uid="{94DFA860-D164-401D-B942-19D96BD3F17C}">
      <text>
        <r>
          <rPr>
            <sz val="9"/>
            <color indexed="81"/>
            <rFont val="Tahoma"/>
            <family val="2"/>
          </rPr>
          <t>Tourism Licenses: You will specifically need a TRA (Tourism Regulatory Authority) license, which is required before you can legally host a single guest.</t>
        </r>
      </text>
    </comment>
  </commentList>
</comments>
</file>

<file path=xl/sharedStrings.xml><?xml version="1.0" encoding="utf-8"?>
<sst xmlns="http://schemas.openxmlformats.org/spreadsheetml/2006/main" count="794" uniqueCount="712">
  <si>
    <t>per month</t>
  </si>
  <si>
    <t>Project:</t>
  </si>
  <si>
    <t>Promind</t>
  </si>
  <si>
    <t>Place:</t>
  </si>
  <si>
    <t>Kenya</t>
  </si>
  <si>
    <t>number</t>
  </si>
  <si>
    <t>Standard tent</t>
  </si>
  <si>
    <t>https://promind.life/retreat-africa/</t>
  </si>
  <si>
    <t>Website:</t>
  </si>
  <si>
    <t>Number of units</t>
  </si>
  <si>
    <t>Area</t>
  </si>
  <si>
    <t>Bathroom fixtures &amp; plumbing</t>
  </si>
  <si>
    <t>Heaters</t>
  </si>
  <si>
    <t>Fencing</t>
  </si>
  <si>
    <t>1 USD =</t>
  </si>
  <si>
    <t>KSH</t>
  </si>
  <si>
    <t>Perimeter</t>
  </si>
  <si>
    <t>Silent Diesel Generator (70–90 kVA) - installation, ATS panel, cabling, fuel tank, transport</t>
  </si>
  <si>
    <t>Kitchen</t>
  </si>
  <si>
    <t>CASH PROCEEDS</t>
  </si>
  <si>
    <t>Number of tents</t>
  </si>
  <si>
    <t>Occupancy</t>
  </si>
  <si>
    <t>Average Daily Occupancy</t>
  </si>
  <si>
    <t>per annum</t>
  </si>
  <si>
    <t>Camping area rent</t>
  </si>
  <si>
    <t>Manager</t>
  </si>
  <si>
    <t>Security</t>
  </si>
  <si>
    <t>Cleaning</t>
  </si>
  <si>
    <t>Technical staff</t>
  </si>
  <si>
    <t>NSSF</t>
  </si>
  <si>
    <t>National Social Security Fund - Social Pension Contribution</t>
  </si>
  <si>
    <t>Housing levy</t>
  </si>
  <si>
    <t>Intoduced recently</t>
  </si>
  <si>
    <t>WIBA Insurance</t>
  </si>
  <si>
    <t>NITA</t>
  </si>
  <si>
    <t>Work Injury Benefit</t>
  </si>
  <si>
    <t>National Industrial Training Authority</t>
  </si>
  <si>
    <t>Taxes on salaries</t>
  </si>
  <si>
    <t>Basic salaries (incl. 6% NSSF +1.5% housing levy employee rate)</t>
  </si>
  <si>
    <t>Lawyers and Accountants</t>
  </si>
  <si>
    <t>Marketing</t>
  </si>
  <si>
    <t>Materials: consumables, tent repairs etc</t>
  </si>
  <si>
    <t>Bribes and kick-backs</t>
  </si>
  <si>
    <t>Contingencies</t>
  </si>
  <si>
    <t>Nights per annum</t>
  </si>
  <si>
    <t>Discount rate</t>
  </si>
  <si>
    <t>YEAR 0</t>
  </si>
  <si>
    <t>YEAR 1</t>
  </si>
  <si>
    <t>YEAR 2</t>
  </si>
  <si>
    <t>YEAR 3</t>
  </si>
  <si>
    <t>YEAR 4</t>
  </si>
  <si>
    <t>Tent 1 - Kitchen</t>
  </si>
  <si>
    <t>Tent 2 - Retreat</t>
  </si>
  <si>
    <t>Kitchen, refrigerators, freezers, gas installation, storage shelving</t>
  </si>
  <si>
    <t>YEAR 5</t>
  </si>
  <si>
    <t>Platform &amp; deck</t>
  </si>
  <si>
    <t>CEO (fixed)</t>
  </si>
  <si>
    <t>salary per month</t>
  </si>
  <si>
    <t>ha</t>
  </si>
  <si>
    <t>Dimensions of the land plot</t>
  </si>
  <si>
    <t>Year</t>
  </si>
  <si>
    <t>Month</t>
  </si>
  <si>
    <t>Number of days</t>
  </si>
  <si>
    <t>For a retreat center, a "sand and advanced ground-level" foundation is an excellent middle ground. It provides better drainage and aesthetics than bare earth while remaining significantly cheaper than a raised wooden deck.</t>
  </si>
  <si>
    <r>
      <t xml:space="preserve">In Kenya, this is often called a </t>
    </r>
    <r>
      <rPr>
        <b/>
        <sz val="10"/>
        <color rgb="FF1F1F1F"/>
        <rFont val="Arial"/>
        <family val="2"/>
      </rPr>
      <t>"Cabro" (Paving Block)</t>
    </r>
    <r>
      <rPr>
        <sz val="10"/>
        <color rgb="FF1F1F1F"/>
        <rFont val="Arial"/>
        <family val="2"/>
      </rPr>
      <t xml:space="preserve"> or </t>
    </r>
    <r>
      <rPr>
        <b/>
        <sz val="10"/>
        <color rgb="FF1F1F1F"/>
        <rFont val="Arial"/>
        <family val="2"/>
      </rPr>
      <t>"Ballast-Murram"</t>
    </r>
    <r>
      <rPr>
        <sz val="10"/>
        <color rgb="FF1F1F1F"/>
        <rFont val="Arial"/>
        <family val="2"/>
      </rPr>
      <t xml:space="preserve"> base.</t>
    </r>
  </si>
  <si>
    <t>1. The "Advanced Ground-Level" Tech</t>
  </si>
  <si>
    <t>Instead of just pitching the tent on dirt, you create a layered, "floating" floor:</t>
  </si>
  <si>
    <r>
      <t>Layer 1:</t>
    </r>
    <r>
      <rPr>
        <sz val="10"/>
        <color rgb="FF1F1F1F"/>
        <rFont val="Arial"/>
        <family val="2"/>
      </rPr>
      <t xml:space="preserve"> Excavation of topsoil (</t>
    </r>
    <r>
      <rPr>
        <sz val="13.3"/>
        <color rgb="FF1F1F1F"/>
        <rFont val="Times New Roman"/>
        <family val="1"/>
      </rPr>
      <t>15 cm</t>
    </r>
    <r>
      <rPr>
        <sz val="10"/>
        <color rgb="FF1F1F1F"/>
        <rFont val="Arial"/>
        <family val="2"/>
      </rPr>
      <t xml:space="preserve"> deep).</t>
    </r>
  </si>
  <si>
    <r>
      <t>Layer 2:</t>
    </r>
    <r>
      <rPr>
        <sz val="10"/>
        <color rgb="FF1F1F1F"/>
        <rFont val="Arial"/>
        <family val="2"/>
      </rPr>
      <t xml:space="preserve"> Compacted </t>
    </r>
    <r>
      <rPr>
        <b/>
        <sz val="10"/>
        <color rgb="FF1F1F1F"/>
        <rFont val="Arial"/>
        <family val="2"/>
      </rPr>
      <t>Murram</t>
    </r>
    <r>
      <rPr>
        <sz val="10"/>
        <color rgb="FF1F1F1F"/>
        <rFont val="Arial"/>
        <family val="2"/>
      </rPr>
      <t xml:space="preserve"> (quarry soil) or </t>
    </r>
    <r>
      <rPr>
        <b/>
        <sz val="10"/>
        <color rgb="FF1F1F1F"/>
        <rFont val="Arial"/>
        <family val="2"/>
      </rPr>
      <t>Hardcore</t>
    </r>
    <r>
      <rPr>
        <sz val="10"/>
        <color rgb="FF1F1F1F"/>
        <rFont val="Arial"/>
        <family val="2"/>
      </rPr>
      <t xml:space="preserve"> (crushed stones) for stability.</t>
    </r>
  </si>
  <si>
    <r>
      <t>Layer 3:</t>
    </r>
    <r>
      <rPr>
        <sz val="10"/>
        <color rgb="FF1F1F1F"/>
        <rFont val="Arial"/>
        <family val="2"/>
      </rPr>
      <t xml:space="preserve"> </t>
    </r>
    <r>
      <rPr>
        <b/>
        <sz val="10"/>
        <color rgb="FF1F1F1F"/>
        <rFont val="Arial"/>
        <family val="2"/>
      </rPr>
      <t>Damp Proof Membrane (Polythene)</t>
    </r>
    <r>
      <rPr>
        <sz val="10"/>
        <color rgb="FF1F1F1F"/>
        <rFont val="Arial"/>
        <family val="2"/>
      </rPr>
      <t xml:space="preserve"> to stop underground moisture from reaching the tent.</t>
    </r>
  </si>
  <si>
    <r>
      <t>Layer 4:</t>
    </r>
    <r>
      <rPr>
        <sz val="10"/>
        <color rgb="FF1F1F1F"/>
        <rFont val="Arial"/>
        <family val="2"/>
      </rPr>
      <t xml:space="preserve"> </t>
    </r>
    <r>
      <rPr>
        <b/>
        <sz val="10"/>
        <color rgb="FF1F1F1F"/>
        <rFont val="Arial"/>
        <family val="2"/>
      </rPr>
      <t>Sand Blinding</t>
    </r>
    <r>
      <rPr>
        <sz val="10"/>
        <color rgb="FF1F1F1F"/>
        <rFont val="Arial"/>
        <family val="2"/>
      </rPr>
      <t xml:space="preserve"> (fine sand) to level the surface.</t>
    </r>
  </si>
  <si>
    <r>
      <t>Layer 5 (The Finish):</t>
    </r>
    <r>
      <rPr>
        <sz val="10"/>
        <color rgb="FF1F1F1F"/>
        <rFont val="Arial"/>
        <family val="2"/>
      </rPr>
      <t xml:space="preserve"> </t>
    </r>
    <r>
      <rPr>
        <b/>
        <sz val="10"/>
        <color rgb="FF1F1F1F"/>
        <rFont val="Arial"/>
        <family val="2"/>
      </rPr>
      <t>Cabro blocks</t>
    </r>
    <r>
      <rPr>
        <sz val="10"/>
        <color rgb="FF1F1F1F"/>
        <rFont val="Arial"/>
        <family val="2"/>
      </rPr>
      <t xml:space="preserve"> (paving stones) or </t>
    </r>
    <r>
      <rPr>
        <b/>
        <sz val="10"/>
        <color rgb="FF1F1F1F"/>
        <rFont val="Arial"/>
        <family val="2"/>
      </rPr>
      <t>Sisal mats</t>
    </r>
    <r>
      <rPr>
        <sz val="10"/>
        <color rgb="FF1F1F1F"/>
        <rFont val="Arial"/>
        <family val="2"/>
      </rPr>
      <t xml:space="preserve"> over the sand.</t>
    </r>
  </si>
  <si>
    <t>2. Estimated Cost Breakdown (50 sqm in Kenya)</t>
  </si>
  <si>
    <r>
      <t xml:space="preserve">Note: </t>
    </r>
    <r>
      <rPr>
        <i/>
        <sz val="13.3"/>
        <color rgb="FF1F1F1F"/>
        <rFont val="Times New Roman"/>
        <family val="1"/>
      </rPr>
      <t>1 USD≈130 KES</t>
    </r>
    <r>
      <rPr>
        <i/>
        <sz val="10"/>
        <color rgb="FF1F1F1F"/>
        <rFont val="Arial"/>
        <family val="2"/>
      </rPr>
      <t xml:space="preserve"> (approximate 2026 rate).</t>
    </r>
  </si>
  <si>
    <t>Item</t>
  </si>
  <si>
    <t>Estimated Cost (KES)</t>
  </si>
  <si>
    <t>Estimated Cost (USD)</t>
  </si>
  <si>
    <t>Site Clearing &amp; Levelling</t>
  </si>
  <si>
    <t>KES 5,000 – 10,000</t>
  </si>
  <si>
    <t>$40 – $75</t>
  </si>
  <si>
    <t>Murram/Hardcore (1 Lorry)</t>
  </si>
  <si>
    <t>KES 15,000 – 25,000</t>
  </si>
  <si>
    <t>$115 – $190</t>
  </si>
  <si>
    <t>Sand (1 Lorry)</t>
  </si>
  <si>
    <t>KES 30,000 – 36,000</t>
  </si>
  <si>
    <t>$230 – $275</t>
  </si>
  <si>
    <t>Damp Proof Polythene</t>
  </si>
  <si>
    <t>KES 5,000 – 8,000</t>
  </si>
  <si>
    <t>$40 – $60</t>
  </si>
  <si>
    <t>Cabro Blocks (Standard)</t>
  </si>
  <si>
    <t>KES 45,000 – 60,000</t>
  </si>
  <si>
    <t>$350 – $460</t>
  </si>
  <si>
    <t>Labor (Fundis &amp; Casuals)</t>
  </si>
  <si>
    <t>KES 25,000 – 40,000</t>
  </si>
  <si>
    <t>$190 – $310</t>
  </si>
  <si>
    <t>TOTAL ESTIMATE</t>
  </si>
  <si>
    <t>KES 125,000 – 179,000</t>
  </si>
  <si>
    <t>$965 – $1,370</t>
  </si>
  <si>
    <r>
      <t>Termite Proof:</t>
    </r>
    <r>
      <rPr>
        <sz val="10"/>
        <color rgb="FF1F1F1F"/>
        <rFont val="Arial"/>
        <family val="2"/>
      </rPr>
      <t xml:space="preserve"> Unlike the wooden construction, there is nothing for termites to eat.</t>
    </r>
  </si>
  <si>
    <r>
      <t>Thermal Mass:</t>
    </r>
    <r>
      <rPr>
        <sz val="10"/>
        <color rgb="FF1F1F1F"/>
        <rFont val="Arial"/>
        <family val="2"/>
      </rPr>
      <t xml:space="preserve"> The stone/sand base stays cool during the day and releases a bit of heat at night, making the tent interior more comfortable.</t>
    </r>
  </si>
  <si>
    <r>
      <t>Dryness:</t>
    </r>
    <r>
      <rPr>
        <sz val="10"/>
        <color rgb="FF1F1F1F"/>
        <rFont val="Arial"/>
        <family val="2"/>
      </rPr>
      <t xml:space="preserve"> The </t>
    </r>
    <r>
      <rPr>
        <b/>
        <sz val="10"/>
        <color rgb="FF1F1F1F"/>
        <rFont val="Arial"/>
        <family val="2"/>
      </rPr>
      <t>Damp Proof Membrane</t>
    </r>
    <r>
      <rPr>
        <sz val="10"/>
        <color rgb="FF1F1F1F"/>
        <rFont val="Arial"/>
        <family val="2"/>
      </rPr>
      <t xml:space="preserve"> is the "secret sauce"—it prevents that "old basement" smell that often ruins ground-level tents.</t>
    </r>
  </si>
  <si>
    <r>
      <t>Drainage:</t>
    </r>
    <r>
      <rPr>
        <sz val="10"/>
        <color rgb="FF1F1F1F"/>
        <rFont val="Arial"/>
        <family val="2"/>
      </rPr>
      <t xml:space="preserve"> If you slope the area slightly away from the tent, rain will run off into the sand rather than pooling under your guests' feet.</t>
    </r>
  </si>
  <si>
    <t>4. Summary Comparison</t>
  </si>
  <si>
    <r>
      <t>Basic Ground (Stakes only):</t>
    </r>
    <r>
      <rPr>
        <sz val="10"/>
        <color rgb="FF1F1F1F"/>
        <rFont val="Arial"/>
        <family val="2"/>
      </rPr>
      <t xml:space="preserve"> ~$150 – $300</t>
    </r>
  </si>
  <si>
    <t>Bathroom fixtures &amp; plumbing for a 40 sqm retreat camp. price in USD in Kenya?</t>
  </si>
  <si>
    <r>
      <t xml:space="preserve">For a </t>
    </r>
    <r>
      <rPr>
        <b/>
        <sz val="10"/>
        <color rgb="FF1F1F1F"/>
        <rFont val="Arial"/>
        <family val="2"/>
      </rPr>
      <t>40 sqm (approx. 430 sq. ft.)</t>
    </r>
    <r>
      <rPr>
        <sz val="10"/>
        <color rgb="FF1F1F1F"/>
        <rFont val="Arial"/>
        <family val="2"/>
      </rPr>
      <t xml:space="preserve"> retreat camp in Kenya, you are likely looking at a "tiny house" or studio-style layout. Typically, this includes </t>
    </r>
    <r>
      <rPr>
        <b/>
        <sz val="10"/>
        <color rgb="FF1F1F1F"/>
        <rFont val="Arial"/>
        <family val="2"/>
      </rPr>
      <t>one full bathroom</t>
    </r>
    <r>
      <rPr>
        <sz val="10"/>
        <color rgb="FF1F1F1F"/>
        <rFont val="Arial"/>
        <family val="2"/>
      </rPr>
      <t xml:space="preserve"> (toilet, shower, basin) and </t>
    </r>
    <r>
      <rPr>
        <b/>
        <sz val="10"/>
        <color rgb="FF1F1F1F"/>
        <rFont val="Arial"/>
        <family val="2"/>
      </rPr>
      <t>one kitchenette sink</t>
    </r>
    <r>
      <rPr>
        <sz val="10"/>
        <color rgb="FF1F1F1F"/>
        <rFont val="Arial"/>
        <family val="2"/>
      </rPr>
      <t>.</t>
    </r>
  </si>
  <si>
    <r>
      <t xml:space="preserve">Based on current 2026 market rates in Kenya, here is the cost breakdown in </t>
    </r>
    <r>
      <rPr>
        <b/>
        <sz val="10"/>
        <color rgb="FF1F1F1F"/>
        <rFont val="Arial"/>
        <family val="2"/>
      </rPr>
      <t>USD</t>
    </r>
    <r>
      <rPr>
        <sz val="10"/>
        <color rgb="FF1F1F1F"/>
        <rFont val="Arial"/>
        <family val="2"/>
      </rPr>
      <t>.</t>
    </r>
  </si>
  <si>
    <t>1. Fixtures &amp; Sanitary Ware (Material Costs)</t>
  </si>
  <si>
    <r>
      <t xml:space="preserve">Prices in Kenya vary between standard "contractor grade" (widely available in hardware stores like </t>
    </r>
    <r>
      <rPr>
        <i/>
        <sz val="10"/>
        <color rgb="FF1F1F1F"/>
        <rFont val="Arial"/>
        <family val="2"/>
      </rPr>
      <t>Classic Mouldings</t>
    </r>
    <r>
      <rPr>
        <sz val="10"/>
        <color rgb="FF1F1F1F"/>
        <rFont val="Arial"/>
        <family val="2"/>
      </rPr>
      <t xml:space="preserve"> or </t>
    </r>
    <r>
      <rPr>
        <i/>
        <sz val="10"/>
        <color rgb="FF1F1F1F"/>
        <rFont val="Arial"/>
        <family val="2"/>
      </rPr>
      <t>Cedar Clink</t>
    </r>
    <r>
      <rPr>
        <sz val="10"/>
        <color rgb="FF1F1F1F"/>
        <rFont val="Arial"/>
        <family val="2"/>
      </rPr>
      <t>) and premium imported brands.</t>
    </r>
  </si>
  <si>
    <t>Standard Quality (USD)</t>
  </si>
  <si>
    <t>Premium/Modern (USD)</t>
  </si>
  <si>
    <t>Toilet (Close-coupled/Water closet)</t>
  </si>
  <si>
    <t>$120 – $180</t>
  </si>
  <si>
    <t>$250 – $450</t>
  </si>
  <si>
    <t>Wash Basin (Pedestal or Wall-mount)</t>
  </si>
  <si>
    <t>$40 – $70</t>
  </si>
  <si>
    <t>$120 – $200</t>
  </si>
  <si>
    <t>Shower Head &amp; Mixer Set</t>
  </si>
  <si>
    <t>$50 – $100</t>
  </si>
  <si>
    <t>$150 – $300</t>
  </si>
  <si>
    <t>Kitchen Sink (Stainless Steel)</t>
  </si>
  <si>
    <t>$30 – $60</t>
  </si>
  <si>
    <t>$100 – $180</t>
  </si>
  <si>
    <t>Taps / Faucets (Basin &amp; Kitchen)</t>
  </si>
  <si>
    <t>$40 – $80</t>
  </si>
  <si>
    <t>$100 – $200</t>
  </si>
  <si>
    <t>Instant Shower Heater (e.g., Lorenzetti)</t>
  </si>
  <si>
    <t>$30 – $50</t>
  </si>
  <si>
    <t>$120 (Multipoint)</t>
  </si>
  <si>
    <t>Accessories (Towel rails, mirrors, etc.)</t>
  </si>
  <si>
    <t>$50 – $80</t>
  </si>
  <si>
    <t>$150 – $250</t>
  </si>
  <si>
    <t>SUBTOTAL (Fixtures)</t>
  </si>
  <si>
    <t>$360 – $620</t>
  </si>
  <si>
    <t>$990 – $1,700</t>
  </si>
  <si>
    <t>2. Rough-In Plumbing (Piping &amp; Fittings)</t>
  </si>
  <si>
    <t>For a 40 sqm space, the distance between the bathroom and kitchen is usually small, keeping piping costs low.</t>
  </si>
  <si>
    <r>
      <t>PPR Pipes &amp; Fittings:</t>
    </r>
    <r>
      <rPr>
        <sz val="10"/>
        <color rgb="FF1F1F1F"/>
        <rFont val="Arial"/>
        <family val="2"/>
      </rPr>
      <t xml:space="preserve"> Used for hot/cold water supply.</t>
    </r>
  </si>
  <si>
    <r>
      <t>PVC Pipes:</t>
    </r>
    <r>
      <rPr>
        <sz val="10"/>
        <color rgb="FF1F1F1F"/>
        <rFont val="Arial"/>
        <family val="2"/>
      </rPr>
      <t xml:space="preserve"> Used for drainage and waste (sewerage).</t>
    </r>
  </si>
  <si>
    <r>
      <t>Estimated Cost:</t>
    </r>
    <r>
      <rPr>
        <sz val="10"/>
        <color rgb="FF1F1F1F"/>
        <rFont val="Arial"/>
        <family val="2"/>
      </rPr>
      <t xml:space="preserve"> </t>
    </r>
    <r>
      <rPr>
        <b/>
        <sz val="10"/>
        <color rgb="FF1F1F1F"/>
        <rFont val="Arial"/>
        <family val="2"/>
      </rPr>
      <t>$300 – $500</t>
    </r>
    <r>
      <rPr>
        <sz val="10"/>
        <color rgb="FF1F1F1F"/>
        <rFont val="Arial"/>
        <family val="2"/>
      </rPr>
      <t xml:space="preserve"> (depending on the distance to the septic tank or main sewer line).</t>
    </r>
  </si>
  <si>
    <t>3. Labor &amp; Installation</t>
  </si>
  <si>
    <t>In Kenya, "fundis" (technicians) often charge per "point" (e.g., one toilet is one point, one shower is another).</t>
  </si>
  <si>
    <r>
      <t>Skilled Plumber Labor:</t>
    </r>
    <r>
      <rPr>
        <sz val="10"/>
        <color rgb="FF1F1F1F"/>
        <rFont val="Arial"/>
        <family val="2"/>
      </rPr>
      <t xml:space="preserve"> $100 – $250 total for a small unit.</t>
    </r>
  </si>
  <si>
    <r>
      <t>Installation Time:</t>
    </r>
    <r>
      <rPr>
        <sz val="10"/>
        <color rgb="FF1F1F1F"/>
        <rFont val="Arial"/>
        <family val="2"/>
      </rPr>
      <t xml:space="preserve"> Usually 3–5 days for a unit of this size.</t>
    </r>
  </si>
  <si>
    <t>4. Total Estimated Project Cost</t>
  </si>
  <si>
    <t>Category</t>
  </si>
  <si>
    <t>Budget Range (USD)</t>
  </si>
  <si>
    <t>Fixtures &amp; Hardware</t>
  </si>
  <si>
    <t>Piping &amp; Materials</t>
  </si>
  <si>
    <t>$300 – $500</t>
  </si>
  <si>
    <t>Labor</t>
  </si>
  <si>
    <t>$100 – $250</t>
  </si>
  <si>
    <t>$760 – $1,370</t>
  </si>
  <si>
    <t>Key Local Considerations:</t>
  </si>
  <si>
    <r>
      <t>Water Quality:</t>
    </r>
    <r>
      <rPr>
        <sz val="10"/>
        <color rgb="FF1F1F1F"/>
        <rFont val="Arial"/>
        <family val="2"/>
      </rPr>
      <t xml:space="preserve"> If your camp is in a coastal or borehole area (like Diani or Naivasha), the water may be "hard." You should invest in </t>
    </r>
    <r>
      <rPr>
        <b/>
        <sz val="10"/>
        <color rgb="FF1F1F1F"/>
        <rFont val="Arial"/>
        <family val="2"/>
      </rPr>
      <t>brass or stainless steel</t>
    </r>
    <r>
      <rPr>
        <sz val="10"/>
        <color rgb="FF1F1F1F"/>
        <rFont val="Arial"/>
        <family val="2"/>
      </rPr>
      <t xml:space="preserve"> fittings rather than cheap chrome-plated plastic, which will corrode quickly.</t>
    </r>
  </si>
  <si>
    <r>
      <t>The "Retreat" Aesthetic:</t>
    </r>
    <r>
      <rPr>
        <sz val="10"/>
        <color rgb="FF1F1F1F"/>
        <rFont val="Arial"/>
        <family val="2"/>
      </rPr>
      <t xml:space="preserve"> If this is for a luxury camp, many developers in Kenya are currently using </t>
    </r>
    <r>
      <rPr>
        <b/>
        <sz val="10"/>
        <color rgb="FF1F1F1F"/>
        <rFont val="Arial"/>
        <family val="2"/>
      </rPr>
      <t>Black Matte</t>
    </r>
    <r>
      <rPr>
        <sz val="10"/>
        <color rgb="FF1F1F1F"/>
        <rFont val="Arial"/>
        <family val="2"/>
      </rPr>
      <t xml:space="preserve"> or </t>
    </r>
    <r>
      <rPr>
        <b/>
        <sz val="10"/>
        <color rgb="FF1F1F1F"/>
        <rFont val="Arial"/>
        <family val="2"/>
      </rPr>
      <t>Brushed Gold</t>
    </r>
    <r>
      <rPr>
        <sz val="10"/>
        <color rgb="FF1F1F1F"/>
        <rFont val="Arial"/>
        <family val="2"/>
      </rPr>
      <t xml:space="preserve"> fixtures. These are readily available in Nairobi (along Mombasa Road or in Westlands) but can increase your fixture budget by 40%.</t>
    </r>
  </si>
  <si>
    <r>
      <t>Waste Management:</t>
    </r>
    <r>
      <rPr>
        <sz val="10"/>
        <color rgb="FF1F1F1F"/>
        <rFont val="Arial"/>
        <family val="2"/>
      </rPr>
      <t xml:space="preserve"> Since it's a "camp," don't forget the cost of a </t>
    </r>
    <r>
      <rPr>
        <b/>
        <sz val="10"/>
        <color rgb="FF1F1F1F"/>
        <rFont val="Arial"/>
        <family val="2"/>
      </rPr>
      <t>Biodigester</t>
    </r>
    <r>
      <rPr>
        <sz val="10"/>
        <color rgb="FF1F1F1F"/>
        <rFont val="Arial"/>
        <family val="2"/>
      </rPr>
      <t xml:space="preserve"> or </t>
    </r>
    <r>
      <rPr>
        <b/>
        <sz val="10"/>
        <color rgb="FF1F1F1F"/>
        <rFont val="Arial"/>
        <family val="2"/>
      </rPr>
      <t>Septic Tank</t>
    </r>
    <r>
      <rPr>
        <sz val="10"/>
        <color rgb="FF1F1F1F"/>
        <rFont val="Arial"/>
        <family val="2"/>
      </rPr>
      <t xml:space="preserve"> if the site isn't serviced by a municipal sewer. A small biodigester for a single unit costs roughly </t>
    </r>
    <r>
      <rPr>
        <b/>
        <sz val="10"/>
        <color rgb="FF1F1F1F"/>
        <rFont val="Arial"/>
        <family val="2"/>
      </rPr>
      <t>$600 – $800</t>
    </r>
    <r>
      <rPr>
        <sz val="10"/>
        <color rgb="FF1F1F1F"/>
        <rFont val="Arial"/>
        <family val="2"/>
      </rPr>
      <t>.</t>
    </r>
  </si>
  <si>
    <t>Are you planning to use a biodigester, or is the site already connected to a main sewer line?</t>
  </si>
  <si>
    <t>Ваш запрос</t>
  </si>
  <si>
    <t>bio toilet how much it can cost?</t>
  </si>
  <si>
    <r>
      <t xml:space="preserve">In Kenya, a </t>
    </r>
    <r>
      <rPr>
        <b/>
        <sz val="10"/>
        <color rgb="FF1F1F1F"/>
        <rFont val="Arial"/>
        <family val="2"/>
      </rPr>
      <t>bio toilet</t>
    </r>
    <r>
      <rPr>
        <sz val="10"/>
        <color rgb="FF1F1F1F"/>
        <rFont val="Arial"/>
        <family val="2"/>
      </rPr>
      <t xml:space="preserve"> usually refers to one of three things: a modern </t>
    </r>
    <r>
      <rPr>
        <b/>
        <sz val="10"/>
        <color rgb="FF1F1F1F"/>
        <rFont val="Arial"/>
        <family val="2"/>
      </rPr>
      <t>biodigester system</t>
    </r>
    <r>
      <rPr>
        <sz val="10"/>
        <color rgb="FF1F1F1F"/>
        <rFont val="Arial"/>
        <family val="2"/>
      </rPr>
      <t xml:space="preserve"> (the most common for retreats), a </t>
    </r>
    <r>
      <rPr>
        <b/>
        <sz val="10"/>
        <color rgb="FF1F1F1F"/>
        <rFont val="Arial"/>
        <family val="2"/>
      </rPr>
      <t>HomeBiogas</t>
    </r>
    <r>
      <rPr>
        <sz val="10"/>
        <color rgb="FF1F1F1F"/>
        <rFont val="Arial"/>
        <family val="2"/>
      </rPr>
      <t xml:space="preserve"> system, or a </t>
    </r>
    <r>
      <rPr>
        <b/>
        <sz val="10"/>
        <color rgb="FF1F1F1F"/>
        <rFont val="Arial"/>
        <family val="2"/>
      </rPr>
      <t>portable camping toilet</t>
    </r>
    <r>
      <rPr>
        <sz val="10"/>
        <color rgb="FF1F1F1F"/>
        <rFont val="Arial"/>
        <family val="2"/>
      </rPr>
      <t>.</t>
    </r>
  </si>
  <si>
    <t>Since you are building a 40 sqm retreat, you are likely looking for a solution that feels like a standard toilet but processes waste biologically.</t>
  </si>
  <si>
    <t>1. The Biodigester System (Most Recommended)</t>
  </si>
  <si>
    <t>This replaces a traditional septic tank. It uses bacteria and enzymes to break down waste into water that can be soaked into the ground or used for irrigation.</t>
  </si>
  <si>
    <r>
      <t>Cost for a Small Unit (1-15 users):</t>
    </r>
    <r>
      <rPr>
        <sz val="10"/>
        <color rgb="FF1F1F1F"/>
        <rFont val="Arial"/>
        <family val="2"/>
      </rPr>
      <t xml:space="preserve"> </t>
    </r>
    <r>
      <rPr>
        <b/>
        <sz val="10"/>
        <color rgb="FF1F1F1F"/>
        <rFont val="Arial"/>
        <family val="2"/>
      </rPr>
      <t>$650 – $800</t>
    </r>
  </si>
  <si>
    <r>
      <t>What it includes:</t>
    </r>
    <r>
      <rPr>
        <sz val="10"/>
        <color rgb="FF1F1F1F"/>
        <rFont val="Arial"/>
        <family val="2"/>
      </rPr>
      <t xml:space="preserve"> The digester tank, initial enzyme supply, and basic installation labor.</t>
    </r>
  </si>
  <si>
    <r>
      <t>Why use it:</t>
    </r>
    <r>
      <rPr>
        <sz val="10"/>
        <color rgb="FF1F1F1F"/>
        <rFont val="Arial"/>
        <family val="2"/>
      </rPr>
      <t xml:space="preserve"> It never needs to be "exhausted" (emptied by a truck), is odorless, and takes up very little space.</t>
    </r>
  </si>
  <si>
    <t>2. HomeBiogas System (Toilet + Cooking Gas)</t>
  </si>
  <si>
    <t>If you want your retreat to be fully off-grid and sustainable, you can get a system that converts toilet waste into gas for your kitchen stove.</t>
  </si>
  <si>
    <r>
      <t>Cost:</t>
    </r>
    <r>
      <rPr>
        <sz val="10"/>
        <color rgb="FF1F1F1F"/>
        <rFont val="Arial"/>
        <family val="2"/>
      </rPr>
      <t xml:space="preserve"> </t>
    </r>
    <r>
      <rPr>
        <b/>
        <sz val="10"/>
        <color rgb="FF1F1F1F"/>
        <rFont val="Arial"/>
        <family val="2"/>
      </rPr>
      <t>$1,500 – $2,100</t>
    </r>
  </si>
  <si>
    <r>
      <t>What it includes:</t>
    </r>
    <r>
      <rPr>
        <sz val="10"/>
        <color rgb="FF1F1F1F"/>
        <rFont val="Arial"/>
        <family val="2"/>
      </rPr>
      <t xml:space="preserve"> A specialized low-flush toilet, the biogas digester bag/unit, and the stove for the kitchen.</t>
    </r>
  </si>
  <si>
    <r>
      <t>Why use it:</t>
    </r>
    <r>
      <rPr>
        <sz val="10"/>
        <color rgb="FF1F1F1F"/>
        <rFont val="Arial"/>
        <family val="2"/>
      </rPr>
      <t xml:space="preserve"> You get "free" fuel for cooking while managing waste.</t>
    </r>
  </si>
  <si>
    <t>3. Portable "Porta-Potty" (Camping Style)</t>
  </si>
  <si>
    <t>For very low-budget or temporary setups, these are plastic units with a small internal tank.</t>
  </si>
  <si>
    <r>
      <t>Cost:</t>
    </r>
    <r>
      <rPr>
        <sz val="10"/>
        <color rgb="FF1F1F1F"/>
        <rFont val="Arial"/>
        <family val="2"/>
      </rPr>
      <t xml:space="preserve"> </t>
    </r>
    <r>
      <rPr>
        <b/>
        <sz val="10"/>
        <color rgb="FF1F1F1F"/>
        <rFont val="Arial"/>
        <family val="2"/>
      </rPr>
      <t>$150 – $300</t>
    </r>
  </si>
  <si>
    <r>
      <t>Cons:</t>
    </r>
    <r>
      <rPr>
        <sz val="10"/>
        <color rgb="FF1F1F1F"/>
        <rFont val="Arial"/>
        <family val="2"/>
      </rPr>
      <t xml:space="preserve"> You have to manually empty the waste tank, which isn't ideal for a "retreat" experience.</t>
    </r>
  </si>
  <si>
    <t>Comparison Table for your 40 sqm Retreat</t>
  </si>
  <si>
    <t>Feature</t>
  </si>
  <si>
    <t>Biodigester</t>
  </si>
  <si>
    <t>HomeBiogas</t>
  </si>
  <si>
    <t>Traditional Septic</t>
  </si>
  <si>
    <t>Est. Price (USD)</t>
  </si>
  <si>
    <t>$700</t>
  </si>
  <si>
    <t>$1,800</t>
  </si>
  <si>
    <t>$1,200+</t>
  </si>
  <si>
    <t>Space Needed</t>
  </si>
  <si>
    <t>Very Small</t>
  </si>
  <si>
    <t>Medium</t>
  </si>
  <si>
    <t>Large</t>
  </si>
  <si>
    <t>Maintenance</t>
  </si>
  <si>
    <t>Low (Add enzymes yearly)</t>
  </si>
  <si>
    <t>Low (Needs organic waste)</t>
  </si>
  <si>
    <t>High (Needs pumping)</t>
  </si>
  <si>
    <t>Experience</t>
  </si>
  <si>
    <t>Normal flush toilet</t>
  </si>
  <si>
    <t>Special manual flush</t>
  </si>
  <si>
    <t>Important Cost Note:</t>
  </si>
  <si>
    <r>
      <t xml:space="preserve">To keep your costs on the lower end, look for local suppliers like </t>
    </r>
    <r>
      <rPr>
        <b/>
        <sz val="10"/>
        <color rgb="FF1F1F1F"/>
        <rFont val="Arial"/>
        <family val="2"/>
      </rPr>
      <t>Biotank Africa</t>
    </r>
    <r>
      <rPr>
        <sz val="10"/>
        <color rgb="FF1F1F1F"/>
        <rFont val="Arial"/>
        <family val="2"/>
      </rPr>
      <t xml:space="preserve"> or </t>
    </r>
    <r>
      <rPr>
        <b/>
        <sz val="10"/>
        <color rgb="FF1F1F1F"/>
        <rFont val="Arial"/>
        <family val="2"/>
      </rPr>
      <t>Bio Digester Kenya</t>
    </r>
    <r>
      <rPr>
        <sz val="10"/>
        <color rgb="FF1F1F1F"/>
        <rFont val="Arial"/>
        <family val="2"/>
      </rPr>
      <t xml:space="preserve">. If your retreat is in a remote area (like Laikipia or the Mara), expect to add </t>
    </r>
    <r>
      <rPr>
        <b/>
        <sz val="10"/>
        <color rgb="FF1F1F1F"/>
        <rFont val="Arial"/>
        <family val="2"/>
      </rPr>
      <t>$100–$200</t>
    </r>
    <r>
      <rPr>
        <sz val="10"/>
        <color rgb="FF1F1F1F"/>
        <rFont val="Arial"/>
        <family val="2"/>
      </rPr>
      <t xml:space="preserve"> for transport and a small field allowance for the technicians.</t>
    </r>
  </si>
  <si>
    <t>Does your retreat have a kitchen, or is it just the bedroom and bathroom? (This affects whether the HomeBiogas system is worth the investment).</t>
  </si>
  <si>
    <t>Traditional septic 1200 USD + 1700 USD thus 2900 USD for this you can buy sanitary items (sink etc) and toilet, thus WC room will be completed, correct?</t>
  </si>
  <si>
    <r>
      <t xml:space="preserve">Your logic is mostly correct, but you might be </t>
    </r>
    <r>
      <rPr>
        <b/>
        <sz val="10"/>
        <color rgb="FF1F1F1F"/>
        <rFont val="Arial"/>
        <family val="2"/>
      </rPr>
      <t>over-budgeting on the septic system</t>
    </r>
    <r>
      <rPr>
        <sz val="10"/>
        <color rgb="FF1F1F1F"/>
        <rFont val="Arial"/>
        <family val="2"/>
      </rPr>
      <t xml:space="preserve"> and potentially </t>
    </r>
    <r>
      <rPr>
        <b/>
        <sz val="10"/>
        <color rgb="FF1F1F1F"/>
        <rFont val="Arial"/>
        <family val="2"/>
      </rPr>
      <t>under-budgeting for the finishings</t>
    </r>
    <r>
      <rPr>
        <sz val="10"/>
        <color rgb="FF1F1F1F"/>
        <rFont val="Arial"/>
        <family val="2"/>
      </rPr>
      <t>, depending on the level of "retreat" luxury you want.</t>
    </r>
  </si>
  <si>
    <r>
      <t xml:space="preserve">If you have a total budget of </t>
    </r>
    <r>
      <rPr>
        <b/>
        <sz val="10"/>
        <color rgb="FF1F1F1F"/>
        <rFont val="Arial"/>
        <family val="2"/>
      </rPr>
      <t>$2,900</t>
    </r>
    <r>
      <rPr>
        <sz val="10"/>
        <color rgb="FF1F1F1F"/>
        <rFont val="Arial"/>
        <family val="2"/>
      </rPr>
      <t xml:space="preserve"> ($1,200 for septic + $1,700 for the bathroom), here is how that looks in reality on the ground in Kenya:</t>
    </r>
  </si>
  <si>
    <t>1. The "Septic" Part ($1,200)</t>
  </si>
  <si>
    <t>In Kenya, $1,200 is actually quite a high budget for a 40 sqm unit's waste system.</t>
  </si>
  <si>
    <r>
      <t>Traditional Septic Tank:</t>
    </r>
    <r>
      <rPr>
        <sz val="10"/>
        <color rgb="FF1F1F1F"/>
        <rFont val="Arial"/>
        <family val="2"/>
      </rPr>
      <t xml:space="preserve"> You can build a standard concrete septic tank and soak pit for about </t>
    </r>
    <r>
      <rPr>
        <b/>
        <sz val="10"/>
        <color rgb="FF1F1F1F"/>
        <rFont val="Arial"/>
        <family val="2"/>
      </rPr>
      <t>$800 – $1,000</t>
    </r>
    <r>
      <rPr>
        <sz val="10"/>
        <color rgb="FF1F1F1F"/>
        <rFont val="Arial"/>
        <family val="2"/>
      </rPr>
      <t xml:space="preserve"> including labor and materials (stones, cement, waterproofed plaster).</t>
    </r>
  </si>
  <si>
    <r>
      <t>Better Alternative:</t>
    </r>
    <r>
      <rPr>
        <sz val="10"/>
        <color rgb="FF1F1F1F"/>
        <rFont val="Arial"/>
        <family val="2"/>
      </rPr>
      <t xml:space="preserve"> You could get a </t>
    </r>
    <r>
      <rPr>
        <b/>
        <sz val="10"/>
        <color rgb="FF1F1F1F"/>
        <rFont val="Arial"/>
        <family val="2"/>
      </rPr>
      <t>Biodigester</t>
    </r>
    <r>
      <rPr>
        <sz val="10"/>
        <color rgb="FF1F1F1F"/>
        <rFont val="Arial"/>
        <family val="2"/>
      </rPr>
      <t xml:space="preserve"> for </t>
    </r>
    <r>
      <rPr>
        <b/>
        <sz val="10"/>
        <color rgb="FF1F1F1F"/>
        <rFont val="Arial"/>
        <family val="2"/>
      </rPr>
      <t>$650 – $800</t>
    </r>
    <r>
      <rPr>
        <sz val="10"/>
        <color rgb="FF1F1F1F"/>
        <rFont val="Arial"/>
        <family val="2"/>
      </rPr>
      <t>. This is better for a "retreat" because it takes up less space, doesn't smell, and you don't have to pay for "honey-sucker" trucks to empty it later.</t>
    </r>
  </si>
  <si>
    <r>
      <t>Savings:</t>
    </r>
    <r>
      <rPr>
        <sz val="10"/>
        <color rgb="FF1F1F1F"/>
        <rFont val="Arial"/>
        <family val="2"/>
      </rPr>
      <t xml:space="preserve"> You could actually save about </t>
    </r>
    <r>
      <rPr>
        <b/>
        <sz val="10"/>
        <color rgb="FF1F1F1F"/>
        <rFont val="Arial"/>
        <family val="2"/>
      </rPr>
      <t>$400</t>
    </r>
    <r>
      <rPr>
        <sz val="10"/>
        <color rgb="FF1F1F1F"/>
        <rFont val="Arial"/>
        <family val="2"/>
      </rPr>
      <t xml:space="preserve"> here and move it to your fixtures.</t>
    </r>
  </si>
  <si>
    <t>2. The "Bathroom" Part ($1,700)</t>
  </si>
  <si>
    <t>With $1,700 for the inside of the WC/Bathroom, you can achieve a very high-end "boutique" look. In Kenya, this amount is more than enough for "standard" items and enters the "luxury" category.</t>
  </si>
  <si>
    <t>High-End Breakdown (USD):</t>
  </si>
  <si>
    <r>
      <t>Luxury Toilet:</t>
    </r>
    <r>
      <rPr>
        <sz val="10"/>
        <color rgb="FF1F1F1F"/>
        <rFont val="Arial"/>
        <family val="2"/>
      </rPr>
      <t xml:space="preserve"> $300 (One-piece, modern design)</t>
    </r>
  </si>
  <si>
    <r>
      <t>Rain Shower Set:</t>
    </r>
    <r>
      <rPr>
        <sz val="10"/>
        <color rgb="FF1F1F1F"/>
        <rFont val="Arial"/>
        <family val="2"/>
      </rPr>
      <t xml:space="preserve"> $250 (Wall-mounted with mixer)</t>
    </r>
  </si>
  <si>
    <r>
      <t>Vanity &amp; Basin:</t>
    </r>
    <r>
      <rPr>
        <sz val="10"/>
        <color rgb="FF1F1F1F"/>
        <rFont val="Arial"/>
        <family val="2"/>
      </rPr>
      <t xml:space="preserve"> $300 (Cabinet-style with a nice mirror)</t>
    </r>
  </si>
  <si>
    <r>
      <t>Instant Water Heater:</t>
    </r>
    <r>
      <rPr>
        <sz val="10"/>
        <color rgb="FF1F1F1F"/>
        <rFont val="Arial"/>
        <family val="2"/>
      </rPr>
      <t xml:space="preserve"> $100 (High-quality brand like Alpha or Ariston)</t>
    </r>
  </si>
  <si>
    <r>
      <t>Piping &amp; Labor:</t>
    </r>
    <r>
      <rPr>
        <sz val="10"/>
        <color rgb="FF1F1F1F"/>
        <rFont val="Arial"/>
        <family val="2"/>
      </rPr>
      <t xml:space="preserve"> $400 (PPR pipes, floor drains, and a pro plumber)</t>
    </r>
  </si>
  <si>
    <r>
      <t>Kitchen Sink + Tap:</t>
    </r>
    <r>
      <rPr>
        <sz val="10"/>
        <color rgb="FF1F1F1F"/>
        <rFont val="Arial"/>
        <family val="2"/>
      </rPr>
      <t xml:space="preserve"> $150</t>
    </r>
  </si>
  <si>
    <r>
      <t>Total:</t>
    </r>
    <r>
      <rPr>
        <sz val="10"/>
        <color rgb="FF1F1F1F"/>
        <rFont val="Arial"/>
        <family val="2"/>
      </rPr>
      <t xml:space="preserve"> </t>
    </r>
    <r>
      <rPr>
        <b/>
        <sz val="10"/>
        <color rgb="FF1F1F1F"/>
        <rFont val="Arial"/>
        <family val="2"/>
      </rPr>
      <t>$1,500</t>
    </r>
  </si>
  <si>
    <t>The Verdict: Is the room "Complete"?</t>
  </si>
  <si>
    <r>
      <t>Yes.</t>
    </r>
    <r>
      <rPr>
        <sz val="10"/>
        <color rgb="FF1F1F1F"/>
        <rFont val="Arial"/>
        <family val="2"/>
      </rPr>
      <t xml:space="preserve"> With </t>
    </r>
    <r>
      <rPr>
        <b/>
        <sz val="10"/>
        <color rgb="FF1F1F1F"/>
        <rFont val="Arial"/>
        <family val="2"/>
      </rPr>
      <t>$2,900</t>
    </r>
    <r>
      <rPr>
        <sz val="10"/>
        <color rgb="FF1F1F1F"/>
        <rFont val="Arial"/>
        <family val="2"/>
      </rPr>
      <t xml:space="preserve">, you are not just "completing" the room; you are building a </t>
    </r>
    <r>
      <rPr>
        <b/>
        <sz val="10"/>
        <color rgb="FF1F1F1F"/>
        <rFont val="Arial"/>
        <family val="2"/>
      </rPr>
      <t>high-end, luxury-finish bathroom.</t>
    </r>
  </si>
  <si>
    <r>
      <t xml:space="preserve">However, there is one "hidden" cost many people forget: </t>
    </r>
    <r>
      <rPr>
        <b/>
        <sz val="10"/>
        <color rgb="FF1F1F1F"/>
        <rFont val="Arial"/>
        <family val="2"/>
      </rPr>
      <t>Tiling.</t>
    </r>
    <r>
      <rPr>
        <sz val="10"/>
        <color rgb="FF1F1F1F"/>
        <rFont val="Arial"/>
        <family val="2"/>
      </rPr>
      <t xml:space="preserve"> In Kenya, tiling a small bathroom (floor and walls) can cost:</t>
    </r>
  </si>
  <si>
    <r>
      <t>Tiles:</t>
    </r>
    <r>
      <rPr>
        <sz val="10"/>
        <color rgb="FF1F1F1F"/>
        <rFont val="Arial"/>
        <family val="2"/>
      </rPr>
      <t xml:space="preserve"> $150 – $300 (depending on the m²)</t>
    </r>
  </si>
  <si>
    <r>
      <t>Tile Adhesive &amp; Grout:</t>
    </r>
    <r>
      <rPr>
        <sz val="10"/>
        <color rgb="FF1F1F1F"/>
        <rFont val="Arial"/>
        <family val="2"/>
      </rPr>
      <t xml:space="preserve"> $50</t>
    </r>
  </si>
  <si>
    <r>
      <t>Labor:</t>
    </r>
    <r>
      <rPr>
        <sz val="10"/>
        <color rgb="FF1F1F1F"/>
        <rFont val="Arial"/>
        <family val="2"/>
      </rPr>
      <t xml:space="preserve"> $100</t>
    </r>
  </si>
  <si>
    <r>
      <t>Total for Tiling:</t>
    </r>
    <r>
      <rPr>
        <sz val="10"/>
        <color rgb="FF1F1F1F"/>
        <rFont val="Arial"/>
        <family val="2"/>
      </rPr>
      <t xml:space="preserve"> </t>
    </r>
    <r>
      <rPr>
        <b/>
        <sz val="10"/>
        <color rgb="FF1F1F1F"/>
        <rFont val="Arial"/>
        <family val="2"/>
      </rPr>
      <t>$300 – $450</t>
    </r>
  </si>
  <si>
    <t>Final Strategy</t>
  </si>
  <si>
    <r>
      <t xml:space="preserve">If your </t>
    </r>
    <r>
      <rPr>
        <b/>
        <sz val="10"/>
        <color rgb="FF1F1F1F"/>
        <rFont val="Arial"/>
        <family val="2"/>
      </rPr>
      <t>$2,900</t>
    </r>
    <r>
      <rPr>
        <sz val="10"/>
        <color rgb="FF1F1F1F"/>
        <rFont val="Arial"/>
        <family val="2"/>
      </rPr>
      <t xml:space="preserve"> includes the tiles and the ceiling, you are perfectly on track for a beautiful finish.</t>
    </r>
  </si>
  <si>
    <t>Biodigester (Waste)</t>
  </si>
  <si>
    <t>$750</t>
  </si>
  <si>
    <t>Plumbing Fixtures (Toilet, Shower, Sinks)</t>
  </si>
  <si>
    <t>$1,000</t>
  </si>
  <si>
    <t>Pipes &amp; Internal Labor</t>
  </si>
  <si>
    <t>$450</t>
  </si>
  <si>
    <t>Tiles &amp; Tiling Labor</t>
  </si>
  <si>
    <t>$400</t>
  </si>
  <si>
    <t>Contingency (Transport/Misc)</t>
  </si>
  <si>
    <t>$300</t>
  </si>
  <si>
    <t>TOTAL</t>
  </si>
  <si>
    <t>$2,900</t>
  </si>
  <si>
    <r>
      <t>Summary:</t>
    </r>
    <r>
      <rPr>
        <sz val="10"/>
        <color rgb="FF1F1F1F"/>
        <rFont val="Arial"/>
        <family val="2"/>
      </rPr>
      <t xml:space="preserve"> You have a very healthy budget. You won't just have a "functional" bathroom; you will have a "resort-style" bathroom.</t>
    </r>
  </si>
  <si>
    <t>TENTS</t>
  </si>
  <si>
    <t>PLATFORM &amp; DECK</t>
  </si>
  <si>
    <t>Final Tip: If you want it to look "luxurious" but stay on the $1,000 budget, use the sand and murram base but finish it with heavy-duty Mazeras stones (local Kenyan natural slate). It looks incredibly high-end for a retreat and is very common in coastal and safari lodges.</t>
  </si>
  <si>
    <t>Furnishings &amp; sleeping arrangements (beds, matrasses,  tables and chairs etc)</t>
  </si>
  <si>
    <t>Indoor electric &amp; lighting</t>
  </si>
  <si>
    <t>Comments</t>
  </si>
  <si>
    <t>Items</t>
  </si>
  <si>
    <t>Tent areas, m2</t>
  </si>
  <si>
    <t>Tent price incl. steal constructions</t>
  </si>
  <si>
    <t>https://www.outstandingtent.com/safari-tents-and-glamping-lodges/safari-tent-wood/#:~:text=The%20Classic%20safari%20tent,your%20campsite%20or%20holiday%20park.</t>
  </si>
  <si>
    <t>Supplier 1</t>
  </si>
  <si>
    <t>https://falksontents.co.za/products/safari-lodge-lx</t>
  </si>
  <si>
    <t>Supplier 2</t>
  </si>
  <si>
    <t>South African Rand (ZAR)</t>
  </si>
  <si>
    <t>Kenyan Shillings (KSH)</t>
  </si>
  <si>
    <t>Manufacturer</t>
  </si>
  <si>
    <t>Known Large Models</t>
  </si>
  <si>
    <t>Approx. Size (m2)</t>
  </si>
  <si>
    <t>Price Estimate (USD)</t>
  </si>
  <si>
    <t>Bushtec Safari</t>
  </si>
  <si>
    <t>Luxury Shaka / Custom Villas</t>
  </si>
  <si>
    <t>120 – 180+ $m^2$</t>
  </si>
  <si>
    <t>$25,000 – $45,000+</t>
  </si>
  <si>
    <t>Exclusive Tents</t>
  </si>
  <si>
    <t>Mambrrr / Phelwane</t>
  </si>
  <si>
    <t>110 – 160 $m^2$</t>
  </si>
  <si>
    <t>$30,000 – $60,000+</t>
  </si>
  <si>
    <t>Falkson Tents</t>
  </si>
  <si>
    <t>Custom Safari Range</t>
  </si>
  <si>
    <t>Custom up to 150 $m^2$</t>
  </si>
  <si>
    <t>$18,000 – $30,000</t>
  </si>
  <si>
    <t>YALA Canvas</t>
  </si>
  <si>
    <t>Aurora / Stella</t>
  </si>
  <si>
    <t>100 – 150 $m^2$</t>
  </si>
  <si>
    <t>€35,000 – €70,000</t>
  </si>
  <si>
    <t>40 m² Tent</t>
  </si>
  <si>
    <t>150 m² Tent</t>
  </si>
  <si>
    <t>Frame Material</t>
  </si>
  <si>
    <t>40-50mm Steel/Alu tubes</t>
  </si>
  <si>
    <t>100mm+ Extruded Aluminum or Wood Beams</t>
  </si>
  <si>
    <t>Foundation</t>
  </si>
  <si>
    <t>Standard Ground Stakes</t>
  </si>
  <si>
    <r>
      <t xml:space="preserve">Often requires a </t>
    </r>
    <r>
      <rPr>
        <b/>
        <sz val="11"/>
        <color rgb="FF1F1F1F"/>
        <rFont val="Arial"/>
        <family val="2"/>
      </rPr>
      <t>Timber Deck</t>
    </r>
    <r>
      <rPr>
        <sz val="11"/>
        <color rgb="FF1F1F1F"/>
        <rFont val="Arial"/>
        <family val="2"/>
      </rPr>
      <t xml:space="preserve"> or concrete footings</t>
    </r>
  </si>
  <si>
    <t>Roofing</t>
  </si>
  <si>
    <t>Single layer canvas</t>
  </si>
  <si>
    <t>Double-roof (Fly-sheet + Inner tent) for heat &amp; tension</t>
  </si>
  <si>
    <t>Wind Rating</t>
  </si>
  <si>
    <t>Basic (30-50 km/h)</t>
  </si>
  <si>
    <t>Engineered for 80-120 km/h</t>
  </si>
  <si>
    <t>Supplier 3</t>
  </si>
  <si>
    <t>https://www.eastafricancanvas.com/about-us/</t>
  </si>
  <si>
    <t>CAPEX BACKUP</t>
  </si>
  <si>
    <t>of the item costs</t>
  </si>
  <si>
    <t>Suppliers from South Africa or Kenya.</t>
  </si>
  <si>
    <r>
      <t xml:space="preserve">There is a "missing middle" between a simple ground-level sand base and a high-end elevated timber deck. For a </t>
    </r>
    <r>
      <rPr>
        <b/>
        <sz val="11"/>
        <color theme="1"/>
        <rFont val="Arial"/>
        <family val="2"/>
      </rPr>
      <t>150 $m^2$</t>
    </r>
    <r>
      <rPr>
        <sz val="11"/>
        <color theme="1"/>
        <rFont val="Aptos Narrow"/>
        <family val="2"/>
        <scheme val="minor"/>
      </rPr>
      <t xml:space="preserve"> structure, you can find solutions in the </t>
    </r>
    <r>
      <rPr>
        <b/>
        <sz val="11"/>
        <color theme="1"/>
        <rFont val="Arial"/>
        <family val="2"/>
      </rPr>
      <t>$6,000 – $12,000</t>
    </r>
    <r>
      <rPr>
        <sz val="11"/>
        <color theme="1"/>
        <rFont val="Aptos Narrow"/>
        <family val="2"/>
        <scheme val="minor"/>
      </rPr>
      <t xml:space="preserve"> range by using hybrid materials.</t>
    </r>
  </si>
  <si>
    <t>Here are three intermediate technologies that balance cost, durability, and the "safari" aesthetic:</t>
  </si>
  <si>
    <t>1. The "Beam and Block" Concrete System</t>
  </si>
  <si>
    <r>
      <t xml:space="preserve">Used frequently in the Masai Mara (e.g., by </t>
    </r>
    <r>
      <rPr>
        <i/>
        <sz val="11"/>
        <color theme="1"/>
        <rFont val="Arial"/>
        <family val="2"/>
      </rPr>
      <t>EcoConcrete Kenya</t>
    </r>
    <r>
      <rPr>
        <sz val="11"/>
        <color theme="1"/>
        <rFont val="Arial"/>
        <family val="2"/>
      </rPr>
      <t>), this system uses pre-cast concrete beams and hollow blocks rather than wood. It is "semi-elevated," usually sitting 30cm to 50cm off the ground.</t>
    </r>
  </si>
  <si>
    <r>
      <t>Technology:</t>
    </r>
    <r>
      <rPr>
        <sz val="11"/>
        <color theme="1"/>
        <rFont val="Arial"/>
        <family val="2"/>
      </rPr>
      <t xml:space="preserve"> Pre-cast concrete T-beams are laid across pillars; blocks are slotted in between, and a thin screed is poured on top.</t>
    </r>
  </si>
  <si>
    <r>
      <t>Pros:</t>
    </r>
    <r>
      <rPr>
        <sz val="11"/>
        <color theme="1"/>
        <rFont val="Arial"/>
        <family val="2"/>
      </rPr>
      <t xml:space="preserve"> Fireproof, rot-proof, and termite-proof. It feels as solid as a house floor.</t>
    </r>
  </si>
  <si>
    <r>
      <t>Est. Cost for 150 $m^2$:</t>
    </r>
    <r>
      <rPr>
        <sz val="11"/>
        <color theme="1"/>
        <rFont val="Arial"/>
        <family val="2"/>
      </rPr>
      <t xml:space="preserve"> </t>
    </r>
    <r>
      <rPr>
        <b/>
        <sz val="11"/>
        <color theme="1"/>
        <rFont val="Arial"/>
        <family val="2"/>
      </rPr>
      <t>$6,500 – $9,000</t>
    </r>
    <r>
      <rPr>
        <sz val="11"/>
        <color theme="1"/>
        <rFont val="Arial"/>
        <family val="2"/>
      </rPr>
      <t xml:space="preserve"> (KES 850,000 – 1.2M).</t>
    </r>
  </si>
  <si>
    <r>
      <t>Finish:</t>
    </r>
    <r>
      <rPr>
        <sz val="11"/>
        <color theme="1"/>
        <rFont val="Arial"/>
        <family val="2"/>
      </rPr>
      <t xml:space="preserve"> You can paint the concrete or lay </t>
    </r>
    <r>
      <rPr>
        <b/>
        <sz val="11"/>
        <color theme="1"/>
        <rFont val="Arial"/>
        <family val="2"/>
      </rPr>
      <t>Sisal Mats</t>
    </r>
    <r>
      <rPr>
        <sz val="11"/>
        <color theme="1"/>
        <rFont val="Arial"/>
        <family val="2"/>
      </rPr>
      <t xml:space="preserve"> or </t>
    </r>
    <r>
      <rPr>
        <b/>
        <sz val="11"/>
        <color theme="1"/>
        <rFont val="Arial"/>
        <family val="2"/>
      </rPr>
      <t>Vinyl Wood Planks</t>
    </r>
    <r>
      <rPr>
        <sz val="11"/>
        <color theme="1"/>
        <rFont val="Arial"/>
        <family val="2"/>
      </rPr>
      <t xml:space="preserve"> over it to give it a luxury feel.</t>
    </r>
  </si>
  <si>
    <t>2. Light-Gauge Steel (LGS) Framing + Fiber Cement Board</t>
  </si>
  <si>
    <t>Instead of heavy timber poles and beams, you use a galvanized steel "chassis" (similar to what is used in prefab homes).</t>
  </si>
  <si>
    <r>
      <t>Technology:</t>
    </r>
    <r>
      <rPr>
        <sz val="11"/>
        <color theme="1"/>
        <rFont val="Arial"/>
        <family val="2"/>
      </rPr>
      <t xml:space="preserve"> A grid of steel C-sections is bolted together. The "floor" is made of 18mm–22mm thick </t>
    </r>
    <r>
      <rPr>
        <b/>
        <sz val="11"/>
        <color theme="1"/>
        <rFont val="Arial"/>
        <family val="2"/>
      </rPr>
      <t>Fiber Cement Boards</t>
    </r>
    <r>
      <rPr>
        <sz val="11"/>
        <color theme="1"/>
        <rFont val="Arial"/>
        <family val="2"/>
      </rPr>
      <t xml:space="preserve"> (like </t>
    </r>
    <r>
      <rPr>
        <i/>
        <sz val="11"/>
        <color theme="1"/>
        <rFont val="Arial"/>
        <family val="2"/>
      </rPr>
      <t>Nutec</t>
    </r>
    <r>
      <rPr>
        <sz val="11"/>
        <color theme="1"/>
        <rFont val="Arial"/>
        <family val="2"/>
      </rPr>
      <t xml:space="preserve"> in SA or </t>
    </r>
    <r>
      <rPr>
        <i/>
        <sz val="11"/>
        <color theme="1"/>
        <rFont val="Arial"/>
        <family val="2"/>
      </rPr>
      <t>Kalsi</t>
    </r>
    <r>
      <rPr>
        <sz val="11"/>
        <color theme="1"/>
        <rFont val="Arial"/>
        <family val="2"/>
      </rPr>
      <t xml:space="preserve"> in East Africa).</t>
    </r>
  </si>
  <si>
    <r>
      <t>Pros:</t>
    </r>
    <r>
      <rPr>
        <sz val="11"/>
        <color theme="1"/>
        <rFont val="Arial"/>
        <family val="2"/>
      </rPr>
      <t xml:space="preserve"> Steel doesn't warp or rot in humid climates. It’s much lighter than concrete, making it easier to install on uneven terrain.</t>
    </r>
  </si>
  <si>
    <r>
      <t>Est. Cost for 150 $m^2$:</t>
    </r>
    <r>
      <rPr>
        <sz val="11"/>
        <color theme="1"/>
        <rFont val="Arial"/>
        <family val="2"/>
      </rPr>
      <t xml:space="preserve"> </t>
    </r>
    <r>
      <rPr>
        <b/>
        <sz val="11"/>
        <color theme="1"/>
        <rFont val="Arial"/>
        <family val="2"/>
      </rPr>
      <t>$10,000 – $14,000</t>
    </r>
    <r>
      <rPr>
        <sz val="11"/>
        <color theme="1"/>
        <rFont val="Arial"/>
        <family val="2"/>
      </rPr>
      <t>.</t>
    </r>
  </si>
  <si>
    <r>
      <t>Finish:</t>
    </r>
    <r>
      <rPr>
        <sz val="11"/>
        <color theme="1"/>
        <rFont val="Arial"/>
        <family val="2"/>
      </rPr>
      <t xml:space="preserve"> The cement boards are waterproof; you can leave them raw for an industrial look or tile them.</t>
    </r>
  </si>
  <si>
    <t>3. "Eco-Pole" Hybrid Decking</t>
  </si>
  <si>
    <t>This uses recycled plastic/composite poles (Eco-Poles) for the underground support but uses cheaper, locally treated pine for the top planks.</t>
  </si>
  <si>
    <r>
      <t>Technology:</t>
    </r>
    <r>
      <rPr>
        <sz val="11"/>
        <color theme="1"/>
        <rFont val="Arial"/>
        <family val="2"/>
      </rPr>
      <t xml:space="preserve"> The "feet" of your deck are plastic (won't rot in the mud), but the parts you touch and see are wood.</t>
    </r>
  </si>
  <si>
    <r>
      <t>Pros:</t>
    </r>
    <r>
      <rPr>
        <sz val="11"/>
        <color theme="1"/>
        <rFont val="Arial"/>
        <family val="2"/>
      </rPr>
      <t xml:space="preserve"> Significant cost savings over a full "Hardwood" or "Composite" deck while solving the main issue of rot at the ground-contact points.</t>
    </r>
  </si>
  <si>
    <r>
      <t>Est. Cost for 150 $m^2$:</t>
    </r>
    <r>
      <rPr>
        <sz val="11"/>
        <color theme="1"/>
        <rFont val="Arial"/>
        <family val="2"/>
      </rPr>
      <t xml:space="preserve"> </t>
    </r>
    <r>
      <rPr>
        <b/>
        <sz val="11"/>
        <color theme="1"/>
        <rFont val="Arial"/>
        <family val="2"/>
      </rPr>
      <t>$8,000 – $11,000</t>
    </r>
    <r>
      <rPr>
        <sz val="11"/>
        <color theme="1"/>
        <rFont val="Arial"/>
        <family val="2"/>
      </rPr>
      <t>.</t>
    </r>
  </si>
  <si>
    <t>Solution</t>
  </si>
  <si>
    <t>Lifespan</t>
  </si>
  <si>
    <t>Best For</t>
  </si>
  <si>
    <t>Cabro/Ground-Level</t>
  </si>
  <si>
    <t>$2,500 - $4,000</t>
  </si>
  <si>
    <t>5-7 Years</t>
  </si>
  <si>
    <t>Tight budgets, very flat land.</t>
  </si>
  <si>
    <t>Beam &amp; Block</t>
  </si>
  <si>
    <t>$6,500 - $9,000</t>
  </si>
  <si>
    <t>25+ Years</t>
  </si>
  <si>
    <t>Permanent retreat centers, fire safety.</t>
  </si>
  <si>
    <t>Steel + Cement Board</t>
  </si>
  <si>
    <t>$10,000 - $14,000</t>
  </si>
  <si>
    <t>20+ Years</t>
  </si>
  <si>
    <t>Modern look, termite-heavy areas.</t>
  </si>
  <si>
    <t>Full Timber Deck</t>
  </si>
  <si>
    <t>$18,000 - $35,000</t>
  </si>
  <si>
    <t>10-15 Years</t>
  </si>
  <si>
    <t>High-end luxury, uneven/sloped terrain.</t>
  </si>
  <si>
    <t>Cabro-Ground level for the small tents. Advanced Cabro-Ground or Beams and Blocks for the bigger tents.</t>
  </si>
  <si>
    <t>Transportation of tents and platforms for the tents</t>
  </si>
  <si>
    <t>BATHROOM FIXTURES &amp; PLUMBING</t>
  </si>
  <si>
    <t>INDOOR ELECTRIC &amp; LIGHTING</t>
  </si>
  <si>
    <t>Est. Cost per Unit (USD)</t>
  </si>
  <si>
    <t>Est. Cost per Unit (KES)</t>
  </si>
  <si>
    <t>Standard Tent</t>
  </si>
  <si>
    <t>$37 m^2$</t>
  </si>
  <si>
    <t>$550 – $900</t>
  </si>
  <si>
    <t>KES 70,000 – 115,000</t>
  </si>
  <si>
    <t>Kitchen Tent</t>
  </si>
  <si>
    <t>$150 m^2$</t>
  </si>
  <si>
    <t>$2,300 – $3,800</t>
  </si>
  <si>
    <t>KES 295,000 – 485,000</t>
  </si>
  <si>
    <t>Retreat Tent</t>
  </si>
  <si>
    <t>$1,900 – $3,100</t>
  </si>
  <si>
    <t>KES 245,000 – 400,000</t>
  </si>
  <si>
    <t>Cost Breakdown &amp; Considerations</t>
  </si>
  <si>
    <t>1. The $37 m^2$ Standard Tent</t>
  </si>
  <si>
    <r>
      <t>Typical Setup:</t>
    </r>
    <r>
      <rPr>
        <sz val="11"/>
        <color theme="1"/>
        <rFont val="Arial"/>
        <family val="2"/>
      </rPr>
      <t xml:space="preserve"> 4–6 lighting points (main room, bathroom, porch) and 4–5 power sockets.</t>
    </r>
  </si>
  <si>
    <r>
      <t>Cost Drivers:</t>
    </r>
    <r>
      <rPr>
        <sz val="11"/>
        <color theme="1"/>
        <rFont val="Arial"/>
        <family val="2"/>
      </rPr>
      <t xml:space="preserve"> High-end safari tents often use "hidden" wiring or decorative brass/industrial fixtures to match the aesthetic, which increases the price compared to standard residential wiring.</t>
    </r>
  </si>
  <si>
    <t>2. The $150 m^2$ Kitchen Tent</t>
  </si>
  <si>
    <r>
      <t>Complexity:</t>
    </r>
    <r>
      <rPr>
        <sz val="11"/>
        <color theme="1"/>
        <rFont val="Arial"/>
        <family val="2"/>
      </rPr>
      <t xml:space="preserve"> This is the most expensive per $m^2$. It requires heavy-duty cabling for appliances (refrigerators, ovens, extractors) and specific safety features like water-resistant sockets and high-load circuit breakers.</t>
    </r>
  </si>
  <si>
    <r>
      <t>Lighting:</t>
    </r>
    <r>
      <rPr>
        <sz val="11"/>
        <color theme="1"/>
        <rFont val="Arial"/>
        <family val="2"/>
      </rPr>
      <t xml:space="preserve"> Needs bright, functional task lighting rather than just mood lighting.</t>
    </r>
  </si>
  <si>
    <t>3. The $150 m^2$ Retreat Tent</t>
  </si>
  <si>
    <r>
      <t>Complexity:</t>
    </r>
    <r>
      <rPr>
        <sz val="11"/>
        <color theme="1"/>
        <rFont val="Arial"/>
        <family val="2"/>
      </rPr>
      <t xml:space="preserve"> Lower than the kitchen but higher than bedrooms due to the large open area. It likely requires multiple "zones" of dimmable mood lighting, floor sockets for charging, and potentially wiring for sound systems or projectors.</t>
    </r>
  </si>
  <si>
    <t>Key Factors for Kenya (2026)</t>
  </si>
  <si>
    <r>
      <t>Labor:</t>
    </r>
    <r>
      <rPr>
        <sz val="11"/>
        <color theme="1"/>
        <rFont val="Arial"/>
        <family val="2"/>
      </rPr>
      <t xml:space="preserve"> Professional electrical labor in Kenya for commercial/hospitality projects typically ranges from </t>
    </r>
    <r>
      <rPr>
        <b/>
        <sz val="11"/>
        <color theme="1"/>
        <rFont val="Arial"/>
        <family val="2"/>
      </rPr>
      <t>KES 1,500 to KES 3,000 per $m^2$</t>
    </r>
    <r>
      <rPr>
        <sz val="11"/>
        <color theme="1"/>
        <rFont val="Arial"/>
        <family val="2"/>
      </rPr>
      <t>.</t>
    </r>
  </si>
  <si>
    <r>
      <t>Solar vs. Grid:</t>
    </r>
    <r>
      <rPr>
        <sz val="11"/>
        <color theme="1"/>
        <rFont val="Arial"/>
        <family val="2"/>
      </rPr>
      <t xml:space="preserve"> If these tents are in a remote safari location (off-grid), you must factor in a Solar PV system. A basic off-grid solar setup for a single $37 m^2$ tent starts at roughly </t>
    </r>
    <r>
      <rPr>
        <b/>
        <sz val="11"/>
        <color theme="1"/>
        <rFont val="Arial"/>
        <family val="2"/>
      </rPr>
      <t>$1,000 – $1,500</t>
    </r>
    <r>
      <rPr>
        <sz val="11"/>
        <color theme="1"/>
        <rFont val="Arial"/>
        <family val="2"/>
      </rPr>
      <t xml:space="preserve"> (including batteries/inverter), while the Kitchen/Retreat would require a much larger centralized system.</t>
    </r>
  </si>
  <si>
    <r>
      <t>Import vs. Local:</t>
    </r>
    <r>
      <rPr>
        <sz val="11"/>
        <color theme="1"/>
        <rFont val="Arial"/>
        <family val="2"/>
      </rPr>
      <t xml:space="preserve"> Standard cables (e.g., East African Cables) are local, but designer "glamping" light fixtures are often imported, which may add a 25%–35% premium due to shipping and duties.</t>
    </r>
  </si>
  <si>
    <r>
      <t>Note:</t>
    </r>
    <r>
      <rPr>
        <sz val="11"/>
        <color theme="1"/>
        <rFont val="Arial"/>
        <family val="2"/>
      </rPr>
      <t xml:space="preserve"> For a project of this scale (20+ units), you should expect a bulk discount on labor, but "transportation to site" for the electricians and materials will be a significant line item if the camp is in a remote area like the Maasai Mara or Laikipia.</t>
    </r>
  </si>
  <si>
    <t>PV panels, off-grid</t>
  </si>
  <si>
    <t>Tent Type</t>
  </si>
  <si>
    <t>Est. Solar Cost (USD)</t>
  </si>
  <si>
    <t>Primary Energy Load</t>
  </si>
  <si>
    <t>Lights, phone, laptop, 12V fan.</t>
  </si>
  <si>
    <t>$4,500 – $6,500</t>
  </si>
  <si>
    <t>Multiple zones of LEDs, sound system, Wi-Fi routers, coffee station, small fridge.</t>
  </si>
  <si>
    <t>$12,000 – $18,000+</t>
  </si>
  <si>
    <r>
      <t>Heavy Load:</t>
    </r>
    <r>
      <rPr>
        <sz val="11"/>
        <color rgb="FF1F1F1F"/>
        <rFont val="Arial"/>
        <family val="2"/>
      </rPr>
      <t xml:space="preserve"> Walk-in refrigeration, freezers, blenders, commercial extractors, water pumps.</t>
    </r>
  </si>
  <si>
    <r>
      <t xml:space="preserve">If your solar solution for a </t>
    </r>
    <r>
      <rPr>
        <b/>
        <sz val="11"/>
        <color theme="1"/>
        <rFont val="Arial"/>
        <family val="2"/>
      </rPr>
      <t>37 $m^2$ standard tent</t>
    </r>
    <r>
      <rPr>
        <sz val="11"/>
        <color theme="1"/>
        <rFont val="Arial"/>
        <family val="2"/>
      </rPr>
      <t xml:space="preserve"> is </t>
    </r>
    <r>
      <rPr>
        <b/>
        <sz val="11"/>
        <color theme="1"/>
        <rFont val="Arial"/>
        <family val="2"/>
      </rPr>
      <t>$1,000</t>
    </r>
    <r>
      <rPr>
        <sz val="11"/>
        <color theme="1"/>
        <rFont val="Arial"/>
        <family val="2"/>
      </rPr>
      <t>, it likely covers a "Light Load" system: basic LED lighting, phone charging, and perhaps a small high-efficiency fan or a laptop.</t>
    </r>
  </si>
  <si>
    <r>
      <t xml:space="preserve">Scaling this to the larger tents is not a linear $m^2$ calculation because the </t>
    </r>
    <r>
      <rPr>
        <b/>
        <sz val="11"/>
        <color theme="1"/>
        <rFont val="Arial"/>
        <family val="2"/>
      </rPr>
      <t>energy intensity</t>
    </r>
    <r>
      <rPr>
        <sz val="11"/>
        <color theme="1"/>
        <rFont val="Arial"/>
        <family val="2"/>
      </rPr>
      <t xml:space="preserve"> changes—especially for a kitchen. In Kenya's 2026 market, here is the estimated breakdown for the larger units:</t>
    </r>
  </si>
  <si>
    <t>Why the costs differ so much:</t>
  </si>
  <si>
    <r>
      <t>1. The Retreat Tent (</t>
    </r>
    <r>
      <rPr>
        <b/>
        <sz val="13.3"/>
        <color rgb="FF1F1F1F"/>
        <rFont val="Times New Roman"/>
        <family val="1"/>
      </rPr>
      <t>150</t>
    </r>
    <r>
      <rPr>
        <b/>
        <i/>
        <sz val="13.3"/>
        <color rgb="FF1F1F1F"/>
        <rFont val="KaTeX_Math"/>
      </rPr>
      <t>m</t>
    </r>
    <r>
      <rPr>
        <b/>
        <sz val="7.7"/>
        <color rgb="FF1F1F1F"/>
        <rFont val="Times New Roman"/>
        <family val="1"/>
      </rPr>
      <t>2</t>
    </r>
    <r>
      <rPr>
        <b/>
        <sz val="10"/>
        <color rgb="FF1F1F1F"/>
        <rFont val="Arial"/>
        <family val="2"/>
      </rPr>
      <t>)</t>
    </r>
  </si>
  <si>
    <r>
      <t>Multiplier:</t>
    </r>
    <r>
      <rPr>
        <sz val="10"/>
        <color rgb="FF1F1F1F"/>
        <rFont val="Arial"/>
        <family val="2"/>
      </rPr>
      <t xml:space="preserve"> ~5x to 6x the standard tent cost.</t>
    </r>
  </si>
  <si>
    <r>
      <t>Usage:</t>
    </r>
    <r>
      <rPr>
        <sz val="10"/>
        <color rgb="FF1F1F1F"/>
        <rFont val="Arial"/>
        <family val="2"/>
      </rPr>
      <t xml:space="preserve"> While the area is 4x larger, the energy needs are mostly for "ambience" and "connectivity." You aren't just powering one room; you're powering a large lounge, bar area, and guest charging hubs.</t>
    </r>
  </si>
  <si>
    <r>
      <t>System Sizing:</t>
    </r>
    <r>
      <rPr>
        <sz val="10"/>
        <color rgb="FF1F1F1F"/>
        <rFont val="Arial"/>
        <family val="2"/>
      </rPr>
      <t xml:space="preserve"> Usually requires a </t>
    </r>
    <r>
      <rPr>
        <b/>
        <sz val="10"/>
        <color rgb="FF1F1F1F"/>
        <rFont val="Arial"/>
        <family val="2"/>
      </rPr>
      <t>3kW to 5kW hybrid system</t>
    </r>
    <r>
      <rPr>
        <sz val="10"/>
        <color rgb="FF1F1F1F"/>
        <rFont val="Arial"/>
        <family val="2"/>
      </rPr>
      <t xml:space="preserve"> with lithium battery storage to ensure the lights and Wi-Fi stay on through the evening and early morning.</t>
    </r>
  </si>
  <si>
    <r>
      <t>2. The Kitchen Tent (</t>
    </r>
    <r>
      <rPr>
        <b/>
        <sz val="13.3"/>
        <color rgb="FF1F1F1F"/>
        <rFont val="Times New Roman"/>
        <family val="1"/>
      </rPr>
      <t>150</t>
    </r>
    <r>
      <rPr>
        <b/>
        <i/>
        <sz val="13.3"/>
        <color rgb="FF1F1F1F"/>
        <rFont val="KaTeX_Math"/>
      </rPr>
      <t>m</t>
    </r>
    <r>
      <rPr>
        <b/>
        <sz val="7.7"/>
        <color rgb="FF1F1F1F"/>
        <rFont val="Times New Roman"/>
        <family val="1"/>
      </rPr>
      <t>2</t>
    </r>
    <r>
      <rPr>
        <b/>
        <sz val="10"/>
        <color rgb="FF1F1F1F"/>
        <rFont val="Arial"/>
        <family val="2"/>
      </rPr>
      <t>)</t>
    </r>
  </si>
  <si>
    <r>
      <t>Multiplier:</t>
    </r>
    <r>
      <rPr>
        <sz val="10"/>
        <color rgb="FF1F1F1F"/>
        <rFont val="Arial"/>
        <family val="2"/>
      </rPr>
      <t xml:space="preserve"> 12x to 18x the standard tent cost.</t>
    </r>
  </si>
  <si>
    <r>
      <t>The "Fridge Factor":</t>
    </r>
    <r>
      <rPr>
        <sz val="10"/>
        <color rgb="FF1F1F1F"/>
        <rFont val="Arial"/>
        <family val="2"/>
      </rPr>
      <t xml:space="preserve"> Kitchens are the most expensive to power with solar. Refrigeration and freezers run </t>
    </r>
    <r>
      <rPr>
        <b/>
        <sz val="10"/>
        <color rgb="FF1F1F1F"/>
        <rFont val="Arial"/>
        <family val="2"/>
      </rPr>
      <t>24/7</t>
    </r>
    <r>
      <rPr>
        <sz val="10"/>
        <color rgb="FF1F1F1F"/>
        <rFont val="Arial"/>
        <family val="2"/>
      </rPr>
      <t>, requiring massive battery banks to last through the night.</t>
    </r>
  </si>
  <si>
    <r>
      <t>Startup Loads:</t>
    </r>
    <r>
      <rPr>
        <sz val="10"/>
        <color rgb="FF1F1F1F"/>
        <rFont val="Arial"/>
        <family val="2"/>
      </rPr>
      <t xml:space="preserve"> Commercial kitchen appliances have high "surge" currents (starting an industrial blender or meat slicer), which requires a much larger and more expensive </t>
    </r>
    <r>
      <rPr>
        <b/>
        <sz val="10"/>
        <color rgb="FF1F1F1F"/>
        <rFont val="Arial"/>
        <family val="2"/>
      </rPr>
      <t>Inverter</t>
    </r>
    <r>
      <rPr>
        <sz val="10"/>
        <color rgb="FF1F1F1F"/>
        <rFont val="Arial"/>
        <family val="2"/>
      </rPr>
      <t xml:space="preserve"> (likely </t>
    </r>
    <r>
      <rPr>
        <b/>
        <sz val="10"/>
        <color rgb="FF1F1F1F"/>
        <rFont val="Arial"/>
        <family val="2"/>
      </rPr>
      <t>8kW to 10kW</t>
    </r>
    <r>
      <rPr>
        <sz val="10"/>
        <color rgb="FF1F1F1F"/>
        <rFont val="Arial"/>
        <family val="2"/>
      </rPr>
      <t>).</t>
    </r>
  </si>
  <si>
    <r>
      <t>Recommendation:</t>
    </r>
    <r>
      <rPr>
        <sz val="10"/>
        <color rgb="FF1F1F1F"/>
        <rFont val="Arial"/>
        <family val="2"/>
      </rPr>
      <t xml:space="preserve"> Most Safari camps in Kenya use </t>
    </r>
    <r>
      <rPr>
        <b/>
        <sz val="10"/>
        <color rgb="FF1F1F1F"/>
        <rFont val="Arial"/>
        <family val="2"/>
      </rPr>
      <t>Gas (LPG)</t>
    </r>
    <r>
      <rPr>
        <sz val="10"/>
        <color rgb="FF1F1F1F"/>
        <rFont val="Arial"/>
        <family val="2"/>
      </rPr>
      <t xml:space="preserve"> for cooking and water heating to keep solar costs down. If you plan to use electric ovens or induction, your solar cost could easily double again.</t>
    </r>
  </si>
  <si>
    <t>Important Strategy for Kenya</t>
  </si>
  <si>
    <t>For a project of this scale (20 standard tents + 2 large tents), you have two options:</t>
  </si>
  <si>
    <r>
      <t>1. Standalone (Current Plan):</t>
    </r>
    <r>
      <rPr>
        <sz val="10"/>
        <color rgb="FF1F1F1F"/>
        <rFont val="Arial"/>
        <family val="2"/>
      </rPr>
      <t xml:space="preserve"> Each tent has its own panels/batteries. This is great for maintenance (if one fails, the others work) but is more expensive overall.</t>
    </r>
  </si>
  <si>
    <r>
      <t>2. Centralized "Power Plant":</t>
    </r>
    <r>
      <rPr>
        <sz val="10"/>
        <color rgb="FF1F1F1F"/>
        <rFont val="Arial"/>
        <family val="2"/>
      </rPr>
      <t xml:space="preserve"> Instead of 22 separate small systems, you build one large solar farm near the kitchen. This is often </t>
    </r>
    <r>
      <rPr>
        <b/>
        <sz val="10"/>
        <color rgb="FF1F1F1F"/>
        <rFont val="Arial"/>
        <family val="2"/>
      </rPr>
      <t>20-30% cheaper</t>
    </r>
    <r>
      <rPr>
        <sz val="10"/>
        <color rgb="FF1F1F1F"/>
        <rFont val="Arial"/>
        <family val="2"/>
      </rPr>
      <t xml:space="preserve"> due to "economies of scale" on large inverters and reduces the visual clutter of panels on every tent roof.</t>
    </r>
  </si>
  <si>
    <r>
      <t>Note:</t>
    </r>
    <r>
      <rPr>
        <sz val="10"/>
        <color rgb="FF1F1F1F"/>
        <rFont val="Arial"/>
        <family val="2"/>
      </rPr>
      <t xml:space="preserve"> These prices assume you are using </t>
    </r>
    <r>
      <rPr>
        <b/>
        <sz val="10"/>
        <color rgb="FF1F1F1F"/>
        <rFont val="Arial"/>
        <family val="2"/>
      </rPr>
      <t>Lithium (LiFePO4)</t>
    </r>
    <r>
      <rPr>
        <sz val="10"/>
        <color rgb="FF1F1F1F"/>
        <rFont val="Arial"/>
        <family val="2"/>
      </rPr>
      <t xml:space="preserve"> batteries, which are the standard in Kenya for 2026 due to their 10-year lifespan. Lead-acid/Gel batteries are cheaper upfront but will fail in 2–3 years in the Kenyan heat.</t>
    </r>
  </si>
  <si>
    <r>
      <t>1. Materials:</t>
    </r>
    <r>
      <rPr>
        <sz val="11"/>
        <color theme="1"/>
        <rFont val="Aptos Narrow"/>
        <family val="2"/>
        <scheme val="minor"/>
      </rPr>
      <t xml:space="preserve"> Cabling (PVC insulated copper), trunking/conduits, distribution boards (DB), circuit breakers, sockets, and switches.</t>
    </r>
  </si>
  <si>
    <r>
      <t>2. Fixtures:</t>
    </r>
    <r>
      <rPr>
        <sz val="11"/>
        <color theme="1"/>
        <rFont val="Aptos Narrow"/>
        <family val="2"/>
        <scheme val="minor"/>
      </rPr>
      <t xml:space="preserve"> The actual light fittings (LED bulbs, wall brackets, or chandeliers for the retreat).</t>
    </r>
  </si>
  <si>
    <r>
      <t>3. Labor:</t>
    </r>
    <r>
      <rPr>
        <sz val="11"/>
        <color theme="1"/>
        <rFont val="Aptos Narrow"/>
        <family val="2"/>
        <scheme val="minor"/>
      </rPr>
      <t xml:space="preserve"> Professional installation, testing, and commissioning by a licensed electrician.</t>
    </r>
  </si>
  <si>
    <r>
      <t xml:space="preserve">Here is a more detailed breakdown based on current 2026 Kenyan rates (approx. </t>
    </r>
    <r>
      <rPr>
        <b/>
        <sz val="11"/>
        <color theme="1"/>
        <rFont val="Aptos Narrow"/>
        <family val="2"/>
        <scheme val="minor"/>
      </rPr>
      <t>KES 130 per $1 USD</t>
    </r>
    <r>
      <rPr>
        <sz val="11"/>
        <color theme="1"/>
        <rFont val="Aptos Narrow"/>
        <family val="2"/>
        <scheme val="minor"/>
      </rPr>
      <t>).</t>
    </r>
  </si>
  <si>
    <t>Detailed Indoor Electric &amp; Lighting Estimates</t>
  </si>
  <si>
    <r>
      <t xml:space="preserve">Those prices are for the </t>
    </r>
    <r>
      <rPr>
        <b/>
        <sz val="11"/>
        <color theme="1"/>
        <rFont val="Aptos Narrow"/>
        <family val="2"/>
        <scheme val="minor"/>
      </rPr>
      <t>total indoor electrical and lighting package</t>
    </r>
    <r>
      <rPr>
        <sz val="11"/>
        <color theme="1"/>
        <rFont val="Aptos Narrow"/>
        <family val="2"/>
        <scheme val="minor"/>
      </rPr>
      <t>, which typically includes:</t>
    </r>
  </si>
  <si>
    <t>Est. USD (Total)</t>
  </si>
  <si>
    <t>Est. KES (Total)</t>
  </si>
  <si>
    <t>What is included?</t>
  </si>
  <si>
    <t>KES 70k – 115k</t>
  </si>
  <si>
    <t>~6 light points, 4 double sockets, 1 small DB.</t>
  </si>
  <si>
    <t>KES 245k – 400k</t>
  </si>
  <si>
    <t>High-end fixtures, dimmers, 10+ sockets, lounge/bar lighting.</t>
  </si>
  <si>
    <t>KES 300k – 495k</t>
  </si>
  <si>
    <t>Heavy-duty wiring for appliances, waterproof sockets, high-load DB.</t>
  </si>
  <si>
    <t>Cost Drivers for Your Project</t>
  </si>
  <si>
    <r>
      <t>The "Point" System:</t>
    </r>
    <r>
      <rPr>
        <sz val="11"/>
        <color theme="1"/>
        <rFont val="Arial"/>
        <family val="2"/>
      </rPr>
      <t xml:space="preserve"> In Kenya, electricians often charge per "point" (e.g., KES 1,500–3,000 per light or socket). A $150 m^2$ tent has significantly more points than a standard one, but the kitchen has even fewer points with much "thicker" (more expensive) cabling to handle high-wattage equipment like ovens or walk-in fridges.</t>
    </r>
  </si>
  <si>
    <r>
      <t>Fixture Quality:</t>
    </r>
    <r>
      <rPr>
        <sz val="11"/>
        <color theme="1"/>
        <rFont val="Arial"/>
        <family val="2"/>
      </rPr>
      <t xml:space="preserve"> For the </t>
    </r>
    <r>
      <rPr>
        <b/>
        <sz val="11"/>
        <color theme="1"/>
        <rFont val="Arial"/>
        <family val="2"/>
      </rPr>
      <t>Retreat Tent</t>
    </r>
    <r>
      <rPr>
        <sz val="11"/>
        <color theme="1"/>
        <rFont val="Arial"/>
        <family val="2"/>
      </rPr>
      <t>, fixture costs vary wildly. A basic LED bracket might cost $10, while a luxury safari-style brass chandelier can cost $200+. My estimate assumes a "Mid-to-High" luxury finish.</t>
    </r>
  </si>
  <si>
    <r>
      <t>Safety Features:</t>
    </r>
    <r>
      <rPr>
        <sz val="11"/>
        <color theme="1"/>
        <rFont val="Arial"/>
        <family val="2"/>
      </rPr>
      <t xml:space="preserve"> Given these are tents, the estimate includes </t>
    </r>
    <r>
      <rPr>
        <b/>
        <sz val="11"/>
        <color theme="1"/>
        <rFont val="Arial"/>
        <family val="2"/>
      </rPr>
      <t>GFCI (Ground Fault Circuit Interrupter)</t>
    </r>
    <r>
      <rPr>
        <sz val="11"/>
        <color theme="1"/>
        <rFont val="Arial"/>
        <family val="2"/>
      </rPr>
      <t xml:space="preserve"> protection, which is essential for guest safety in canvas structures, especially in humid or rainy Kenyan environments.</t>
    </r>
  </si>
  <si>
    <t>Important Note on "Invisible" Costs</t>
  </si>
  <si>
    <r>
      <t xml:space="preserve">These prices are for </t>
    </r>
    <r>
      <rPr>
        <b/>
        <sz val="11"/>
        <color theme="1"/>
        <rFont val="Arial"/>
        <family val="2"/>
      </rPr>
      <t>indoor</t>
    </r>
    <r>
      <rPr>
        <sz val="11"/>
        <color theme="1"/>
        <rFont val="Arial"/>
        <family val="2"/>
      </rPr>
      <t xml:space="preserve"> work. They do </t>
    </r>
    <r>
      <rPr>
        <b/>
        <sz val="11"/>
        <color theme="1"/>
        <rFont val="Arial"/>
        <family val="2"/>
      </rPr>
      <t>not</t>
    </r>
    <r>
      <rPr>
        <sz val="11"/>
        <color theme="1"/>
        <rFont val="Arial"/>
        <family val="2"/>
      </rPr>
      <t xml:space="preserve"> typically include:</t>
    </r>
  </si>
  <si>
    <r>
      <t>External Trenching:</t>
    </r>
    <r>
      <rPr>
        <sz val="11"/>
        <color theme="1"/>
        <rFont val="Arial"/>
        <family val="2"/>
      </rPr>
      <t xml:space="preserve"> Running the main armored cables underground from your solar hub to each individual tent.</t>
    </r>
  </si>
  <si>
    <r>
      <t>Solar Panels/Batteries:</t>
    </r>
    <r>
      <rPr>
        <sz val="11"/>
        <color theme="1"/>
        <rFont val="Arial"/>
        <family val="2"/>
      </rPr>
      <t xml:space="preserve"> As discussed previously, those are separate high-value items.</t>
    </r>
  </si>
  <si>
    <r>
      <t>Pro-Tip for Kenya:</t>
    </r>
    <r>
      <rPr>
        <sz val="11"/>
        <color theme="1"/>
        <rFont val="Arial"/>
        <family val="2"/>
      </rPr>
      <t xml:space="preserve"> If you are building in a remote area (like the Mara or Samburu), ask your contractor if the quote includes </t>
    </r>
    <r>
      <rPr>
        <b/>
        <sz val="11"/>
        <color theme="1"/>
        <rFont val="Arial"/>
        <family val="2"/>
      </rPr>
      <t>transport and accommodation</t>
    </r>
    <r>
      <rPr>
        <sz val="11"/>
        <color theme="1"/>
        <rFont val="Arial"/>
        <family val="2"/>
      </rPr>
      <t xml:space="preserve"> for the electrical crew. In 2026, many contractors add a "bush allowance" or mobilization fee of </t>
    </r>
    <r>
      <rPr>
        <b/>
        <sz val="11"/>
        <color theme="1"/>
        <rFont val="Arial"/>
        <family val="2"/>
      </rPr>
      <t>15%–20%</t>
    </r>
    <r>
      <rPr>
        <sz val="11"/>
        <color theme="1"/>
        <rFont val="Arial"/>
        <family val="2"/>
      </rPr>
      <t xml:space="preserve"> if the site is far from a major town.</t>
    </r>
  </si>
  <si>
    <t>Local suppliers</t>
  </si>
  <si>
    <t>HEATERS</t>
  </si>
  <si>
    <r>
      <t xml:space="preserve">For heating tents in Kenya, the cost depends heavily on whether you choose </t>
    </r>
    <r>
      <rPr>
        <b/>
        <sz val="11"/>
        <color theme="1"/>
        <rFont val="Arial"/>
        <family val="2"/>
      </rPr>
      <t>Electric</t>
    </r>
    <r>
      <rPr>
        <sz val="11"/>
        <color theme="1"/>
        <rFont val="Arial"/>
        <family val="2"/>
      </rPr>
      <t xml:space="preserve">, </t>
    </r>
    <r>
      <rPr>
        <b/>
        <sz val="11"/>
        <color theme="1"/>
        <rFont val="Arial"/>
        <family val="2"/>
      </rPr>
      <t>Gas</t>
    </r>
    <r>
      <rPr>
        <sz val="11"/>
        <color theme="1"/>
        <rFont val="Arial"/>
        <family val="2"/>
      </rPr>
      <t xml:space="preserve">, or </t>
    </r>
    <r>
      <rPr>
        <b/>
        <sz val="11"/>
        <color theme="1"/>
        <rFont val="Arial"/>
        <family val="2"/>
      </rPr>
      <t>Wood-burning</t>
    </r>
    <r>
      <rPr>
        <sz val="11"/>
        <color theme="1"/>
        <rFont val="Arial"/>
        <family val="2"/>
      </rPr>
      <t xml:space="preserve"> solutions.</t>
    </r>
  </si>
  <si>
    <r>
      <t xml:space="preserve">Given your standard tent solar budget is $1,000, </t>
    </r>
    <r>
      <rPr>
        <b/>
        <sz val="11"/>
        <color theme="1"/>
        <rFont val="Arial"/>
        <family val="2"/>
      </rPr>
      <t>electric heaters are generally not recommended</t>
    </r>
    <r>
      <rPr>
        <sz val="11"/>
        <color theme="1"/>
        <rFont val="Arial"/>
        <family val="2"/>
      </rPr>
      <t xml:space="preserve"> because a single 1,500W space heater would drain your entire battery in about 30 minutes.</t>
    </r>
  </si>
  <si>
    <t>Option 1: Gas (Propane) Heaters</t>
  </si>
  <si>
    <t>This is the most common "luxury" choice in Kenya (e.g., Laikipia or Mara). They are portable and provide instant heat without needing a huge solar array.</t>
  </si>
  <si>
    <t>Tent Size</t>
  </si>
  <si>
    <t>Recommended Type</t>
  </si>
  <si>
    <t>Est. Unit Cost (USD)</t>
  </si>
  <si>
    <t>Est. Unit Cost (KES)</t>
  </si>
  <si>
    <t>37 $m^2$</t>
  </si>
  <si>
    <t>Radiant/Catalytic Cabinet Heater</t>
  </si>
  <si>
    <t>KES 19,500 – 39,000</t>
  </si>
  <si>
    <t>150 $m^2$</t>
  </si>
  <si>
    <t>Mushroom/Pyramid Patio Heaters (2 units)</t>
  </si>
  <si>
    <t>$500 – $900</t>
  </si>
  <si>
    <t>KES 65,000 – 115,000</t>
  </si>
  <si>
    <r>
      <t>Pros:</t>
    </r>
    <r>
      <rPr>
        <sz val="11"/>
        <color theme="1"/>
        <rFont val="Arial"/>
        <family val="2"/>
      </rPr>
      <t xml:space="preserve"> Independent of your solar system; very effective for large volumes.</t>
    </r>
  </si>
  <si>
    <r>
      <t>Cons:</t>
    </r>
    <r>
      <rPr>
        <sz val="11"/>
        <color theme="1"/>
        <rFont val="Arial"/>
        <family val="2"/>
      </rPr>
      <t xml:space="preserve"> Requires regular refills of 13kg/35kg gas cylinders; requires ventilation.</t>
    </r>
  </si>
  <si>
    <t>Option 2: Wood-Burning Stoves</t>
  </si>
  <si>
    <t>The "Classic Safari" aesthetic. Many high-end Kenyan camps use locally fabricated or imported cast-iron stoves.</t>
  </si>
  <si>
    <t>Small Cast Iron Stove + Flue</t>
  </si>
  <si>
    <t>$400 – $700</t>
  </si>
  <si>
    <t>KES 52,000 – 90,000</t>
  </si>
  <si>
    <t>Large "Double-Burner" Stove</t>
  </si>
  <si>
    <t>$800 – $1,200</t>
  </si>
  <si>
    <t>KES 105,000 – 155,000</t>
  </si>
  <si>
    <r>
      <t>Pros:</t>
    </r>
    <r>
      <rPr>
        <sz val="11"/>
        <color theme="1"/>
        <rFont val="Arial"/>
        <family val="2"/>
      </rPr>
      <t xml:space="preserve"> Zero energy cost if wood is sourced sustainably; beautiful "cozy" atmosphere.</t>
    </r>
  </si>
  <si>
    <r>
      <t>Cons:</t>
    </r>
    <r>
      <rPr>
        <sz val="11"/>
        <color theme="1"/>
        <rFont val="Arial"/>
        <family val="2"/>
      </rPr>
      <t xml:space="preserve"> Higher installation cost (requires a chimney hole/flue through the tent roof) and daily cleaning.</t>
    </r>
  </si>
  <si>
    <r>
      <t xml:space="preserve">Option 3: Infrared (Electric) — </t>
    </r>
    <r>
      <rPr>
        <b/>
        <i/>
        <sz val="13.5"/>
        <color theme="1"/>
        <rFont val="Arial"/>
        <family val="2"/>
      </rPr>
      <t>Only if Solar is upgraded</t>
    </r>
  </si>
  <si>
    <r>
      <t xml:space="preserve">If you insist on electric, </t>
    </r>
    <r>
      <rPr>
        <b/>
        <sz val="11"/>
        <color theme="1"/>
        <rFont val="Arial"/>
        <family val="2"/>
      </rPr>
      <t>Infrared (IR) panels</t>
    </r>
    <r>
      <rPr>
        <sz val="11"/>
        <color theme="1"/>
        <rFont val="Arial"/>
        <family val="2"/>
      </rPr>
      <t xml:space="preserve"> are the only viable option. Unlike space heaters that heat air (which escapes through canvas), IR panels heat the furniture and people directly.</t>
    </r>
  </si>
  <si>
    <t>Coverage</t>
  </si>
  <si>
    <t>1 x 600W Panel</t>
  </si>
  <si>
    <t>KES 32,000 – 58,000</t>
  </si>
  <si>
    <t>4 x 1000W Panels</t>
  </si>
  <si>
    <t>$1,200 – $2,000</t>
  </si>
  <si>
    <t>KES 155,000 – 260,000</t>
  </si>
  <si>
    <r>
      <t>Critical Solar Note:</t>
    </r>
    <r>
      <rPr>
        <sz val="11"/>
        <color theme="1"/>
        <rFont val="Arial"/>
        <family val="2"/>
      </rPr>
      <t xml:space="preserve"> Even with IR panels, your $1,000 solar setup for the 37 $m^2$ tent would likely need to </t>
    </r>
    <r>
      <rPr>
        <b/>
        <sz val="11"/>
        <color theme="1"/>
        <rFont val="Arial"/>
        <family val="2"/>
      </rPr>
      <t>double</t>
    </r>
    <r>
      <rPr>
        <sz val="11"/>
        <color theme="1"/>
        <rFont val="Arial"/>
        <family val="2"/>
      </rPr>
      <t xml:space="preserve"> in size to handle a 600W heater running for 4 hours an evening.</t>
    </r>
  </si>
  <si>
    <t>Summary Recommendation</t>
  </si>
  <si>
    <r>
      <t>For the 37 $m^2$ Guest Tents:</t>
    </r>
    <r>
      <rPr>
        <sz val="11"/>
        <color theme="1"/>
        <rFont val="Arial"/>
        <family val="2"/>
      </rPr>
      <t xml:space="preserve"> Use a </t>
    </r>
    <r>
      <rPr>
        <b/>
        <sz val="11"/>
        <color theme="1"/>
        <rFont val="Arial"/>
        <family val="2"/>
      </rPr>
      <t>Gas Cabinet Heater</t>
    </r>
    <r>
      <rPr>
        <sz val="11"/>
        <color theme="1"/>
        <rFont val="Arial"/>
        <family val="2"/>
      </rPr>
      <t xml:space="preserve"> or a </t>
    </r>
    <r>
      <rPr>
        <b/>
        <sz val="11"/>
        <color theme="1"/>
        <rFont val="Arial"/>
        <family val="2"/>
      </rPr>
      <t>Small Wood Stove</t>
    </r>
    <r>
      <rPr>
        <sz val="11"/>
        <color theme="1"/>
        <rFont val="Arial"/>
        <family val="2"/>
      </rPr>
      <t>. It keeps your electrical load light and fits the "safari" vibe.</t>
    </r>
  </si>
  <si>
    <r>
      <t>For the 150 $m^2$ Retreat:</t>
    </r>
    <r>
      <rPr>
        <sz val="11"/>
        <color theme="1"/>
        <rFont val="Arial"/>
        <family val="2"/>
      </rPr>
      <t xml:space="preserve"> Use </t>
    </r>
    <r>
      <rPr>
        <b/>
        <sz val="11"/>
        <color theme="1"/>
        <rFont val="Arial"/>
        <family val="2"/>
      </rPr>
      <t>2x Pyramid Gas Heaters</t>
    </r>
    <r>
      <rPr>
        <sz val="11"/>
        <color theme="1"/>
        <rFont val="Arial"/>
        <family val="2"/>
      </rPr>
      <t>. They act as a visual centerpiece and provide enough "throw" to cover a large lounge area.</t>
    </r>
  </si>
  <si>
    <r>
      <t>For the 150 $m^2$ Kitchen:</t>
    </r>
    <r>
      <rPr>
        <sz val="11"/>
        <color theme="1"/>
        <rFont val="Arial"/>
        <family val="2"/>
      </rPr>
      <t xml:space="preserve"> Heating is usually unnecessary due to the heat generated by cooking appliances. Focus your budget on </t>
    </r>
    <r>
      <rPr>
        <b/>
        <sz val="11"/>
        <color theme="1"/>
        <rFont val="Arial"/>
        <family val="2"/>
      </rPr>
      <t>ventilation</t>
    </r>
    <r>
      <rPr>
        <sz val="11"/>
        <color theme="1"/>
        <rFont val="Arial"/>
        <family val="2"/>
      </rPr>
      <t xml:space="preserve"> and </t>
    </r>
    <r>
      <rPr>
        <b/>
        <sz val="11"/>
        <color theme="1"/>
        <rFont val="Arial"/>
        <family val="2"/>
      </rPr>
      <t>extraction</t>
    </r>
    <r>
      <rPr>
        <sz val="11"/>
        <color theme="1"/>
        <rFont val="Arial"/>
        <family val="2"/>
      </rPr>
      <t xml:space="preserve"> here instead.</t>
    </r>
  </si>
  <si>
    <t>https://gastonkenya.com/</t>
  </si>
  <si>
    <t>https://skyniks.co.ke/product/perkins-80kva-diesel-silent-generator-heavy-duty-3phase/</t>
  </si>
  <si>
    <t>WATER AND SEPTIC SYSTEM</t>
  </si>
  <si>
    <t>Estimated Cost (Low)</t>
  </si>
  <si>
    <t>Estimated Cost (High)</t>
  </si>
  <si>
    <t>Water Storage (Tanks + 9m Tower)</t>
  </si>
  <si>
    <t>$2,800</t>
  </si>
  <si>
    <t>$4,500</t>
  </si>
  <si>
    <t>Main Distribution Loop (HDPE)</t>
  </si>
  <si>
    <t>$1,500</t>
  </si>
  <si>
    <t>$2,200</t>
  </si>
  <si>
    <t>3x Bio-Digesters &amp; Soak Pits</t>
  </si>
  <si>
    <t>$3,500</t>
  </si>
  <si>
    <t>Labor &amp; Specialized Plumbing</t>
  </si>
  <si>
    <t>Total Estimated Investment</t>
  </si>
  <si>
    <t>$7,500</t>
  </si>
  <si>
    <t>$11,700</t>
  </si>
  <si>
    <t>1. Water Demand &amp; Storage Capacity</t>
  </si>
  <si>
    <t>With 22 high-end tents, your peak occupancy is likely 44–50 guests plus staff.</t>
  </si>
  <si>
    <r>
      <t>Storage:</t>
    </r>
    <r>
      <rPr>
        <sz val="11"/>
        <color theme="1"/>
        <rFont val="Arial"/>
        <family val="2"/>
      </rPr>
      <t xml:space="preserve"> 15,000 liters is still the "gold standard" for 3 days of backup.</t>
    </r>
  </si>
  <si>
    <r>
      <t>Pressure:</t>
    </r>
    <r>
      <rPr>
        <sz val="11"/>
        <color theme="1"/>
        <rFont val="Arial"/>
        <family val="2"/>
      </rPr>
      <t xml:space="preserve"> Because $37\text{ m}^2$ tents often feature larger rain-showers, you cannot rely on a low 3-meter tower. You will need a </t>
    </r>
    <r>
      <rPr>
        <b/>
        <sz val="11"/>
        <color theme="1"/>
        <rFont val="Arial"/>
        <family val="2"/>
      </rPr>
      <t>6-meter to 9-meter steel tower</t>
    </r>
    <r>
      <rPr>
        <sz val="11"/>
        <color theme="1"/>
        <rFont val="Arial"/>
        <family val="2"/>
      </rPr>
      <t xml:space="preserve"> to ensure the last tent in the line doesn't have a "drip" instead of a shower.</t>
    </r>
  </si>
  <si>
    <r>
      <t>Cost:</t>
    </r>
    <r>
      <rPr>
        <sz val="11"/>
        <color theme="1"/>
        <rFont val="Arial"/>
        <family val="2"/>
      </rPr>
      <t xml:space="preserve"> </t>
    </r>
    <r>
      <rPr>
        <b/>
        <sz val="11"/>
        <color theme="1"/>
        <rFont val="Arial"/>
        <family val="2"/>
      </rPr>
      <t>$2,800 – $4,500</t>
    </r>
  </si>
  <si>
    <t>2. The Piping Network (The "Spine")</t>
  </si>
  <si>
    <t>The layout of a 1.2-hectare plot usually requires a "loop" system to maintain even pressure.</t>
  </si>
  <si>
    <r>
      <t>Main Loop (63mm or 50mm HDPE):</t>
    </r>
    <r>
      <rPr>
        <sz val="11"/>
        <color theme="1"/>
        <rFont val="Arial"/>
        <family val="2"/>
      </rPr>
      <t xml:space="preserve"> Larger diameter ensures that when Tent 1 turns on a tap, Tent 20 doesn't lose pressure.</t>
    </r>
  </si>
  <si>
    <r>
      <t>Sub-connections:</t>
    </r>
    <r>
      <rPr>
        <sz val="11"/>
        <color theme="1"/>
        <rFont val="Arial"/>
        <family val="2"/>
      </rPr>
      <t xml:space="preserve"> 22 points of connection using heavy-duty PN16 compression fittings.</t>
    </r>
  </si>
  <si>
    <r>
      <t>Cost:</t>
    </r>
    <r>
      <rPr>
        <sz val="11"/>
        <color theme="1"/>
        <rFont val="Arial"/>
        <family val="2"/>
      </rPr>
      <t xml:space="preserve"> </t>
    </r>
    <r>
      <rPr>
        <b/>
        <sz val="11"/>
        <color theme="1"/>
        <rFont val="Arial"/>
        <family val="2"/>
      </rPr>
      <t>$1,500 – $2,200</t>
    </r>
    <r>
      <rPr>
        <sz val="11"/>
        <color theme="1"/>
        <rFont val="Arial"/>
        <family val="2"/>
      </rPr>
      <t xml:space="preserve"> (Materials + Trenching).</t>
    </r>
  </si>
  <si>
    <t>3. Bio-Sanitation (The "Settlers")</t>
  </si>
  <si>
    <t>With larger tents, you likely have more "Grey Water" (from showers/sinks) alongside the "Black Water" (from toilets).</t>
  </si>
  <si>
    <r>
      <t>Recommendation:</t>
    </r>
    <r>
      <rPr>
        <sz val="11"/>
        <color theme="1"/>
        <rFont val="Arial"/>
        <family val="2"/>
      </rPr>
      <t xml:space="preserve"> Use </t>
    </r>
    <r>
      <rPr>
        <b/>
        <sz val="11"/>
        <color theme="1"/>
        <rFont val="Arial"/>
        <family val="2"/>
      </rPr>
      <t>3 Large Bio-digester Tanks</t>
    </r>
    <r>
      <rPr>
        <sz val="11"/>
        <color theme="1"/>
        <rFont val="Arial"/>
        <family val="2"/>
      </rPr>
      <t xml:space="preserve"> ($2\text{ m}^3$ each) placed in clusters.</t>
    </r>
  </si>
  <si>
    <t>Cluster 1: 7 Tents</t>
  </si>
  <si>
    <t>Cluster 2: 7 Tents</t>
  </si>
  <si>
    <t>Cluster 3: 6 Tents + 2 Luxury Tents</t>
  </si>
  <si>
    <r>
      <t>Cost:</t>
    </r>
    <r>
      <rPr>
        <sz val="11"/>
        <color theme="1"/>
        <rFont val="Arial"/>
        <family val="2"/>
      </rPr>
      <t xml:space="preserve"> </t>
    </r>
    <r>
      <rPr>
        <b/>
        <sz val="11"/>
        <color theme="1"/>
        <rFont val="Arial"/>
        <family val="2"/>
      </rPr>
      <t>$2,200 – $3,500</t>
    </r>
    <r>
      <rPr>
        <sz val="11"/>
        <color theme="1"/>
        <rFont val="Arial"/>
        <family val="2"/>
      </rPr>
      <t xml:space="preserve"> (Includes the digesters, enzyme starters, and soak pits).</t>
    </r>
  </si>
  <si>
    <t>4. Internal Fixtures &amp; Connections</t>
  </si>
  <si>
    <t>This covers the "simple" plumbing from the main line into the tent's bathroom area.</t>
  </si>
  <si>
    <r>
      <t>20 Standard Tents:</t>
    </r>
    <r>
      <rPr>
        <sz val="11"/>
        <color theme="1"/>
        <rFont val="Arial"/>
        <family val="2"/>
      </rPr>
      <t xml:space="preserve"> ~$70 per tent for piping, valves, and flexi-pipes.</t>
    </r>
  </si>
  <si>
    <r>
      <t>2 Luxury Tents ($150\text{ m}^2$):</t>
    </r>
    <r>
      <rPr>
        <sz val="11"/>
        <color theme="1"/>
        <rFont val="Arial"/>
        <family val="2"/>
      </rPr>
      <t xml:space="preserve"> These likely have double vanities or larger layouts. ~$200 per tent.</t>
    </r>
  </si>
  <si>
    <r>
      <t>Cost:</t>
    </r>
    <r>
      <rPr>
        <sz val="11"/>
        <color theme="1"/>
        <rFont val="Arial"/>
        <family val="2"/>
      </rPr>
      <t xml:space="preserve"> </t>
    </r>
    <r>
      <rPr>
        <b/>
        <sz val="11"/>
        <color theme="1"/>
        <rFont val="Arial"/>
        <family val="2"/>
      </rPr>
      <t>$1,800 – $2,300</t>
    </r>
    <r>
      <rPr>
        <sz val="11"/>
        <color theme="1"/>
        <rFont val="Arial"/>
        <family val="2"/>
      </rPr>
      <t>.</t>
    </r>
  </si>
  <si>
    <t>Water and septic system in the camping</t>
  </si>
  <si>
    <t>Managing Construction site. Estimated time:</t>
  </si>
  <si>
    <t>months</t>
  </si>
  <si>
    <t>Construction supervision and marketing, per month :</t>
  </si>
  <si>
    <t>Estimated Cost</t>
  </si>
  <si>
    <t>Why?</t>
  </si>
  <si>
    <t>Government Filing</t>
  </si>
  <si>
    <t>$85 – $150</t>
  </si>
  <si>
    <t>Official eCitizen fees.</t>
  </si>
  <si>
    <t>Legal/Advocate Fees</t>
  </si>
  <si>
    <t>$2,000 – $3,500</t>
  </si>
  <si>
    <t>Complex structuring for $500k assets.</t>
  </si>
  <si>
    <t>Notary &amp; Document Prep</t>
  </si>
  <si>
    <t>$200 – $500</t>
  </si>
  <si>
    <t>Verification of foreign directors.</t>
  </si>
  <si>
    <t>KenInvest Certificate</t>
  </si>
  <si>
    <t>$0 – $200</t>
  </si>
  <si>
    <t>Facilitation for major investors.</t>
  </si>
  <si>
    <t>Contingency/Permits</t>
  </si>
  <si>
    <t>$500</t>
  </si>
  <si>
    <t>Initial county-level business licenses.</t>
  </si>
  <si>
    <t>$2,985 – $4,850</t>
  </si>
  <si>
    <t>Estimation</t>
  </si>
  <si>
    <t>Additions</t>
  </si>
  <si>
    <t>Tourism Licenses (TRA Tourism Regulatory Authorities)</t>
  </si>
  <si>
    <t>KES (approx.)</t>
  </si>
  <si>
    <t>USD (approx.)</t>
  </si>
  <si>
    <t>Notes</t>
  </si>
  <si>
    <t>Application Fee</t>
  </si>
  <si>
    <t>KES 1,000 – 5,000</t>
  </si>
  <si>
    <t>$8 – $40</t>
  </si>
  <si>
    <t>One-time non-refundable fee.</t>
  </si>
  <si>
    <t>Annual License Fee</t>
  </si>
  <si>
    <t>KES 20,000 – 80,000</t>
  </si>
  <si>
    <t>$150 – $600</t>
  </si>
  <si>
    <t>Depends on the "star rating" or class.</t>
  </si>
  <si>
    <t>Inspection Fee</t>
  </si>
  <si>
    <t>KES 5,000 – 15,000</t>
  </si>
  <si>
    <t>$40 – $115</t>
  </si>
  <si>
    <t>Paid when officers visit to verify standards.</t>
  </si>
  <si>
    <t>Tourism Catering Levy</t>
  </si>
  <si>
    <t>2% of Gross Sales</t>
  </si>
  <si>
    <t>Variable</t>
  </si>
  <si>
    <t>Monthly payment once you start hosting guests.</t>
  </si>
  <si>
    <t>Total Initial Budget</t>
  </si>
  <si>
    <t>$500 – $1,200</t>
  </si>
  <si>
    <t>For first-year compliance.</t>
  </si>
  <si>
    <t>Sub-total</t>
  </si>
  <si>
    <t>OPEX</t>
  </si>
  <si>
    <t>Land Lease lawyers fees</t>
  </si>
  <si>
    <t>Legal and similar fees for opening</t>
  </si>
  <si>
    <t>LEGAL FEES</t>
  </si>
  <si>
    <t>TOTAL CAPEX and ONE-OFF COSTS:</t>
  </si>
  <si>
    <t>Fundraising fees. Finance Management.</t>
  </si>
  <si>
    <t>Outdoor electrical system (main distribution board, underground cabling across camp, poles/trenching, generator housing slab, lightning protection). CCTV. Security post.</t>
  </si>
  <si>
    <t>Estimated Cost (KSh)</t>
  </si>
  <si>
    <t>MDB &amp; ATS System</t>
  </si>
  <si>
    <t>Industrial grade, IP65 rated.</t>
  </si>
  <si>
    <t>Armoured Cabling</t>
  </si>
  <si>
    <t>Based on ~500m average total run.</t>
  </si>
  <si>
    <t>Civil Works (Slab/Cage)</t>
  </si>
  <si>
    <t>Essential for noise &amp; security.</t>
  </si>
  <si>
    <t>Trenching &amp; Labor</t>
  </si>
  <si>
    <t>Deep trenching is labor-intensive.</t>
  </si>
  <si>
    <t>Lightning Protection</t>
  </si>
  <si>
    <t>Critical for camp safety.</t>
  </si>
  <si>
    <t>Sundries (Poles, Lugs)</t>
  </si>
  <si>
    <t>Terminations, signage, tape.</t>
  </si>
  <si>
    <t>KSh 3,000,000</t>
  </si>
  <si>
    <t>OUTDOOR ELECTRICAL SYSTEMS</t>
  </si>
  <si>
    <t>Cost Breakdown (Estimated 2026 Rates)</t>
  </si>
  <si>
    <t>1. Main Distribution Board (MDB) &amp; ATS</t>
  </si>
  <si>
    <r>
      <t xml:space="preserve">The "brain" of your camp's power. It must include an </t>
    </r>
    <r>
      <rPr>
        <b/>
        <sz val="11"/>
        <color theme="1"/>
        <rFont val="Aptos Narrow"/>
        <family val="2"/>
        <scheme val="minor"/>
      </rPr>
      <t>Automatic Transfer Switch (ATS)</t>
    </r>
    <r>
      <rPr>
        <sz val="11"/>
        <color theme="1"/>
        <rFont val="Aptos Narrow"/>
        <family val="2"/>
        <scheme val="minor"/>
      </rPr>
      <t xml:space="preserve"> for the 80 kVA generator.</t>
    </r>
  </si>
  <si>
    <r>
      <t>MDB + 160A-200A ATS:</t>
    </r>
    <r>
      <rPr>
        <sz val="11"/>
        <color theme="1"/>
        <rFont val="Aptos Narrow"/>
        <family val="2"/>
        <scheme val="minor"/>
      </rPr>
      <t xml:space="preserve"> KSh 450,000 – KSh 850,000.</t>
    </r>
  </si>
  <si>
    <r>
      <t>Features:</t>
    </r>
    <r>
      <rPr>
        <sz val="11"/>
        <color theme="1"/>
        <rFont val="Aptos Narrow"/>
        <family val="2"/>
        <scheme val="minor"/>
      </rPr>
      <t xml:space="preserve"> Includes surge protectors, phase failure monitors, and sub-metering for different camp zones (e.g., kitchen vs. guest tents).</t>
    </r>
  </si>
  <si>
    <t>2. Underground Cabling (The Largest Expense)</t>
  </si>
  <si>
    <t>Safari camps avoid overhead lines to preserve the view and prevent giraffe/elephant interference.</t>
  </si>
  <si>
    <r>
      <t>Armoured Cable (4-Core, 25mm² to 70mm²):</t>
    </r>
    <r>
      <rPr>
        <sz val="11"/>
        <color theme="1"/>
        <rFont val="Aptos Narrow"/>
        <family val="2"/>
        <scheme val="minor"/>
      </rPr>
      <t xml:space="preserve"> KSh 1,200 – KSh 3,500 per meter (supply only).</t>
    </r>
  </si>
  <si>
    <r>
      <t>Total for ~500m of cabling:</t>
    </r>
    <r>
      <rPr>
        <sz val="11"/>
        <color theme="1"/>
        <rFont val="Aptos Narrow"/>
        <family val="2"/>
        <scheme val="minor"/>
      </rPr>
      <t xml:space="preserve"> KSh 800,000 – KSh 1,500,000.</t>
    </r>
  </si>
  <si>
    <r>
      <t>Why so high?</t>
    </r>
    <r>
      <rPr>
        <sz val="11"/>
        <color theme="1"/>
        <rFont val="Aptos Narrow"/>
        <family val="2"/>
        <scheme val="minor"/>
      </rPr>
      <t xml:space="preserve"> You need heavy-gauge copper to prevent "voltage drop" over the long distances between the generator and the furthest guest tent.</t>
    </r>
  </si>
  <si>
    <t>3. Trenching &amp; Civil Works</t>
  </si>
  <si>
    <t>In the bush, trenches must be deep (at least 600mm–800mm) and lined with "warning tape" and sand to prevent damage from burrowing animals or heavy safari vehicles.</t>
  </si>
  <si>
    <r>
      <t>Manual Trenching + Backfilling:</t>
    </r>
    <r>
      <rPr>
        <sz val="11"/>
        <color theme="1"/>
        <rFont val="Aptos Narrow"/>
        <family val="2"/>
        <scheme val="minor"/>
      </rPr>
      <t xml:space="preserve"> KSh 300 – KSh 600 per linear meter.</t>
    </r>
  </si>
  <si>
    <r>
      <t>Concrete Generator Slab (Plinth):</t>
    </r>
    <r>
      <rPr>
        <sz val="11"/>
        <color theme="1"/>
        <rFont val="Aptos Narrow"/>
        <family val="2"/>
        <scheme val="minor"/>
      </rPr>
      <t xml:space="preserve"> KSh 80,000 – KSh 150,000 (includes reinforcement for vibration).</t>
    </r>
  </si>
  <si>
    <r>
      <t>Generator Housing (Mesh Cage + Roof):</t>
    </r>
    <r>
      <rPr>
        <sz val="11"/>
        <color theme="1"/>
        <rFont val="Aptos Narrow"/>
        <family val="2"/>
        <scheme val="minor"/>
      </rPr>
      <t xml:space="preserve"> KSh 200,000 – KSh 400,000.</t>
    </r>
  </si>
  <si>
    <t>4. Lightning Protection System</t>
  </si>
  <si>
    <t>Critical for camps on open plains or near high ridges.</t>
  </si>
  <si>
    <r>
      <t>ESE (Early Streamer Emission) System:</t>
    </r>
    <r>
      <rPr>
        <sz val="11"/>
        <color theme="1"/>
        <rFont val="Aptos Narrow"/>
        <family val="2"/>
        <scheme val="minor"/>
      </rPr>
      <t xml:space="preserve"> KSh 180,000 – KSh 300,000.</t>
    </r>
  </si>
  <si>
    <r>
      <t>Components:</t>
    </r>
    <r>
      <rPr>
        <sz val="11"/>
        <color theme="1"/>
        <rFont val="Aptos Narrow"/>
        <family val="2"/>
        <scheme val="minor"/>
      </rPr>
      <t xml:space="preserve"> High-mast rod, down-conductors, and deep-earth copper mats (resistance must be below 1 Ohm).</t>
    </r>
  </si>
  <si>
    <t>Important Considerations for Safari Camps</t>
  </si>
  <si>
    <r>
      <t>Elephant Damage:</t>
    </r>
    <r>
      <rPr>
        <sz val="11"/>
        <color theme="1"/>
        <rFont val="Aptos Narrow"/>
        <family val="2"/>
        <scheme val="minor"/>
      </rPr>
      <t xml:space="preserve"> If you use poles for any section, they must be reinforced with "elephant-proof" concrete bases or spikes, as elephants love to use poles as scratching posts.</t>
    </r>
  </si>
  <si>
    <r>
      <t>Voltage Drop:</t>
    </r>
    <r>
      <rPr>
        <sz val="11"/>
        <color theme="1"/>
        <rFont val="Aptos Narrow"/>
        <family val="2"/>
        <scheme val="minor"/>
      </rPr>
      <t xml:space="preserve"> If your camp is very spread out (e.g., tents are 1km away), you may need a </t>
    </r>
    <r>
      <rPr>
        <b/>
        <sz val="11"/>
        <color theme="1"/>
        <rFont val="Aptos Narrow"/>
        <family val="2"/>
        <scheme val="minor"/>
      </rPr>
      <t>Step-up/Step-down Transformer</t>
    </r>
    <r>
      <rPr>
        <sz val="11"/>
        <color theme="1"/>
        <rFont val="Aptos Narrow"/>
        <family val="2"/>
        <scheme val="minor"/>
      </rPr>
      <t xml:space="preserve"> system, which can add another KSh 1.5M to the cost.</t>
    </r>
  </si>
  <si>
    <r>
      <t>Termite Protection:</t>
    </r>
    <r>
      <rPr>
        <sz val="11"/>
        <color theme="1"/>
        <rFont val="Aptos Narrow"/>
        <family val="2"/>
        <scheme val="minor"/>
      </rPr>
      <t xml:space="preserve"> Ensure all cables are "SWA" (Steel Wire Armoured) and that entry points into tents are sealed with specialized glands to prevent insects from entering electrical boxes.</t>
    </r>
  </si>
  <si>
    <r>
      <t>Note:</t>
    </r>
    <r>
      <rPr>
        <sz val="11"/>
        <color theme="1"/>
        <rFont val="Aptos Narrow"/>
        <family val="2"/>
        <scheme val="minor"/>
      </rPr>
      <t xml:space="preserve"> These prices exclude the cost of the generator itself. Labor rates can vary significantly depending on how remote your camp location is (logistics for the crew and materials).</t>
    </r>
  </si>
  <si>
    <t>Back of the camp (where staff quarters, the kitchen, and the 80 kVA generator are located)</t>
  </si>
  <si>
    <t>FENCING</t>
  </si>
  <si>
    <t>Materials &amp; Labor (800m @ $14/m avg)</t>
  </si>
  <si>
    <t>$11,200</t>
  </si>
  <si>
    <t>High-Joule Solar Energizer System</t>
  </si>
  <si>
    <t>$1,200</t>
  </si>
  <si>
    <t>Battery Backup &amp; Solar Panels</t>
  </si>
  <si>
    <t>$800</t>
  </si>
  <si>
    <t>Elephant-Proof "Offset" Brackets</t>
  </si>
  <si>
    <t>Total Estimated Cost</t>
  </si>
  <si>
    <t>$14,700</t>
  </si>
  <si>
    <r>
      <t xml:space="preserve">To estimate the fencing cost, we first need to determine the </t>
    </r>
    <r>
      <rPr>
        <b/>
        <sz val="11"/>
        <color theme="1"/>
        <rFont val="Aptos Narrow"/>
        <family val="2"/>
        <scheme val="minor"/>
      </rPr>
      <t>perimeter</t>
    </r>
    <r>
      <rPr>
        <sz val="11"/>
        <color theme="1"/>
        <rFont val="Aptos Narrow"/>
        <family val="2"/>
        <scheme val="minor"/>
      </rPr>
      <t xml:space="preserve"> of your camp. A 24-tent safari camp (22 standard + 2 large) is typically spread out to ensure guest privacy, usually covering a "footprint" of about </t>
    </r>
    <r>
      <rPr>
        <b/>
        <sz val="11"/>
        <color theme="1"/>
        <rFont val="Aptos Narrow"/>
        <family val="2"/>
        <scheme val="minor"/>
      </rPr>
      <t>5 to 8 acres</t>
    </r>
    <r>
      <rPr>
        <sz val="11"/>
        <color theme="1"/>
        <rFont val="Aptos Narrow"/>
        <family val="2"/>
        <scheme val="minor"/>
      </rPr>
      <t xml:space="preserve"> (approx. 600 to 900 linear meters of fencing).</t>
    </r>
  </si>
  <si>
    <r>
      <t xml:space="preserve">For a high-end safari camp in Kenya, you wouldn't use a "prison-style" wall. You would use a </t>
    </r>
    <r>
      <rPr>
        <b/>
        <sz val="11"/>
        <color theme="1"/>
        <rFont val="Aptos Narrow"/>
        <family val="2"/>
        <scheme val="minor"/>
      </rPr>
      <t>Free-Standing Electric Fence</t>
    </r>
    <r>
      <rPr>
        <sz val="11"/>
        <color theme="1"/>
        <rFont val="Aptos Narrow"/>
        <family val="2"/>
        <scheme val="minor"/>
      </rPr>
      <t xml:space="preserve"> (typically 8 to 12 strands) designed to be a psychological deterrent for elephants and predators while remaining low-profile.</t>
    </r>
  </si>
  <si>
    <t>1. Perimeter Calculation</t>
  </si>
  <si>
    <r>
      <t>Total Tents:</t>
    </r>
    <r>
      <rPr>
        <sz val="11"/>
        <color theme="1"/>
        <rFont val="Aptos Narrow"/>
        <family val="2"/>
        <scheme val="minor"/>
      </rPr>
      <t xml:space="preserve"> 24 units.</t>
    </r>
  </si>
  <si>
    <r>
      <t>Estimated spacing:</t>
    </r>
    <r>
      <rPr>
        <sz val="11"/>
        <color theme="1"/>
        <rFont val="Aptos Narrow"/>
        <family val="2"/>
        <scheme val="minor"/>
      </rPr>
      <t xml:space="preserve"> ~15m–20m between tents + central mess area.</t>
    </r>
  </si>
  <si>
    <r>
      <t>Estimated Perimeter:</t>
    </r>
    <r>
      <rPr>
        <sz val="11"/>
        <color theme="1"/>
        <rFont val="Aptos Narrow"/>
        <family val="2"/>
        <scheme val="minor"/>
      </rPr>
      <t xml:space="preserve"> </t>
    </r>
    <r>
      <rPr>
        <b/>
        <sz val="11"/>
        <color theme="1"/>
        <rFont val="Aptos Narrow"/>
        <family val="2"/>
        <scheme val="minor"/>
      </rPr>
      <t>800 meters</t>
    </r>
    <r>
      <rPr>
        <sz val="11"/>
        <color theme="1"/>
        <rFont val="Aptos Narrow"/>
        <family val="2"/>
        <scheme val="minor"/>
      </rPr>
      <t xml:space="preserve"> (This allows for a comfortable, non-crowded layout).</t>
    </r>
  </si>
  <si>
    <t>2. Cost per Meter (2026 Rates)</t>
  </si>
  <si>
    <r>
      <t xml:space="preserve">In Kenya, a professional free-standing electric fence for wildlife areas ranges from </t>
    </r>
    <r>
      <rPr>
        <b/>
        <sz val="11"/>
        <color theme="1"/>
        <rFont val="Aptos Narrow"/>
        <family val="2"/>
        <scheme val="minor"/>
      </rPr>
      <t>$10 to $18 per linear meter</t>
    </r>
    <r>
      <rPr>
        <sz val="11"/>
        <color theme="1"/>
        <rFont val="Aptos Narrow"/>
        <family val="2"/>
        <scheme val="minor"/>
      </rPr>
      <t xml:space="preserve"> (KSh 1,300 – KSh 2,300), including labor and high-end materials.</t>
    </r>
  </si>
  <si>
    <t>Breakdown of the "Safari Grade" Fence</t>
  </si>
  <si>
    <r>
      <t xml:space="preserve">Since you are protecting 24 tents (a significant investment), a "standard" home security fence is insufficient. You need a </t>
    </r>
    <r>
      <rPr>
        <b/>
        <sz val="11"/>
        <color theme="1"/>
        <rFont val="Aptos Narrow"/>
        <family val="2"/>
        <scheme val="minor"/>
      </rPr>
      <t>Wildlife Deterrent System</t>
    </r>
    <r>
      <rPr>
        <sz val="11"/>
        <color theme="1"/>
        <rFont val="Aptos Narrow"/>
        <family val="2"/>
        <scheme val="minor"/>
      </rPr>
      <t>:</t>
    </r>
  </si>
  <si>
    <r>
      <t>The Energizer ($1,200+):</t>
    </r>
    <r>
      <rPr>
        <sz val="11"/>
        <color theme="1"/>
        <rFont val="Aptos Narrow"/>
        <family val="2"/>
        <scheme val="minor"/>
      </rPr>
      <t xml:space="preserve"> You need a "high-joule" energizer (like a </t>
    </r>
    <r>
      <rPr>
        <b/>
        <sz val="11"/>
        <color theme="1"/>
        <rFont val="Aptos Narrow"/>
        <family val="2"/>
        <scheme val="minor"/>
      </rPr>
      <t>Stafix X12i</t>
    </r>
    <r>
      <rPr>
        <sz val="11"/>
        <color theme="1"/>
        <rFont val="Aptos Narrow"/>
        <family val="2"/>
        <scheme val="minor"/>
      </rPr>
      <t xml:space="preserve"> or </t>
    </r>
    <r>
      <rPr>
        <b/>
        <sz val="11"/>
        <color theme="1"/>
        <rFont val="Aptos Narrow"/>
        <family val="2"/>
        <scheme val="minor"/>
      </rPr>
      <t>Gallagher M5800i</t>
    </r>
    <r>
      <rPr>
        <sz val="11"/>
        <color theme="1"/>
        <rFont val="Aptos Narrow"/>
        <family val="2"/>
        <scheme val="minor"/>
      </rPr>
      <t>). Elephants have thick skin; a standard domestic energizer will not stop them. These units are more expensive but critical for camp safety.</t>
    </r>
  </si>
  <si>
    <r>
      <t>Solar-Powered:</t>
    </r>
    <r>
      <rPr>
        <sz val="11"/>
        <color theme="1"/>
        <rFont val="Aptos Narrow"/>
        <family val="2"/>
        <scheme val="minor"/>
      </rPr>
      <t xml:space="preserve"> Because the fence is likely far from your generator, you will need a dedicated solar system (panels + deep cycle batteries) to keep the fence "live" 24/7, even when the generator is off.</t>
    </r>
  </si>
  <si>
    <r>
      <t>The "Invisible" Look:</t>
    </r>
    <r>
      <rPr>
        <sz val="11"/>
        <color theme="1"/>
        <rFont val="Aptos Narrow"/>
        <family val="2"/>
        <scheme val="minor"/>
      </rPr>
      <t xml:space="preserve"> To keep the "unfenced" feel you remembered from Tanzania, you use </t>
    </r>
    <r>
      <rPr>
        <b/>
        <sz val="11"/>
        <color theme="1"/>
        <rFont val="Aptos Narrow"/>
        <family val="2"/>
        <scheme val="minor"/>
      </rPr>
      <t>dark-coated wires</t>
    </r>
    <r>
      <rPr>
        <sz val="11"/>
        <color theme="1"/>
        <rFont val="Aptos Narrow"/>
        <family val="2"/>
        <scheme val="minor"/>
      </rPr>
      <t xml:space="preserve"> and </t>
    </r>
    <r>
      <rPr>
        <b/>
        <sz val="11"/>
        <color theme="1"/>
        <rFont val="Aptos Narrow"/>
        <family val="2"/>
        <scheme val="minor"/>
      </rPr>
      <t>natural wood or recycled plastic posts</t>
    </r>
    <r>
      <rPr>
        <sz val="11"/>
        <color theme="1"/>
        <rFont val="Aptos Narrow"/>
        <family val="2"/>
        <scheme val="minor"/>
      </rPr>
      <t xml:space="preserve"> that disappear into the bush at a distance of 30 meters.</t>
    </r>
  </si>
  <si>
    <t>Summary: Total USD Investment</t>
  </si>
  <si>
    <r>
      <t xml:space="preserve">For a 24-tent camp layout, you should budget approximately </t>
    </r>
    <r>
      <rPr>
        <b/>
        <sz val="11"/>
        <color theme="1"/>
        <rFont val="Aptos Narrow"/>
        <family val="2"/>
        <scheme val="minor"/>
      </rPr>
      <t>$15,000 USD</t>
    </r>
    <r>
      <rPr>
        <sz val="11"/>
        <color theme="1"/>
        <rFont val="Aptos Narrow"/>
        <family val="2"/>
        <scheme val="minor"/>
      </rPr>
      <t xml:space="preserve"> for a professional, elephant-proof electric perimeter.</t>
    </r>
  </si>
  <si>
    <r>
      <t>Pro-Tip:</t>
    </r>
    <r>
      <rPr>
        <sz val="11"/>
        <color theme="1"/>
        <rFont val="Aptos Narrow"/>
        <family val="2"/>
        <scheme val="minor"/>
      </rPr>
      <t xml:space="preserve"> If your budget is tight, you don't have to fence the </t>
    </r>
    <r>
      <rPr>
        <i/>
        <sz val="11"/>
        <color theme="1"/>
        <rFont val="Aptos Narrow"/>
        <family val="2"/>
        <scheme val="minor"/>
      </rPr>
      <t>entire</t>
    </r>
    <r>
      <rPr>
        <sz val="11"/>
        <color theme="1"/>
        <rFont val="Aptos Narrow"/>
        <family val="2"/>
        <scheme val="minor"/>
      </rPr>
      <t xml:space="preserve"> camp. Many lodges only fence the </t>
    </r>
    <r>
      <rPr>
        <b/>
        <sz val="11"/>
        <color theme="1"/>
        <rFont val="Aptos Narrow"/>
        <family val="2"/>
        <scheme val="minor"/>
      </rPr>
      <t>back of the camp</t>
    </r>
    <r>
      <rPr>
        <sz val="11"/>
        <color theme="1"/>
        <rFont val="Aptos Narrow"/>
        <family val="2"/>
        <scheme val="minor"/>
      </rPr>
      <t xml:space="preserve"> (where staff quarters, the kitchen, and the 80 kVA generator are located) and leave the guest tents open, relying on night guards (</t>
    </r>
    <r>
      <rPr>
        <i/>
        <sz val="11"/>
        <color theme="1"/>
        <rFont val="Aptos Narrow"/>
        <family val="2"/>
        <scheme val="minor"/>
      </rPr>
      <t>Askaris</t>
    </r>
    <r>
      <rPr>
        <sz val="11"/>
        <color theme="1"/>
        <rFont val="Aptos Narrow"/>
        <family val="2"/>
        <scheme val="minor"/>
      </rPr>
      <t>). This can cut your fencing budget in half (</t>
    </r>
    <r>
      <rPr>
        <b/>
        <sz val="11"/>
        <color theme="1"/>
        <rFont val="Aptos Narrow"/>
        <family val="2"/>
        <scheme val="minor"/>
      </rPr>
      <t>~$7,500 USD</t>
    </r>
    <r>
      <rPr>
        <sz val="11"/>
        <color theme="1"/>
        <rFont val="Aptos Narrow"/>
        <family val="2"/>
        <scheme val="minor"/>
      </rPr>
      <t>).</t>
    </r>
  </si>
  <si>
    <t>Fireplace and safety compliance (benches, chaise lounges, hammocks, fire extinguishers, emergency lighting, signage, staff training). OSHA training.</t>
  </si>
  <si>
    <t>FIREPLACE</t>
  </si>
  <si>
    <t>Realistic Cost ($)</t>
  </si>
  <si>
    <t>Fireplace &amp; Boma</t>
  </si>
  <si>
    <t>Furniture (Lounge/Benches)</t>
  </si>
  <si>
    <t>Safety Equipment &amp; Signs</t>
  </si>
  <si>
    <t>Staff Training (OSHA)</t>
  </si>
  <si>
    <r>
      <t>Advanced Sand/Cabro Base:</t>
    </r>
    <r>
      <rPr>
        <sz val="10"/>
        <rFont val="Arial"/>
        <family val="2"/>
      </rPr>
      <t xml:space="preserve"> </t>
    </r>
    <r>
      <rPr>
        <b/>
        <sz val="10"/>
        <rFont val="Arial"/>
        <family val="2"/>
      </rPr>
      <t>~$1,000 – $1,400</t>
    </r>
  </si>
  <si>
    <r>
      <t>Raised Wooden Platform:</t>
    </r>
    <r>
      <rPr>
        <sz val="10"/>
        <rFont val="Arial"/>
        <family val="2"/>
      </rPr>
      <t xml:space="preserve"> ~$4,000 – $7,000</t>
    </r>
  </si>
  <si>
    <t>CASHFLOWS FROM OPERATIONS</t>
  </si>
  <si>
    <t>PROJECT CASHFLOWS</t>
  </si>
  <si>
    <t>CAPEX and ONE-OFF COSTS</t>
  </si>
  <si>
    <t>Estimated bank rate for the working capital financing</t>
  </si>
  <si>
    <t>Accumulatively</t>
  </si>
  <si>
    <t>Investor earns</t>
  </si>
  <si>
    <t>Property and business interruption insurance</t>
  </si>
  <si>
    <t>1. Estimated Annual Premium</t>
  </si>
  <si>
    <r>
      <t xml:space="preserve">In the Kenyan market, premiums for luxury tented camps typically range from </t>
    </r>
    <r>
      <rPr>
        <b/>
        <sz val="11"/>
        <color theme="1"/>
        <rFont val="Aptos Narrow"/>
        <family val="2"/>
        <scheme val="minor"/>
      </rPr>
      <t>0.5% to 1.5%</t>
    </r>
    <r>
      <rPr>
        <sz val="11"/>
        <color theme="1"/>
        <rFont val="Aptos Narrow"/>
        <family val="2"/>
        <scheme val="minor"/>
      </rPr>
      <t xml:space="preserve"> of the asset value per year, depending on the location's risk (e.g., flood zones or high-wind areas).</t>
    </r>
  </si>
  <si>
    <t>Calculation (Estimate)</t>
  </si>
  <si>
    <t>Annual Cost (USD)</t>
  </si>
  <si>
    <t>Basic Property Cover</t>
  </si>
  <si>
    <t>0.8% of $460k</t>
  </si>
  <si>
    <t>$3,680</t>
  </si>
  <si>
    <t>Weather/Natural Disaster Add-on</t>
  </si>
  <si>
    <t>$920</t>
  </si>
  <si>
    <t>Public Liability (Essential)</t>
  </si>
  <si>
    <t>Fixed limit</t>
  </si>
  <si>
    <t>$500 – $1,000</t>
  </si>
  <si>
    <t>Total Estimated Premium</t>
  </si>
  <si>
    <t>~ 1.1%</t>
  </si>
  <si>
    <t>$5,100 – $5,600</t>
  </si>
  <si>
    <t>2. What "Weather Condition" Cover Includes</t>
  </si>
  <si>
    <r>
      <t xml:space="preserve">Standard Kenyan policies for safari lodges (often called </t>
    </r>
    <r>
      <rPr>
        <b/>
        <sz val="11"/>
        <color theme="1"/>
        <rFont val="Aptos Narrow"/>
        <family val="2"/>
        <scheme val="minor"/>
      </rPr>
      <t>Fire and Allied Perils</t>
    </r>
    <r>
      <rPr>
        <sz val="11"/>
        <color theme="1"/>
        <rFont val="Aptos Narrow"/>
        <family val="2"/>
        <scheme val="minor"/>
      </rPr>
      <t>) cover:</t>
    </r>
  </si>
  <si>
    <r>
      <t>Storm and Tempest:</t>
    </r>
    <r>
      <rPr>
        <sz val="11"/>
        <color theme="1"/>
        <rFont val="Aptos Narrow"/>
        <family val="2"/>
        <scheme val="minor"/>
      </rPr>
      <t xml:space="preserve"> Damage from heavy winds or rain (crucial for canvas structures).</t>
    </r>
  </si>
  <si>
    <r>
      <t>Floods:</t>
    </r>
    <r>
      <rPr>
        <sz val="11"/>
        <color theme="1"/>
        <rFont val="Aptos Narrow"/>
        <family val="2"/>
        <scheme val="minor"/>
      </rPr>
      <t xml:space="preserve"> Coverage for camps near seasonal rivers (luggas).</t>
    </r>
  </si>
  <si>
    <r>
      <t>Lightning:</t>
    </r>
    <r>
      <rPr>
        <sz val="11"/>
        <color theme="1"/>
        <rFont val="Aptos Narrow"/>
        <family val="2"/>
        <scheme val="minor"/>
      </rPr>
      <t xml:space="preserve"> A common cause of fire in remote, high-altitude bush areas.</t>
    </r>
  </si>
  <si>
    <r>
      <t>Hail:</t>
    </r>
    <r>
      <rPr>
        <sz val="11"/>
        <color theme="1"/>
        <rFont val="Aptos Narrow"/>
        <family val="2"/>
        <scheme val="minor"/>
      </rPr>
      <t xml:space="preserve"> Though rare, it can shred canvas in specific regions like Laikipia or the Rift Valley.</t>
    </r>
  </si>
  <si>
    <t>3. Critical Considerations for Tents</t>
  </si>
  <si>
    <r>
      <t>The "Wear and Tear" Exclusion:</t>
    </r>
    <r>
      <rPr>
        <sz val="11"/>
        <color theme="1"/>
        <rFont val="Aptos Narrow"/>
        <family val="2"/>
        <scheme val="minor"/>
      </rPr>
      <t xml:space="preserve"> Insurers are wary of canvas. They will cover a tent blown away by a storm, but they will </t>
    </r>
    <r>
      <rPr>
        <b/>
        <sz val="11"/>
        <color theme="1"/>
        <rFont val="Aptos Narrow"/>
        <family val="2"/>
        <scheme val="minor"/>
      </rPr>
      <t>not</t>
    </r>
    <r>
      <rPr>
        <sz val="11"/>
        <color theme="1"/>
        <rFont val="Aptos Narrow"/>
        <family val="2"/>
        <scheme val="minor"/>
      </rPr>
      <t xml:space="preserve"> cover a tent that leaks because the fabric is old or degraded by UV rays.</t>
    </r>
  </si>
  <si>
    <r>
      <t>Replacement Value vs. Indemnity:</t>
    </r>
    <r>
      <rPr>
        <sz val="11"/>
        <color theme="1"/>
        <rFont val="Aptos Narrow"/>
        <family val="2"/>
        <scheme val="minor"/>
      </rPr>
      <t xml:space="preserve"> Ensure your policy is for </t>
    </r>
    <r>
      <rPr>
        <b/>
        <sz val="11"/>
        <color theme="1"/>
        <rFont val="Aptos Narrow"/>
        <family val="2"/>
        <scheme val="minor"/>
      </rPr>
      <t>"New for Old"</t>
    </r>
    <r>
      <rPr>
        <sz val="11"/>
        <color theme="1"/>
        <rFont val="Aptos Narrow"/>
        <family val="2"/>
        <scheme val="minor"/>
      </rPr>
      <t xml:space="preserve"> replacement. If a $15,000 tent is destroyed, you want the full $15,000 to buy a new one, not a depreciated payout of $7,000.</t>
    </r>
  </si>
  <si>
    <r>
      <t>Business Interruption:</t>
    </r>
    <r>
      <rPr>
        <sz val="11"/>
        <color theme="1"/>
        <rFont val="Aptos Narrow"/>
        <family val="2"/>
        <scheme val="minor"/>
      </rPr>
      <t xml:space="preserve"> If a storm destroys 10 of your 20 tents during peak season (July–September), you lose more than just the tents—you lose the revenue. This "Consequential Loss" cover is highly recommended.</t>
    </r>
  </si>
  <si>
    <t>4. Recommended Insurers in Kenya</t>
  </si>
  <si>
    <t>You should approach brokers who specialize in the "Safari &amp; Tourism" niche. Top players include:</t>
  </si>
  <si>
    <r>
      <t>Heritage Insurance:</t>
    </r>
    <r>
      <rPr>
        <sz val="11"/>
        <color theme="1"/>
        <rFont val="Aptos Narrow"/>
        <family val="2"/>
        <scheme val="minor"/>
      </rPr>
      <t xml:space="preserve"> Known for specialized "Tourism" packages.</t>
    </r>
  </si>
  <si>
    <r>
      <t>UAP Old Mutual:</t>
    </r>
    <r>
      <rPr>
        <sz val="11"/>
        <color theme="1"/>
        <rFont val="Aptos Narrow"/>
        <family val="2"/>
        <scheme val="minor"/>
      </rPr>
      <t xml:space="preserve"> Strong on property and weather-related risks.</t>
    </r>
  </si>
  <si>
    <r>
      <t>APA Insurance:</t>
    </r>
    <r>
      <rPr>
        <sz val="11"/>
        <color theme="1"/>
        <rFont val="Aptos Narrow"/>
        <family val="2"/>
        <scheme val="minor"/>
      </rPr>
      <t xml:space="preserve"> Offers unique "index-based" weather products.</t>
    </r>
  </si>
  <si>
    <r>
      <t>GA Insurance:</t>
    </r>
    <r>
      <rPr>
        <sz val="11"/>
        <color theme="1"/>
        <rFont val="Aptos Narrow"/>
        <family val="2"/>
        <scheme val="minor"/>
      </rPr>
      <t xml:space="preserve"> Very active in the hospitality sector.</t>
    </r>
  </si>
  <si>
    <r>
      <t>Pro Tip:</t>
    </r>
    <r>
      <rPr>
        <sz val="11"/>
        <color theme="1"/>
        <rFont val="Aptos Narrow"/>
        <family val="2"/>
        <scheme val="minor"/>
      </rPr>
      <t xml:space="preserve"> Because tents are considered "temporary structures," some insurers might charge a slightly higher rate than they would for a stone-and-mortar hotel. Always ask for a "First Loss" limit on the canvas itself to keep premiums manageable.</t>
    </r>
  </si>
  <si>
    <t>MONTHLY (Operations view)</t>
  </si>
  <si>
    <t>Project IRR</t>
  </si>
  <si>
    <t>Project NPV</t>
  </si>
  <si>
    <r>
      <t xml:space="preserve">For 20 safari tents in Kenya you need </t>
    </r>
    <r>
      <rPr>
        <b/>
        <sz val="11"/>
        <color theme="1"/>
        <rFont val="Aptos Narrow"/>
        <family val="2"/>
        <scheme val="minor"/>
      </rPr>
      <t>Property &amp; Business Interruption Insurance</t>
    </r>
    <r>
      <rPr>
        <sz val="11"/>
        <color theme="1"/>
        <rFont val="Aptos Narrow"/>
        <family val="2"/>
        <scheme val="minor"/>
      </rPr>
      <t xml:space="preserve"> specifically for the hospitality sector.</t>
    </r>
  </si>
  <si>
    <r>
      <t xml:space="preserve">Since the project is worth </t>
    </r>
    <r>
      <rPr>
        <b/>
        <sz val="11"/>
        <color theme="1"/>
        <rFont val="Aptos Narrow"/>
        <family val="2"/>
        <scheme val="minor"/>
      </rPr>
      <t>$460,000</t>
    </r>
    <r>
      <rPr>
        <sz val="11"/>
        <color theme="1"/>
        <rFont val="Aptos Narrow"/>
        <family val="2"/>
        <scheme val="minor"/>
      </rPr>
      <t>, the insurance cost is calculated based on the "Total Sum Insured" (the replacement value of the tents, decks, and furniture).</t>
    </r>
  </si>
  <si>
    <t>CASH OUTFLOWS</t>
  </si>
  <si>
    <t>CASH PROCEEDS (Rental)</t>
  </si>
  <si>
    <t>Breakfast</t>
  </si>
  <si>
    <t>Lunch</t>
  </si>
  <si>
    <t>Dinner</t>
  </si>
  <si>
    <t>Number of persons per tent</t>
  </si>
  <si>
    <t>CASH PROCEEDS (Food)</t>
  </si>
  <si>
    <t>% of guests</t>
  </si>
  <si>
    <t>% of food revenue</t>
  </si>
  <si>
    <t>check</t>
  </si>
  <si>
    <t>WORKING CAPITAL - Loan</t>
  </si>
  <si>
    <t>WORKING CAPITAL - Interests</t>
  </si>
  <si>
    <t>Operator premium (occupancy rate, profit achievement)</t>
  </si>
  <si>
    <t>Threshold IRR calculation</t>
  </si>
  <si>
    <t>IRR</t>
  </si>
  <si>
    <t>Equity multiplier EM</t>
  </si>
  <si>
    <t>Operator premium (in case IRR is higher than 25%)</t>
  </si>
  <si>
    <t>Operator bonus</t>
  </si>
  <si>
    <t>VAT</t>
  </si>
  <si>
    <t>Tax Type</t>
  </si>
  <si>
    <t>Rate</t>
  </si>
  <si>
    <t>Deductible?</t>
  </si>
  <si>
    <t>Frequency</t>
  </si>
  <si>
    <t>Monthly (by 20th)</t>
  </si>
  <si>
    <t>Tourism Levy</t>
  </si>
  <si>
    <t>No</t>
  </si>
  <si>
    <t>Monthly (by 10th)</t>
  </si>
  <si>
    <t>Excl. VAT</t>
  </si>
  <si>
    <t>Rate per night per tent</t>
  </si>
  <si>
    <t>* VAT and levies collected for the Kenya Revenue Authorities (KRA) and Tourism Fund (TF)</t>
  </si>
  <si>
    <t>Incl. VAT and Tourism Levy</t>
  </si>
  <si>
    <t>Food price per 1 person</t>
  </si>
  <si>
    <t>Costs of Goods Sold (Food)</t>
  </si>
  <si>
    <t>* VAT and levies paid to the Kenya Revenue Authorities (KRA) and Tourism Fund (TF)</t>
  </si>
  <si>
    <t>Average occupancy</t>
  </si>
  <si>
    <t>Operator bonus from IRR excess</t>
  </si>
  <si>
    <t>in case operator takes 50% of excessive IRR above 25%</t>
  </si>
  <si>
    <t>Assuming 0 input VAT</t>
  </si>
  <si>
    <t>Applied taxes</t>
  </si>
  <si>
    <t>Labour for the kitchen</t>
  </si>
  <si>
    <t>Number of visitors</t>
  </si>
  <si>
    <t>Transportation and Overheads</t>
  </si>
  <si>
    <t>ANNUAL SPLIT</t>
  </si>
  <si>
    <t>MONTHLY SPLIT</t>
  </si>
  <si>
    <t>Food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</si>
</sst>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409]* #,##0.00_ ;_-[$$-409]* \-#,##0.00\ ;_-[$$-409]* &quot;-&quot;??_ ;_-@_ "/>
    <numFmt numFmtId="165" formatCode="_-[$$-409]* #,##0_ ;_-[$$-409]* \-#,##0\ ;_-[$$-409]* &quot;-&quot;??_ ;_-@_ "/>
    <numFmt numFmtId="166" formatCode="0\ &quot;m2&quot;"/>
    <numFmt numFmtId="167" formatCode="0\ &quot;m&quot;"/>
    <numFmt numFmtId="168" formatCode="\$\ 0\ &quot;per meter&quot;"/>
    <numFmt numFmtId="169" formatCode="#,##0_ ;\-#,##0\ "/>
    <numFmt numFmtId="170" formatCode="0.0%"/>
    <numFmt numFmtId="171" formatCode="#,#00\ &quot;m2&quot;"/>
    <numFmt numFmtId="172" formatCode="_-* #,##0_-;\-* #,##0_-;_-* &quot;-&quot;??_-;_-@_-"/>
    <numFmt numFmtId="173" formatCode="[$$-409]#,##0"/>
    <numFmt numFmtId="174" formatCode="0.0"/>
    <numFmt numFmtId="175" formatCode="0%\ &quot;of original price in 5 years&quot;"/>
    <numFmt numFmtId="176" formatCode="[$$-409]#,##0.00"/>
    <numFmt numFmtId="177" formatCode="[$$-409]#,##0_ ;\-[$$-409]#,##0\ "/>
    <numFmt numFmtId="178" formatCode="#,##0.00_ ;\-#,##0.00\ "/>
    <numFmt numFmtId="179" formatCode="0.0\x"/>
  </numFmts>
  <fonts count="54">
    <font>
      <sz val="11"/>
      <color theme="1"/>
      <name val="Aptos Narrow"/>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ptos Narrow"/>
      <family val="2"/>
      <scheme val="minor"/>
    </font>
    <font>
      <u/>
      <sz val="11"/>
      <color theme="10"/>
      <name val="Aptos Narrow"/>
      <family val="2"/>
      <scheme val="minor"/>
    </font>
    <font>
      <sz val="11"/>
      <color rgb="FF0000FF"/>
      <name val="Aptos Narrow"/>
      <family val="2"/>
    </font>
    <font>
      <sz val="11"/>
      <color rgb="FF0000FF"/>
      <name val="Aptos Narrow"/>
      <family val="2"/>
      <scheme val="minor"/>
    </font>
    <font>
      <sz val="11"/>
      <name val="Aptos Narrow"/>
      <family val="2"/>
      <scheme val="minor"/>
    </font>
    <font>
      <sz val="11"/>
      <name val="Aptos Narrow"/>
      <family val="2"/>
    </font>
    <font>
      <b/>
      <sz val="18"/>
      <color rgb="FF1F1F1F"/>
      <name val="Times New Roman"/>
      <family val="1"/>
    </font>
    <font>
      <sz val="10"/>
      <color rgb="FF1F1F1F"/>
      <name val="Arial"/>
      <family val="2"/>
    </font>
    <font>
      <b/>
      <sz val="10"/>
      <color rgb="FF1F1F1F"/>
      <name val="Arial"/>
      <family val="2"/>
    </font>
    <font>
      <sz val="13.3"/>
      <color rgb="FF1F1F1F"/>
      <name val="Times New Roman"/>
      <family val="1"/>
    </font>
    <font>
      <i/>
      <sz val="10"/>
      <color rgb="FF1F1F1F"/>
      <name val="Arial"/>
      <family val="2"/>
    </font>
    <font>
      <i/>
      <sz val="13.3"/>
      <color rgb="FF1F1F1F"/>
      <name val="Times New Roman"/>
      <family val="1"/>
    </font>
    <font>
      <sz val="10"/>
      <color rgb="FF1F1F1F"/>
      <name val="Arial"/>
      <family val="2"/>
    </font>
    <font>
      <b/>
      <sz val="10"/>
      <name val="Arial"/>
      <family val="2"/>
    </font>
    <font>
      <sz val="11"/>
      <color rgb="FF1F1F1F"/>
      <name val="Arial"/>
      <family val="2"/>
    </font>
    <font>
      <b/>
      <sz val="11"/>
      <color rgb="FF1F1F1F"/>
      <name val="Arial"/>
      <family val="2"/>
    </font>
    <font>
      <b/>
      <sz val="14"/>
      <color theme="1"/>
      <name val="Aptos Narrow"/>
      <family val="2"/>
      <scheme val="minor"/>
    </font>
    <font>
      <b/>
      <sz val="11"/>
      <color theme="1"/>
      <name val="Arial"/>
      <family val="2"/>
    </font>
    <font>
      <sz val="11"/>
      <color theme="1"/>
      <name val="Arial"/>
      <family val="2"/>
    </font>
    <font>
      <b/>
      <sz val="13.5"/>
      <color theme="1"/>
      <name val="Arial"/>
      <family val="2"/>
    </font>
    <font>
      <i/>
      <sz val="11"/>
      <color theme="1"/>
      <name val="Arial"/>
      <family val="2"/>
    </font>
    <font>
      <b/>
      <sz val="12"/>
      <color theme="1"/>
      <name val="Arial"/>
      <family val="2"/>
    </font>
    <font>
      <b/>
      <sz val="13.3"/>
      <color rgb="FF1F1F1F"/>
      <name val="Times New Roman"/>
      <family val="1"/>
    </font>
    <font>
      <b/>
      <i/>
      <sz val="13.3"/>
      <color rgb="FF1F1F1F"/>
      <name val="KaTeX_Math"/>
    </font>
    <font>
      <b/>
      <sz val="7.7"/>
      <color rgb="FF1F1F1F"/>
      <name val="Times New Roman"/>
      <family val="1"/>
    </font>
    <font>
      <b/>
      <sz val="13.5"/>
      <color theme="1"/>
      <name val="Aptos Narrow"/>
      <family val="2"/>
      <scheme val="minor"/>
    </font>
    <font>
      <b/>
      <i/>
      <sz val="13.5"/>
      <color theme="1"/>
      <name val="Arial"/>
      <family val="2"/>
    </font>
    <font>
      <sz val="11"/>
      <color theme="1"/>
      <name val="Aptos Narrow"/>
      <family val="2"/>
      <scheme val="minor"/>
    </font>
    <font>
      <sz val="9"/>
      <color indexed="81"/>
      <name val="Tahoma"/>
      <family val="2"/>
    </font>
    <font>
      <b/>
      <sz val="18"/>
      <color theme="1"/>
      <name val="Aptos Narrow"/>
      <family val="2"/>
      <scheme val="minor"/>
    </font>
    <font>
      <i/>
      <sz val="11"/>
      <color theme="1"/>
      <name val="Aptos Narrow"/>
      <family val="2"/>
      <scheme val="minor"/>
    </font>
    <font>
      <b/>
      <sz val="11"/>
      <name val="Arial"/>
      <family val="2"/>
    </font>
    <font>
      <sz val="10"/>
      <name val="Arial"/>
      <family val="2"/>
    </font>
    <font>
      <b/>
      <sz val="11"/>
      <color rgb="FFC00000"/>
      <name val="Aptos Narrow"/>
      <family val="2"/>
      <scheme val="minor"/>
    </font>
    <font>
      <sz val="11"/>
      <color rgb="FFC00000"/>
      <name val="Aptos Narrow"/>
      <family val="2"/>
    </font>
    <font>
      <b/>
      <sz val="11"/>
      <color rgb="FF0000FF"/>
      <name val="Aptos Narrow"/>
      <family val="2"/>
    </font>
    <font>
      <b/>
      <sz val="11"/>
      <color rgb="FF0000FF"/>
      <name val="Aptos Narrow"/>
      <family val="2"/>
      <scheme val="minor"/>
    </font>
    <font>
      <b/>
      <sz val="11"/>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medium">
        <color rgb="FFC4C7C5"/>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4">
    <xf numFmtId="0" fontId="0" fillId="0" borderId="0"/>
    <xf numFmtId="9" fontId="14" fillId="0" borderId="0" applyFont="0" applyFill="0" applyBorder="0" applyAlignment="0" applyProtection="0"/>
    <xf numFmtId="0" fontId="17" fillId="0" borderId="0" applyNumberFormat="0" applyFill="0" applyBorder="0" applyAlignment="0" applyProtection="0"/>
    <xf numFmtId="43" fontId="43" fillId="0" borderId="0" applyFont="0" applyFill="0" applyBorder="0" applyAlignment="0" applyProtection="0"/>
  </cellStyleXfs>
  <cellXfs count="203">
    <xf numFmtId="0" fontId="0" fillId="0" borderId="0" xfId="0"/>
    <xf numFmtId="0" fontId="16" fillId="0" borderId="0" xfId="0" applyFont="1"/>
    <xf numFmtId="0" fontId="17" fillId="0" borderId="0" xfId="2"/>
    <xf numFmtId="165" fontId="18" fillId="0" borderId="0" xfId="0" applyNumberFormat="1" applyFont="1"/>
    <xf numFmtId="0" fontId="13" fillId="0" borderId="0" xfId="0" applyFont="1"/>
    <xf numFmtId="0" fontId="19" fillId="0" borderId="0" xfId="0" applyFont="1"/>
    <xf numFmtId="166" fontId="19" fillId="0" borderId="0" xfId="0" applyNumberFormat="1" applyFont="1"/>
    <xf numFmtId="0" fontId="15" fillId="0" borderId="0" xfId="0" applyFont="1"/>
    <xf numFmtId="165" fontId="16" fillId="0" borderId="0" xfId="0" applyNumberFormat="1" applyFont="1"/>
    <xf numFmtId="0" fontId="15" fillId="0" borderId="1" xfId="0" applyFont="1" applyBorder="1"/>
    <xf numFmtId="167" fontId="19" fillId="0" borderId="0" xfId="0" applyNumberFormat="1" applyFont="1"/>
    <xf numFmtId="167" fontId="20" fillId="0" borderId="0" xfId="0" applyNumberFormat="1" applyFont="1"/>
    <xf numFmtId="168" fontId="18" fillId="0" borderId="0" xfId="0" applyNumberFormat="1" applyFont="1"/>
    <xf numFmtId="165" fontId="21" fillId="0" borderId="0" xfId="0" applyNumberFormat="1" applyFont="1"/>
    <xf numFmtId="0" fontId="13" fillId="0" borderId="0" xfId="0" applyFont="1" applyAlignment="1">
      <alignment wrapText="1"/>
    </xf>
    <xf numFmtId="1" fontId="19" fillId="0" borderId="0" xfId="0" applyNumberFormat="1" applyFont="1"/>
    <xf numFmtId="9" fontId="19" fillId="0" borderId="0" xfId="1" applyFont="1"/>
    <xf numFmtId="170" fontId="18" fillId="0" borderId="0" xfId="1" applyNumberFormat="1" applyFont="1"/>
    <xf numFmtId="165" fontId="0" fillId="0" borderId="0" xfId="0" applyNumberFormat="1"/>
    <xf numFmtId="164" fontId="0" fillId="0" borderId="0" xfId="0" applyNumberFormat="1"/>
    <xf numFmtId="0" fontId="12" fillId="0" borderId="0" xfId="0" applyFont="1" applyAlignment="1">
      <alignment wrapText="1"/>
    </xf>
    <xf numFmtId="171" fontId="20" fillId="0" borderId="0" xfId="0" applyNumberFormat="1" applyFont="1"/>
    <xf numFmtId="165" fontId="12" fillId="0" borderId="0" xfId="0" applyNumberFormat="1" applyFont="1"/>
    <xf numFmtId="170" fontId="21" fillId="0" borderId="0" xfId="1" applyNumberFormat="1" applyFont="1"/>
    <xf numFmtId="0" fontId="11" fillId="0" borderId="0" xfId="0" applyFont="1"/>
    <xf numFmtId="9" fontId="0" fillId="0" borderId="0" xfId="1" applyFont="1"/>
    <xf numFmtId="172" fontId="0" fillId="0" borderId="0" xfId="0" applyNumberFormat="1"/>
    <xf numFmtId="0" fontId="10" fillId="0" borderId="0" xfId="0" applyFont="1"/>
    <xf numFmtId="9" fontId="19" fillId="0" borderId="0" xfId="0" applyNumberFormat="1" applyFont="1"/>
    <xf numFmtId="0" fontId="22" fillId="0" borderId="0" xfId="0" applyFont="1" applyAlignment="1">
      <alignment vertical="center"/>
    </xf>
    <xf numFmtId="0" fontId="0" fillId="0" borderId="0" xfId="0"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horizontal="left" vertical="center" wrapText="1" indent="1"/>
    </xf>
    <xf numFmtId="0" fontId="26" fillId="0" borderId="0" xfId="0" applyFont="1" applyAlignment="1">
      <alignment vertical="center" wrapText="1"/>
    </xf>
    <xf numFmtId="0" fontId="28" fillId="0" borderId="3" xfId="0" applyFont="1" applyBorder="1" applyAlignment="1">
      <alignment horizontal="left" vertical="top" wrapText="1"/>
    </xf>
    <xf numFmtId="0" fontId="24" fillId="0" borderId="3" xfId="0" applyFont="1" applyBorder="1" applyAlignment="1">
      <alignment horizontal="left" vertical="top" wrapText="1"/>
    </xf>
    <xf numFmtId="0" fontId="23" fillId="0" borderId="3" xfId="0" applyFont="1" applyBorder="1" applyAlignment="1">
      <alignment horizontal="left" vertical="top" wrapText="1"/>
    </xf>
    <xf numFmtId="0" fontId="23" fillId="0" borderId="0" xfId="0" applyFont="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24" fillId="0" borderId="0" xfId="0" applyFont="1" applyAlignment="1">
      <alignment horizontal="left" vertical="top" wrapText="1"/>
    </xf>
    <xf numFmtId="0" fontId="0" fillId="0" borderId="0" xfId="0" applyAlignment="1">
      <alignment horizontal="left" vertical="center" wrapText="1" indent="1"/>
    </xf>
    <xf numFmtId="0" fontId="23" fillId="0" borderId="0" xfId="0" applyFont="1" applyAlignment="1">
      <alignment horizontal="left" vertical="center" wrapText="1" indent="1"/>
    </xf>
    <xf numFmtId="0" fontId="9" fillId="0" borderId="0" xfId="0" applyFont="1"/>
    <xf numFmtId="173" fontId="15" fillId="0" borderId="0" xfId="0" applyNumberFormat="1" applyFont="1"/>
    <xf numFmtId="9" fontId="0" fillId="0" borderId="0" xfId="0" applyNumberFormat="1"/>
    <xf numFmtId="0" fontId="15" fillId="3" borderId="2" xfId="0" applyFont="1" applyFill="1" applyBorder="1"/>
    <xf numFmtId="0" fontId="0" fillId="3" borderId="2" xfId="0" applyFill="1" applyBorder="1"/>
    <xf numFmtId="0" fontId="29" fillId="0" borderId="0" xfId="0" applyFont="1" applyAlignment="1">
      <alignment vertical="center"/>
    </xf>
    <xf numFmtId="0" fontId="0" fillId="0" borderId="4" xfId="0" applyBorder="1"/>
    <xf numFmtId="0" fontId="12" fillId="0" borderId="2" xfId="0" applyFont="1" applyBorder="1"/>
    <xf numFmtId="0" fontId="9" fillId="0" borderId="0" xfId="0" applyFont="1" applyAlignment="1">
      <alignment wrapText="1"/>
    </xf>
    <xf numFmtId="170" fontId="0" fillId="0" borderId="0" xfId="1" applyNumberFormat="1" applyFont="1"/>
    <xf numFmtId="0" fontId="8" fillId="0" borderId="0" xfId="0" applyFont="1"/>
    <xf numFmtId="174" fontId="0" fillId="0" borderId="0" xfId="0" applyNumberFormat="1"/>
    <xf numFmtId="0" fontId="31" fillId="0" borderId="8" xfId="0" applyFont="1" applyBorder="1" applyAlignment="1">
      <alignment horizontal="left" vertical="center" wrapText="1" indent="1" readingOrder="1"/>
    </xf>
    <xf numFmtId="0" fontId="31" fillId="0" borderId="8" xfId="0" applyFont="1" applyBorder="1" applyAlignment="1">
      <alignment vertical="center" wrapText="1" readingOrder="1"/>
    </xf>
    <xf numFmtId="0" fontId="30" fillId="0" borderId="8" xfId="0" applyFont="1" applyBorder="1" applyAlignment="1">
      <alignment horizontal="left" vertical="center" wrapText="1" indent="1" readingOrder="1"/>
    </xf>
    <xf numFmtId="0" fontId="30" fillId="0" borderId="8" xfId="0" applyFont="1" applyBorder="1" applyAlignment="1">
      <alignment vertical="center" wrapText="1" readingOrder="1"/>
    </xf>
    <xf numFmtId="0" fontId="31" fillId="4" borderId="8" xfId="0" applyFont="1" applyFill="1" applyBorder="1" applyAlignment="1">
      <alignment horizontal="left" vertical="center" wrapText="1" indent="1" readingOrder="1"/>
    </xf>
    <xf numFmtId="0" fontId="30" fillId="4" borderId="8" xfId="0" applyFont="1" applyFill="1" applyBorder="1" applyAlignment="1">
      <alignment horizontal="left" vertical="center" wrapText="1" indent="1" readingOrder="1"/>
    </xf>
    <xf numFmtId="0" fontId="31" fillId="4" borderId="8" xfId="0" applyFont="1" applyFill="1" applyBorder="1" applyAlignment="1">
      <alignment vertical="center" wrapText="1" readingOrder="1"/>
    </xf>
    <xf numFmtId="0" fontId="32" fillId="0" borderId="0" xfId="0" applyFont="1"/>
    <xf numFmtId="0" fontId="34" fillId="0" borderId="0" xfId="0" applyFont="1" applyAlignment="1">
      <alignment vertical="center"/>
    </xf>
    <xf numFmtId="0" fontId="35" fillId="0" borderId="0" xfId="0" applyFont="1" applyAlignment="1">
      <alignment vertical="center"/>
    </xf>
    <xf numFmtId="0" fontId="0" fillId="0" borderId="0" xfId="0" applyAlignment="1">
      <alignment horizontal="left" vertical="center" indent="1"/>
    </xf>
    <xf numFmtId="0" fontId="33" fillId="0" borderId="0" xfId="0" applyFont="1" applyAlignment="1">
      <alignment horizontal="left" vertical="center" indent="1"/>
    </xf>
    <xf numFmtId="0" fontId="30" fillId="4" borderId="8" xfId="0" applyFont="1" applyFill="1" applyBorder="1" applyAlignment="1">
      <alignment vertical="center" wrapText="1" readingOrder="1"/>
    </xf>
    <xf numFmtId="173" fontId="18" fillId="0" borderId="0" xfId="0" applyNumberFormat="1" applyFont="1"/>
    <xf numFmtId="173" fontId="15" fillId="0" borderId="1" xfId="0" applyNumberFormat="1" applyFont="1" applyBorder="1"/>
    <xf numFmtId="173" fontId="0" fillId="0" borderId="0" xfId="0" applyNumberFormat="1"/>
    <xf numFmtId="0" fontId="7" fillId="0" borderId="0" xfId="0" applyFont="1"/>
    <xf numFmtId="0" fontId="24" fillId="4" borderId="0" xfId="0" applyFont="1" applyFill="1" applyAlignment="1">
      <alignment horizontal="left" vertical="top" wrapText="1"/>
    </xf>
    <xf numFmtId="0" fontId="24" fillId="4" borderId="3" xfId="0" applyFont="1" applyFill="1" applyBorder="1" applyAlignment="1">
      <alignment horizontal="left" vertical="top" wrapText="1"/>
    </xf>
    <xf numFmtId="0" fontId="0" fillId="0" borderId="0" xfId="0" applyAlignment="1">
      <alignment vertical="center"/>
    </xf>
    <xf numFmtId="0" fontId="37" fillId="0" borderId="0" xfId="0" applyFont="1" applyAlignment="1">
      <alignment vertical="center"/>
    </xf>
    <xf numFmtId="0" fontId="33" fillId="0" borderId="0" xfId="0" applyFont="1" applyAlignment="1">
      <alignment vertical="center"/>
    </xf>
    <xf numFmtId="0" fontId="34" fillId="0" borderId="0" xfId="0" applyFont="1"/>
    <xf numFmtId="0" fontId="24" fillId="0" borderId="0" xfId="0" applyFont="1" applyAlignment="1">
      <alignment horizontal="left" vertical="center" indent="1"/>
    </xf>
    <xf numFmtId="0" fontId="15" fillId="0" borderId="0" xfId="0" applyFont="1" applyAlignment="1">
      <alignment horizontal="left" vertical="center" indent="1"/>
    </xf>
    <xf numFmtId="0" fontId="41" fillId="0" borderId="0" xfId="0" applyFont="1" applyAlignment="1">
      <alignment vertical="center"/>
    </xf>
    <xf numFmtId="0" fontId="33" fillId="0" borderId="8" xfId="0" applyFont="1" applyBorder="1" applyAlignment="1">
      <alignment vertical="center" wrapText="1"/>
    </xf>
    <xf numFmtId="0" fontId="34" fillId="0" borderId="8" xfId="0" applyFont="1" applyBorder="1" applyAlignment="1">
      <alignment vertical="center" wrapText="1"/>
    </xf>
    <xf numFmtId="0" fontId="6" fillId="0" borderId="0" xfId="0" applyFont="1"/>
    <xf numFmtId="0" fontId="8" fillId="0" borderId="0" xfId="0" applyFont="1" applyAlignment="1">
      <alignment wrapText="1"/>
    </xf>
    <xf numFmtId="175" fontId="11" fillId="0" borderId="0" xfId="1" applyNumberFormat="1" applyFont="1" applyAlignment="1">
      <alignment horizontal="left"/>
    </xf>
    <xf numFmtId="173" fontId="18" fillId="0" borderId="0" xfId="0" applyNumberFormat="1" applyFont="1" applyAlignment="1">
      <alignment horizontal="center"/>
    </xf>
    <xf numFmtId="0" fontId="6" fillId="0" borderId="0" xfId="0" applyFont="1" applyAlignment="1">
      <alignment wrapText="1"/>
    </xf>
    <xf numFmtId="0" fontId="34" fillId="0" borderId="0" xfId="0" applyFont="1" applyAlignment="1">
      <alignment horizontal="left" vertical="center" indent="1"/>
    </xf>
    <xf numFmtId="0" fontId="0" fillId="0" borderId="0" xfId="0" applyAlignment="1">
      <alignment horizontal="left" vertical="center" indent="2"/>
    </xf>
    <xf numFmtId="0" fontId="34" fillId="0" borderId="0" xfId="0" applyFont="1" applyAlignment="1">
      <alignment horizontal="left" vertical="center" indent="2"/>
    </xf>
    <xf numFmtId="173" fontId="18" fillId="0" borderId="0" xfId="0" applyNumberFormat="1" applyFont="1" applyAlignment="1">
      <alignment horizontal="right"/>
    </xf>
    <xf numFmtId="0" fontId="19" fillId="0" borderId="0" xfId="0" applyFont="1" applyAlignment="1">
      <alignment wrapText="1"/>
    </xf>
    <xf numFmtId="0" fontId="6" fillId="0" borderId="9" xfId="0" applyFont="1" applyBorder="1" applyAlignment="1">
      <alignment horizontal="right"/>
    </xf>
    <xf numFmtId="0" fontId="0" fillId="0" borderId="9" xfId="0" applyBorder="1"/>
    <xf numFmtId="0" fontId="31" fillId="0" borderId="9" xfId="0" applyFont="1" applyBorder="1" applyAlignment="1">
      <alignment horizontal="left" vertical="center" wrapText="1" indent="1" readingOrder="1"/>
    </xf>
    <xf numFmtId="0" fontId="31" fillId="0" borderId="9" xfId="0" applyFont="1" applyBorder="1" applyAlignment="1">
      <alignment vertical="center" wrapText="1" readingOrder="1"/>
    </xf>
    <xf numFmtId="0" fontId="30" fillId="0" borderId="9" xfId="0" applyFont="1" applyBorder="1" applyAlignment="1">
      <alignment horizontal="left" vertical="center" wrapText="1" indent="1" readingOrder="1"/>
    </xf>
    <xf numFmtId="0" fontId="30" fillId="0" borderId="9" xfId="0" applyFont="1" applyBorder="1" applyAlignment="1">
      <alignment vertical="center" wrapText="1" readingOrder="1"/>
    </xf>
    <xf numFmtId="173" fontId="0" fillId="0" borderId="9" xfId="0" applyNumberFormat="1" applyBorder="1"/>
    <xf numFmtId="173" fontId="15" fillId="0" borderId="9" xfId="0" applyNumberFormat="1" applyFont="1" applyBorder="1"/>
    <xf numFmtId="0" fontId="31" fillId="0" borderId="0" xfId="0" applyFont="1" applyAlignment="1">
      <alignment horizontal="left" vertical="center" wrapText="1" indent="1" readingOrder="1"/>
    </xf>
    <xf numFmtId="0" fontId="31" fillId="2" borderId="9" xfId="0" applyFont="1" applyFill="1" applyBorder="1" applyAlignment="1">
      <alignment horizontal="left" vertical="center" wrapText="1" indent="1" readingOrder="1"/>
    </xf>
    <xf numFmtId="0" fontId="30" fillId="2" borderId="9" xfId="0" applyFont="1" applyFill="1" applyBorder="1" applyAlignment="1">
      <alignment horizontal="left" vertical="center" wrapText="1" indent="1" readingOrder="1"/>
    </xf>
    <xf numFmtId="0" fontId="30" fillId="2" borderId="9" xfId="0" applyFont="1" applyFill="1" applyBorder="1" applyAlignment="1">
      <alignment vertical="center" wrapText="1" readingOrder="1"/>
    </xf>
    <xf numFmtId="0" fontId="6" fillId="2" borderId="9" xfId="0" applyFont="1" applyFill="1" applyBorder="1" applyAlignment="1">
      <alignment horizontal="right"/>
    </xf>
    <xf numFmtId="0" fontId="6" fillId="0" borderId="9" xfId="0" applyFont="1" applyBorder="1"/>
    <xf numFmtId="0" fontId="31" fillId="4" borderId="9" xfId="0" applyFont="1" applyFill="1" applyBorder="1" applyAlignment="1">
      <alignment horizontal="left" vertical="center" wrapText="1" indent="1" readingOrder="1"/>
    </xf>
    <xf numFmtId="0" fontId="30" fillId="4" borderId="9" xfId="0" applyFont="1" applyFill="1" applyBorder="1" applyAlignment="1">
      <alignment vertical="center" wrapText="1" readingOrder="1"/>
    </xf>
    <xf numFmtId="173" fontId="15" fillId="4" borderId="9" xfId="0" applyNumberFormat="1" applyFont="1" applyFill="1" applyBorder="1"/>
    <xf numFmtId="176" fontId="0" fillId="0" borderId="0" xfId="0" applyNumberFormat="1"/>
    <xf numFmtId="3" fontId="30" fillId="0" borderId="9" xfId="0" applyNumberFormat="1" applyFont="1" applyBorder="1" applyAlignment="1">
      <alignment horizontal="left" vertical="center" wrapText="1" indent="1" readingOrder="1"/>
    </xf>
    <xf numFmtId="0" fontId="31" fillId="0" borderId="10" xfId="0" applyFont="1" applyBorder="1" applyAlignment="1">
      <alignment horizontal="left" vertical="center" wrapText="1" indent="1" readingOrder="1"/>
    </xf>
    <xf numFmtId="3" fontId="30" fillId="0" borderId="10" xfId="0" applyNumberFormat="1" applyFont="1" applyBorder="1" applyAlignment="1">
      <alignment horizontal="left" vertical="center" wrapText="1" indent="1" readingOrder="1"/>
    </xf>
    <xf numFmtId="0" fontId="30" fillId="0" borderId="10" xfId="0" applyFont="1" applyBorder="1" applyAlignment="1">
      <alignment vertical="center" wrapText="1" readingOrder="1"/>
    </xf>
    <xf numFmtId="0" fontId="31" fillId="4" borderId="11" xfId="0" applyFont="1" applyFill="1" applyBorder="1" applyAlignment="1">
      <alignment horizontal="left" vertical="center" wrapText="1" indent="1" readingOrder="1"/>
    </xf>
    <xf numFmtId="0" fontId="31" fillId="4" borderId="12" xfId="0" applyFont="1" applyFill="1" applyBorder="1" applyAlignment="1">
      <alignment horizontal="left" vertical="center" wrapText="1" indent="1" readingOrder="1"/>
    </xf>
    <xf numFmtId="0" fontId="45" fillId="0" borderId="0" xfId="0" applyFont="1" applyAlignment="1">
      <alignment vertical="center"/>
    </xf>
    <xf numFmtId="177" fontId="31" fillId="4" borderId="13" xfId="3" applyNumberFormat="1" applyFont="1" applyFill="1" applyBorder="1" applyAlignment="1">
      <alignment vertical="center" wrapText="1" readingOrder="1"/>
    </xf>
    <xf numFmtId="0" fontId="47" fillId="4" borderId="9" xfId="0" applyFont="1" applyFill="1" applyBorder="1" applyAlignment="1">
      <alignment horizontal="left" vertical="center" wrapText="1" indent="1" readingOrder="1"/>
    </xf>
    <xf numFmtId="0" fontId="29" fillId="0" borderId="0" xfId="0" applyFont="1" applyAlignment="1">
      <alignment horizontal="left" vertical="center"/>
    </xf>
    <xf numFmtId="165" fontId="0" fillId="0" borderId="9" xfId="0" applyNumberFormat="1" applyBorder="1"/>
    <xf numFmtId="0" fontId="15" fillId="0" borderId="7" xfId="0" applyFont="1" applyBorder="1"/>
    <xf numFmtId="0" fontId="5" fillId="0" borderId="0" xfId="0" applyFont="1"/>
    <xf numFmtId="0" fontId="5" fillId="0" borderId="0" xfId="0" applyFont="1" applyAlignment="1">
      <alignment wrapText="1"/>
    </xf>
    <xf numFmtId="173" fontId="16" fillId="0" borderId="0" xfId="0" applyNumberFormat="1" applyFont="1"/>
    <xf numFmtId="10" fontId="0" fillId="0" borderId="0" xfId="0" applyNumberFormat="1"/>
    <xf numFmtId="0" fontId="31" fillId="0" borderId="9" xfId="0" applyFont="1" applyBorder="1" applyAlignment="1">
      <alignment horizontal="right" vertical="center" wrapText="1" indent="1" readingOrder="1"/>
    </xf>
    <xf numFmtId="0" fontId="30" fillId="0" borderId="9" xfId="0" applyFont="1" applyBorder="1" applyAlignment="1">
      <alignment horizontal="right" vertical="center" wrapText="1" indent="1" readingOrder="1"/>
    </xf>
    <xf numFmtId="10" fontId="30" fillId="0" borderId="9" xfId="0" applyNumberFormat="1" applyFont="1" applyBorder="1" applyAlignment="1">
      <alignment horizontal="right" vertical="center" wrapText="1" indent="1" readingOrder="1"/>
    </xf>
    <xf numFmtId="165" fontId="15" fillId="0" borderId="0" xfId="0" applyNumberFormat="1" applyFont="1"/>
    <xf numFmtId="0" fontId="0" fillId="0" borderId="2" xfId="0" applyBorder="1"/>
    <xf numFmtId="0" fontId="4" fillId="0" borderId="0" xfId="0" applyFont="1"/>
    <xf numFmtId="9" fontId="18" fillId="0" borderId="0" xfId="1" applyFont="1" applyBorder="1"/>
    <xf numFmtId="0" fontId="4" fillId="0" borderId="0" xfId="0" applyFont="1" applyAlignment="1">
      <alignment horizontal="right"/>
    </xf>
    <xf numFmtId="165" fontId="0" fillId="0" borderId="7" xfId="0" applyNumberFormat="1" applyBorder="1"/>
    <xf numFmtId="0" fontId="4" fillId="0" borderId="14" xfId="0" applyFont="1" applyBorder="1"/>
    <xf numFmtId="0" fontId="13" fillId="0" borderId="0" xfId="0" applyFont="1" applyAlignment="1">
      <alignment horizontal="left" indent="2"/>
    </xf>
    <xf numFmtId="170" fontId="18" fillId="0" borderId="0" xfId="1" applyNumberFormat="1" applyFont="1" applyBorder="1"/>
    <xf numFmtId="165" fontId="13" fillId="0" borderId="0" xfId="0" applyNumberFormat="1" applyFont="1"/>
    <xf numFmtId="165" fontId="4" fillId="0" borderId="0" xfId="0" applyNumberFormat="1" applyFont="1"/>
    <xf numFmtId="178" fontId="18" fillId="0" borderId="0" xfId="0" applyNumberFormat="1" applyFont="1"/>
    <xf numFmtId="0" fontId="15" fillId="0" borderId="15" xfId="0" applyFont="1" applyBorder="1"/>
    <xf numFmtId="165" fontId="0" fillId="0" borderId="15" xfId="0" applyNumberFormat="1" applyBorder="1"/>
    <xf numFmtId="0" fontId="0" fillId="0" borderId="15" xfId="0" applyBorder="1"/>
    <xf numFmtId="165" fontId="18" fillId="0" borderId="15" xfId="0" applyNumberFormat="1" applyFont="1" applyBorder="1"/>
    <xf numFmtId="165" fontId="16" fillId="0" borderId="15" xfId="0" applyNumberFormat="1" applyFont="1" applyBorder="1"/>
    <xf numFmtId="0" fontId="16" fillId="0" borderId="15" xfId="0" applyFont="1" applyBorder="1"/>
    <xf numFmtId="0" fontId="13" fillId="0" borderId="15" xfId="0" applyFont="1" applyBorder="1" applyAlignment="1">
      <alignment horizontal="left" indent="2"/>
    </xf>
    <xf numFmtId="169" fontId="18" fillId="0" borderId="15" xfId="0" applyNumberFormat="1" applyFont="1" applyBorder="1"/>
    <xf numFmtId="165" fontId="19" fillId="0" borderId="15" xfId="0" applyNumberFormat="1" applyFont="1" applyBorder="1"/>
    <xf numFmtId="0" fontId="12" fillId="0" borderId="15" xfId="0" applyFont="1" applyBorder="1" applyAlignment="1">
      <alignment horizontal="left" indent="2"/>
    </xf>
    <xf numFmtId="170" fontId="18" fillId="0" borderId="15" xfId="1" applyNumberFormat="1" applyFont="1" applyBorder="1"/>
    <xf numFmtId="165" fontId="13" fillId="0" borderId="15" xfId="0" applyNumberFormat="1" applyFont="1" applyBorder="1"/>
    <xf numFmtId="0" fontId="11" fillId="0" borderId="15" xfId="0" applyFont="1" applyBorder="1"/>
    <xf numFmtId="0" fontId="4" fillId="0" borderId="15" xfId="0" applyFont="1" applyBorder="1"/>
    <xf numFmtId="165" fontId="4" fillId="0" borderId="15" xfId="0" applyNumberFormat="1" applyFont="1" applyBorder="1"/>
    <xf numFmtId="169" fontId="50" fillId="0" borderId="15" xfId="0" applyNumberFormat="1" applyFont="1" applyBorder="1"/>
    <xf numFmtId="165" fontId="20" fillId="0" borderId="15" xfId="0" applyNumberFormat="1" applyFont="1" applyBorder="1"/>
    <xf numFmtId="0" fontId="13" fillId="0" borderId="15" xfId="0" applyFont="1" applyBorder="1"/>
    <xf numFmtId="0" fontId="12" fillId="0" borderId="15" xfId="0" applyFont="1" applyBorder="1"/>
    <xf numFmtId="0" fontId="49" fillId="0" borderId="0" xfId="0" applyFont="1"/>
    <xf numFmtId="165" fontId="49" fillId="0" borderId="0" xfId="0" applyNumberFormat="1" applyFont="1"/>
    <xf numFmtId="0" fontId="31" fillId="4" borderId="9" xfId="0" applyFont="1" applyFill="1" applyBorder="1" applyAlignment="1">
      <alignment vertical="center" wrapText="1" readingOrder="1"/>
    </xf>
    <xf numFmtId="0" fontId="0" fillId="0" borderId="6" xfId="0" applyBorder="1"/>
    <xf numFmtId="0" fontId="15" fillId="0" borderId="0" xfId="0" applyFont="1" applyAlignment="1">
      <alignment horizontal="center" wrapText="1"/>
    </xf>
    <xf numFmtId="0" fontId="3" fillId="0" borderId="0" xfId="0" applyFont="1"/>
    <xf numFmtId="0" fontId="46" fillId="0" borderId="0" xfId="0" applyFont="1"/>
    <xf numFmtId="165" fontId="51" fillId="0" borderId="0" xfId="0" applyNumberFormat="1" applyFont="1"/>
    <xf numFmtId="165" fontId="52" fillId="0" borderId="15" xfId="0" applyNumberFormat="1" applyFont="1" applyBorder="1"/>
    <xf numFmtId="0" fontId="20" fillId="0" borderId="15" xfId="0" applyFont="1" applyBorder="1"/>
    <xf numFmtId="0" fontId="3" fillId="0" borderId="5" xfId="0" applyFont="1" applyBorder="1"/>
    <xf numFmtId="0" fontId="0" fillId="0" borderId="14" xfId="0" applyBorder="1"/>
    <xf numFmtId="0" fontId="31" fillId="4" borderId="9" xfId="0" applyFont="1" applyFill="1" applyBorder="1" applyAlignment="1">
      <alignment horizontal="right" vertical="center" wrapText="1" indent="1" readingOrder="1"/>
    </xf>
    <xf numFmtId="0" fontId="15" fillId="0" borderId="4" xfId="0" applyFont="1" applyBorder="1"/>
    <xf numFmtId="165" fontId="15" fillId="0" borderId="4" xfId="0" applyNumberFormat="1" applyFont="1" applyBorder="1"/>
    <xf numFmtId="9" fontId="53" fillId="0" borderId="4" xfId="1" applyFont="1" applyBorder="1"/>
    <xf numFmtId="9" fontId="15" fillId="0" borderId="4" xfId="0" applyNumberFormat="1" applyFont="1" applyBorder="1"/>
    <xf numFmtId="165" fontId="15" fillId="0" borderId="9" xfId="0" applyNumberFormat="1" applyFont="1" applyBorder="1"/>
    <xf numFmtId="0" fontId="5" fillId="0" borderId="16" xfId="0" applyFont="1" applyBorder="1"/>
    <xf numFmtId="0" fontId="12" fillId="0" borderId="17" xfId="0" applyFont="1" applyBorder="1"/>
    <xf numFmtId="165" fontId="0" fillId="0" borderId="18" xfId="0" applyNumberFormat="1" applyBorder="1"/>
    <xf numFmtId="0" fontId="15" fillId="0" borderId="19" xfId="0" applyFont="1" applyBorder="1"/>
    <xf numFmtId="0" fontId="13" fillId="0" borderId="21" xfId="0" applyFont="1" applyBorder="1"/>
    <xf numFmtId="0" fontId="13" fillId="0" borderId="22" xfId="0" applyFont="1" applyBorder="1"/>
    <xf numFmtId="9" fontId="0" fillId="0" borderId="23" xfId="0" applyNumberFormat="1" applyBorder="1"/>
    <xf numFmtId="0" fontId="31" fillId="0" borderId="15" xfId="0" applyFont="1" applyBorder="1" applyAlignment="1">
      <alignment horizontal="left" vertical="center" wrapText="1" indent="1" readingOrder="1"/>
    </xf>
    <xf numFmtId="0" fontId="31" fillId="0" borderId="15" xfId="0" applyFont="1" applyBorder="1" applyAlignment="1">
      <alignment vertical="center" wrapText="1" readingOrder="1"/>
    </xf>
    <xf numFmtId="0" fontId="30" fillId="0" borderId="15" xfId="0" applyFont="1" applyBorder="1" applyAlignment="1">
      <alignment horizontal="left" vertical="center" wrapText="1" indent="1" readingOrder="1"/>
    </xf>
    <xf numFmtId="0" fontId="30" fillId="0" borderId="15" xfId="0" applyFont="1" applyBorder="1" applyAlignment="1">
      <alignment horizontal="left" vertical="center" wrapText="1" readingOrder="1"/>
    </xf>
    <xf numFmtId="0" fontId="30" fillId="0" borderId="15" xfId="0" applyFont="1" applyBorder="1" applyAlignment="1">
      <alignment vertical="center" wrapText="1" readingOrder="1"/>
    </xf>
    <xf numFmtId="0" fontId="31" fillId="0" borderId="15" xfId="0" applyFont="1" applyBorder="1" applyAlignment="1">
      <alignment horizontal="left" vertical="center" wrapText="1" readingOrder="1"/>
    </xf>
    <xf numFmtId="9" fontId="30" fillId="0" borderId="15" xfId="0" applyNumberFormat="1" applyFont="1" applyBorder="1" applyAlignment="1">
      <alignment horizontal="left" vertical="center" wrapText="1" readingOrder="1"/>
    </xf>
    <xf numFmtId="170" fontId="15" fillId="0" borderId="20" xfId="0" applyNumberFormat="1" applyFont="1" applyBorder="1"/>
    <xf numFmtId="179" fontId="15" fillId="0" borderId="20" xfId="0" applyNumberFormat="1" applyFont="1" applyBorder="1"/>
    <xf numFmtId="169" fontId="0" fillId="0" borderId="0" xfId="0" applyNumberFormat="1"/>
    <xf numFmtId="3" fontId="0" fillId="0" borderId="15" xfId="0" applyNumberFormat="1" applyBorder="1"/>
    <xf numFmtId="0" fontId="2" fillId="0" borderId="15" xfId="0" applyFont="1" applyBorder="1"/>
    <xf numFmtId="0" fontId="4" fillId="0" borderId="15" xfId="0" applyFont="1" applyBorder="1" applyAlignment="1">
      <alignment horizontal="right"/>
    </xf>
    <xf numFmtId="0" fontId="15" fillId="0" borderId="0" xfId="0" applyFont="1" applyAlignment="1">
      <alignment horizontal="center" wrapText="1"/>
    </xf>
    <xf numFmtId="0" fontId="1" fillId="0" borderId="0" xfId="0" applyFont="1"/>
    <xf numFmtId="0" fontId="1" fillId="0" borderId="0" xfId="0" applyFont="1" applyAlignment="1">
      <alignment horizontal="left"/>
    </xf>
  </cellXfs>
  <cellStyles count="4">
    <cellStyle name="Comma" xfId="3" builtinId="3"/>
    <cellStyle name="Hyperlink" xfId="2" builtinId="8"/>
    <cellStyle name="Normal" xfId="0" builtinId="0"/>
    <cellStyle name="Per 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531495</xdr:colOff>
      <xdr:row>100</xdr:row>
      <xdr:rowOff>59054</xdr:rowOff>
    </xdr:from>
    <xdr:to>
      <xdr:col>2</xdr:col>
      <xdr:colOff>1374329</xdr:colOff>
      <xdr:row>115</xdr:row>
      <xdr:rowOff>72838</xdr:rowOff>
    </xdr:to>
    <xdr:pic>
      <xdr:nvPicPr>
        <xdr:cNvPr id="4" name="Picture 3">
          <a:extLst>
            <a:ext uri="{FF2B5EF4-FFF2-40B4-BE49-F238E27FC236}">
              <a16:creationId xmlns:a16="http://schemas.microsoft.com/office/drawing/2014/main" id="{ABD870EC-A24B-D57F-71DF-55A91FA84C8D}"/>
            </a:ext>
          </a:extLst>
        </xdr:cNvPr>
        <xdr:cNvPicPr>
          <a:picLocks noChangeAspect="1"/>
        </xdr:cNvPicPr>
      </xdr:nvPicPr>
      <xdr:blipFill>
        <a:blip xmlns:r="http://schemas.openxmlformats.org/officeDocument/2006/relationships" r:embed="rId1"/>
        <a:stretch>
          <a:fillRect/>
        </a:stretch>
      </xdr:blipFill>
      <xdr:spPr>
        <a:xfrm>
          <a:off x="531495" y="24100154"/>
          <a:ext cx="5729159" cy="2728409"/>
        </a:xfrm>
        <a:prstGeom prst="rect">
          <a:avLst/>
        </a:prstGeom>
      </xdr:spPr>
    </xdr:pic>
    <xdr:clientData/>
  </xdr:twoCellAnchor>
  <xdr:twoCellAnchor editAs="oneCell">
    <xdr:from>
      <xdr:col>3</xdr:col>
      <xdr:colOff>28575</xdr:colOff>
      <xdr:row>100</xdr:row>
      <xdr:rowOff>40005</xdr:rowOff>
    </xdr:from>
    <xdr:to>
      <xdr:col>10</xdr:col>
      <xdr:colOff>285245</xdr:colOff>
      <xdr:row>116</xdr:row>
      <xdr:rowOff>53763</xdr:rowOff>
    </xdr:to>
    <xdr:pic>
      <xdr:nvPicPr>
        <xdr:cNvPr id="5" name="Picture 4">
          <a:extLst>
            <a:ext uri="{FF2B5EF4-FFF2-40B4-BE49-F238E27FC236}">
              <a16:creationId xmlns:a16="http://schemas.microsoft.com/office/drawing/2014/main" id="{A2C82F30-4F32-D2EC-D400-0B39E359E525}"/>
            </a:ext>
          </a:extLst>
        </xdr:cNvPr>
        <xdr:cNvPicPr>
          <a:picLocks noChangeAspect="1"/>
        </xdr:cNvPicPr>
      </xdr:nvPicPr>
      <xdr:blipFill>
        <a:blip xmlns:r="http://schemas.openxmlformats.org/officeDocument/2006/relationships" r:embed="rId2"/>
        <a:stretch>
          <a:fillRect/>
        </a:stretch>
      </xdr:blipFill>
      <xdr:spPr>
        <a:xfrm>
          <a:off x="6410325" y="24081105"/>
          <a:ext cx="6236465" cy="2903643"/>
        </a:xfrm>
        <a:prstGeom prst="rect">
          <a:avLst/>
        </a:prstGeom>
      </xdr:spPr>
    </xdr:pic>
    <xdr:clientData/>
  </xdr:twoCellAnchor>
  <xdr:twoCellAnchor editAs="oneCell">
    <xdr:from>
      <xdr:col>10</xdr:col>
      <xdr:colOff>553210</xdr:colOff>
      <xdr:row>100</xdr:row>
      <xdr:rowOff>81915</xdr:rowOff>
    </xdr:from>
    <xdr:to>
      <xdr:col>20</xdr:col>
      <xdr:colOff>475252</xdr:colOff>
      <xdr:row>117</xdr:row>
      <xdr:rowOff>53797</xdr:rowOff>
    </xdr:to>
    <xdr:pic>
      <xdr:nvPicPr>
        <xdr:cNvPr id="6" name="Picture 5">
          <a:extLst>
            <a:ext uri="{FF2B5EF4-FFF2-40B4-BE49-F238E27FC236}">
              <a16:creationId xmlns:a16="http://schemas.microsoft.com/office/drawing/2014/main" id="{AF7BB471-E27D-9D64-BA3D-45C8868D27D1}"/>
            </a:ext>
          </a:extLst>
        </xdr:cNvPr>
        <xdr:cNvPicPr>
          <a:picLocks noChangeAspect="1"/>
        </xdr:cNvPicPr>
      </xdr:nvPicPr>
      <xdr:blipFill>
        <a:blip xmlns:r="http://schemas.openxmlformats.org/officeDocument/2006/relationships" r:embed="rId3"/>
        <a:stretch>
          <a:fillRect/>
        </a:stretch>
      </xdr:blipFill>
      <xdr:spPr>
        <a:xfrm>
          <a:off x="12802360" y="24123015"/>
          <a:ext cx="6025662" cy="304274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romind.life/retreat-afric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outstandingtent.com/safari-tents-and-glamping-lodges/safari-tent-wood/" TargetMode="External"/><Relationship Id="rId7" Type="http://schemas.openxmlformats.org/officeDocument/2006/relationships/printerSettings" Target="../printerSettings/printerSettings2.bin"/><Relationship Id="rId2" Type="http://schemas.openxmlformats.org/officeDocument/2006/relationships/hyperlink" Target="https://falksontents.co.za/products/safari-lodge-lx" TargetMode="External"/><Relationship Id="rId1" Type="http://schemas.openxmlformats.org/officeDocument/2006/relationships/hyperlink" Target="https://promind.life/retreat-africa/" TargetMode="External"/><Relationship Id="rId6" Type="http://schemas.openxmlformats.org/officeDocument/2006/relationships/hyperlink" Target="https://skyniks.co.ke/product/perkins-80kva-diesel-silent-generator-heavy-duty-3phase/" TargetMode="External"/><Relationship Id="rId5" Type="http://schemas.openxmlformats.org/officeDocument/2006/relationships/hyperlink" Target="https://gastonkenya.com/" TargetMode="External"/><Relationship Id="rId4" Type="http://schemas.openxmlformats.org/officeDocument/2006/relationships/hyperlink" Target="https://www.eastafricancanvas.com/about-us/"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72AC3-D348-49E7-B8F9-560108869383}">
  <dimension ref="A1:CE1030"/>
  <sheetViews>
    <sheetView showGridLines="0" tabSelected="1" zoomScale="80" zoomScaleNormal="80" workbookViewId="0"/>
  </sheetViews>
  <sheetFormatPr defaultColWidth="12.6640625" defaultRowHeight="15" customHeight="1" outlineLevelRow="1" outlineLevelCol="1"/>
  <cols>
    <col min="1" max="1" width="44.44140625" customWidth="1"/>
    <col min="2" max="2" width="20.21875" customWidth="1"/>
    <col min="3" max="3" width="22.44140625" customWidth="1"/>
    <col min="4" max="4" width="20.21875" customWidth="1"/>
    <col min="5" max="5" width="15.77734375" customWidth="1"/>
    <col min="6" max="6" width="15.21875" customWidth="1"/>
    <col min="7" max="8" width="12.88671875" customWidth="1"/>
    <col min="9" max="9" width="10.6640625" customWidth="1"/>
    <col min="10" max="10" width="13.77734375" customWidth="1"/>
    <col min="11" max="11" width="3.33203125" customWidth="1"/>
    <col min="12" max="12" width="3.5546875" customWidth="1"/>
    <col min="13" max="13" width="26.109375" hidden="1" customWidth="1" outlineLevel="1"/>
    <col min="14" max="15" width="9" hidden="1" customWidth="1" outlineLevel="1"/>
    <col min="16" max="16" width="9.6640625" hidden="1" customWidth="1" outlineLevel="1"/>
    <col min="17" max="19" width="9" hidden="1" customWidth="1" outlineLevel="1"/>
    <col min="20" max="25" width="9.6640625" hidden="1" customWidth="1" outlineLevel="1"/>
    <col min="26" max="26" width="9.33203125" hidden="1" customWidth="1" outlineLevel="1"/>
    <col min="27" max="27" width="8.6640625" customWidth="1" collapsed="1"/>
    <col min="28" max="39" width="9.6640625" hidden="1" customWidth="1" outlineLevel="1"/>
    <col min="40" max="40" width="9.33203125" hidden="1" customWidth="1" outlineLevel="1"/>
    <col min="41" max="41" width="12.6640625" collapsed="1"/>
    <col min="42" max="53" width="9.6640625" hidden="1" customWidth="1" outlineLevel="1"/>
    <col min="54" max="54" width="9.33203125" hidden="1" customWidth="1" outlineLevel="1"/>
    <col min="55" max="55" width="12.6640625" collapsed="1"/>
    <col min="56" max="67" width="9.6640625" hidden="1" customWidth="1" outlineLevel="1"/>
    <col min="68" max="68" width="9.33203125" hidden="1" customWidth="1" outlineLevel="1"/>
    <col min="69" max="69" width="12.6640625" collapsed="1"/>
    <col min="70" max="81" width="9.6640625" hidden="1" customWidth="1" outlineLevel="1"/>
    <col min="82" max="82" width="12.6640625" hidden="1" customWidth="1" outlineLevel="1"/>
    <col min="83" max="83" width="12.6640625" collapsed="1"/>
  </cols>
  <sheetData>
    <row r="1" spans="1:83" ht="14.25" customHeight="1">
      <c r="A1" s="7" t="s">
        <v>1</v>
      </c>
      <c r="B1" s="7" t="s">
        <v>2</v>
      </c>
    </row>
    <row r="2" spans="1:83" ht="14.25" customHeight="1">
      <c r="A2" s="7" t="s">
        <v>3</v>
      </c>
      <c r="B2" s="7" t="s">
        <v>4</v>
      </c>
    </row>
    <row r="3" spans="1:83" ht="14.25" customHeight="1">
      <c r="A3" t="s">
        <v>8</v>
      </c>
      <c r="B3" s="2" t="s">
        <v>7</v>
      </c>
    </row>
    <row r="4" spans="1:83" ht="14.25" customHeight="1">
      <c r="A4" s="4" t="s">
        <v>10</v>
      </c>
      <c r="B4" s="21">
        <f>B6*C6</f>
        <v>12000</v>
      </c>
      <c r="C4">
        <f>B4/10000</f>
        <v>1.2</v>
      </c>
      <c r="D4" s="24" t="s">
        <v>58</v>
      </c>
    </row>
    <row r="5" spans="1:83" ht="14.25" customHeight="1">
      <c r="A5" s="4" t="s">
        <v>16</v>
      </c>
      <c r="B5" s="11">
        <f>B6*2+C6*2</f>
        <v>440</v>
      </c>
    </row>
    <row r="6" spans="1:83" ht="14.25" customHeight="1">
      <c r="A6" s="24" t="s">
        <v>59</v>
      </c>
      <c r="B6" s="10">
        <v>120</v>
      </c>
      <c r="C6" s="10">
        <v>100</v>
      </c>
    </row>
    <row r="7" spans="1:83" ht="14.25" customHeight="1">
      <c r="A7" s="4"/>
      <c r="B7" s="10"/>
      <c r="C7" s="10"/>
    </row>
    <row r="8" spans="1:83" ht="14.25" customHeight="1">
      <c r="A8" s="4" t="s">
        <v>14</v>
      </c>
      <c r="B8" s="5">
        <v>129.15</v>
      </c>
      <c r="C8" s="4" t="s">
        <v>15</v>
      </c>
    </row>
    <row r="9" spans="1:83" ht="14.25" customHeight="1">
      <c r="N9">
        <f>N17*N18*B14*$B$21</f>
        <v>186</v>
      </c>
    </row>
    <row r="10" spans="1:83" ht="18">
      <c r="A10" s="63" t="s">
        <v>623</v>
      </c>
      <c r="B10" s="7"/>
      <c r="C10" s="7"/>
      <c r="D10" s="7"/>
    </row>
    <row r="11" spans="1:83" ht="14.25" customHeight="1">
      <c r="A11" s="7"/>
      <c r="B11" s="7"/>
      <c r="C11" s="7"/>
      <c r="D11" s="7"/>
    </row>
    <row r="12" spans="1:83" ht="18">
      <c r="A12" s="63" t="s">
        <v>19</v>
      </c>
      <c r="B12" s="7"/>
      <c r="E12" s="200" t="s">
        <v>709</v>
      </c>
      <c r="F12" s="200"/>
      <c r="G12" s="200"/>
      <c r="H12" s="200"/>
      <c r="I12" s="200"/>
      <c r="J12" s="200"/>
      <c r="N12" s="200" t="s">
        <v>710</v>
      </c>
      <c r="O12" s="200"/>
      <c r="P12" s="200"/>
      <c r="Q12" s="200"/>
      <c r="R12" s="200"/>
      <c r="S12" s="200"/>
      <c r="T12" s="200"/>
      <c r="U12" s="200"/>
      <c r="V12" s="200"/>
      <c r="W12" s="200"/>
      <c r="X12" s="200"/>
      <c r="Y12" s="200"/>
      <c r="AB12" s="200" t="s">
        <v>662</v>
      </c>
      <c r="AC12" s="200"/>
      <c r="AD12" s="200"/>
      <c r="AE12" s="200"/>
      <c r="AF12" s="200"/>
      <c r="AG12" s="200"/>
      <c r="AH12" s="200"/>
      <c r="AI12" s="200"/>
      <c r="AJ12" s="200"/>
      <c r="AK12" s="200"/>
      <c r="AL12" s="200"/>
      <c r="AM12" s="200"/>
      <c r="AP12" s="200" t="s">
        <v>662</v>
      </c>
      <c r="AQ12" s="200"/>
      <c r="AR12" s="200"/>
      <c r="AS12" s="200"/>
      <c r="AT12" s="200"/>
      <c r="AU12" s="200"/>
      <c r="AV12" s="200"/>
      <c r="AW12" s="200"/>
      <c r="AX12" s="200"/>
      <c r="AY12" s="200"/>
      <c r="AZ12" s="200"/>
      <c r="BA12" s="200"/>
      <c r="BD12" s="200" t="s">
        <v>662</v>
      </c>
      <c r="BE12" s="200"/>
      <c r="BF12" s="200"/>
      <c r="BG12" s="200"/>
      <c r="BH12" s="200"/>
      <c r="BI12" s="200"/>
      <c r="BJ12" s="200"/>
      <c r="BK12" s="200"/>
      <c r="BL12" s="200"/>
      <c r="BM12" s="200"/>
      <c r="BN12" s="200"/>
      <c r="BO12" s="200"/>
      <c r="BR12" s="200" t="s">
        <v>662</v>
      </c>
      <c r="BS12" s="200"/>
      <c r="BT12" s="200"/>
      <c r="BU12" s="200"/>
      <c r="BV12" s="200"/>
      <c r="BW12" s="200"/>
      <c r="BX12" s="200"/>
      <c r="BY12" s="200"/>
      <c r="BZ12" s="200"/>
      <c r="CA12" s="200"/>
      <c r="CB12" s="200"/>
      <c r="CC12" s="200"/>
    </row>
    <row r="13" spans="1:83" ht="11.4" customHeight="1">
      <c r="A13" s="63"/>
      <c r="B13" s="7"/>
      <c r="E13" s="166"/>
      <c r="F13" s="166"/>
      <c r="G13" s="166"/>
      <c r="H13" s="166"/>
      <c r="I13" s="166"/>
      <c r="J13" s="166"/>
      <c r="N13" s="166"/>
      <c r="O13" s="166"/>
      <c r="P13" s="166"/>
      <c r="Q13" s="166"/>
      <c r="R13" s="166"/>
      <c r="S13" s="166"/>
      <c r="T13" s="166"/>
      <c r="U13" s="166"/>
      <c r="V13" s="166"/>
      <c r="W13" s="166"/>
      <c r="X13" s="166"/>
      <c r="Y13" s="166"/>
      <c r="AB13" s="166"/>
      <c r="AC13" s="166"/>
      <c r="AD13" s="166"/>
      <c r="AE13" s="166"/>
      <c r="AF13" s="166"/>
      <c r="AG13" s="166"/>
      <c r="AH13" s="166"/>
      <c r="AI13" s="166"/>
      <c r="AJ13" s="166"/>
      <c r="AK13" s="166"/>
      <c r="AL13" s="166"/>
      <c r="AM13" s="166"/>
      <c r="AP13" s="166"/>
      <c r="AQ13" s="166"/>
      <c r="AR13" s="166"/>
      <c r="AS13" s="166"/>
      <c r="AT13" s="166"/>
      <c r="AU13" s="166"/>
      <c r="AV13" s="166"/>
      <c r="AW13" s="166"/>
      <c r="AX13" s="166"/>
      <c r="AY13" s="166"/>
      <c r="AZ13" s="166"/>
      <c r="BA13" s="166"/>
      <c r="BD13" s="166"/>
      <c r="BE13" s="166"/>
      <c r="BF13" s="166"/>
      <c r="BG13" s="166"/>
      <c r="BH13" s="166"/>
      <c r="BI13" s="166"/>
      <c r="BJ13" s="166"/>
      <c r="BK13" s="166"/>
      <c r="BL13" s="166"/>
      <c r="BM13" s="166"/>
      <c r="BN13" s="166"/>
      <c r="BO13" s="166"/>
      <c r="BR13" s="166"/>
      <c r="BS13" s="166"/>
      <c r="BT13" s="166"/>
      <c r="BU13" s="166"/>
      <c r="BV13" s="166"/>
      <c r="BW13" s="166"/>
      <c r="BX13" s="166"/>
      <c r="BY13" s="166"/>
      <c r="BZ13" s="166"/>
      <c r="CA13" s="166"/>
      <c r="CB13" s="166"/>
      <c r="CC13" s="166"/>
    </row>
    <row r="14" spans="1:83" ht="14.25" customHeight="1">
      <c r="A14" s="4" t="s">
        <v>20</v>
      </c>
      <c r="B14" s="1">
        <f>CAPEX!D14</f>
        <v>20</v>
      </c>
      <c r="D14" s="4"/>
      <c r="M14" s="27" t="s">
        <v>60</v>
      </c>
      <c r="N14" s="5">
        <v>1</v>
      </c>
      <c r="O14">
        <f>N14</f>
        <v>1</v>
      </c>
      <c r="P14">
        <f t="shared" ref="P14:Y14" si="0">O14</f>
        <v>1</v>
      </c>
      <c r="Q14">
        <f t="shared" si="0"/>
        <v>1</v>
      </c>
      <c r="R14">
        <f t="shared" si="0"/>
        <v>1</v>
      </c>
      <c r="S14">
        <f t="shared" si="0"/>
        <v>1</v>
      </c>
      <c r="T14">
        <f t="shared" si="0"/>
        <v>1</v>
      </c>
      <c r="U14">
        <f t="shared" si="0"/>
        <v>1</v>
      </c>
      <c r="V14">
        <f t="shared" si="0"/>
        <v>1</v>
      </c>
      <c r="W14">
        <f t="shared" si="0"/>
        <v>1</v>
      </c>
      <c r="X14">
        <f t="shared" si="0"/>
        <v>1</v>
      </c>
      <c r="Y14">
        <f t="shared" si="0"/>
        <v>1</v>
      </c>
      <c r="AB14">
        <f>N14+1</f>
        <v>2</v>
      </c>
      <c r="AC14">
        <f>AB14</f>
        <v>2</v>
      </c>
      <c r="AD14">
        <f t="shared" ref="AD14:AM14" si="1">AC14</f>
        <v>2</v>
      </c>
      <c r="AE14">
        <f t="shared" si="1"/>
        <v>2</v>
      </c>
      <c r="AF14">
        <f t="shared" si="1"/>
        <v>2</v>
      </c>
      <c r="AG14">
        <f t="shared" si="1"/>
        <v>2</v>
      </c>
      <c r="AH14">
        <f t="shared" si="1"/>
        <v>2</v>
      </c>
      <c r="AI14">
        <f t="shared" si="1"/>
        <v>2</v>
      </c>
      <c r="AJ14">
        <f t="shared" si="1"/>
        <v>2</v>
      </c>
      <c r="AK14">
        <f t="shared" si="1"/>
        <v>2</v>
      </c>
      <c r="AL14">
        <f t="shared" si="1"/>
        <v>2</v>
      </c>
      <c r="AM14">
        <f t="shared" si="1"/>
        <v>2</v>
      </c>
      <c r="AP14">
        <f>AB14+1</f>
        <v>3</v>
      </c>
      <c r="AQ14">
        <f>AP14</f>
        <v>3</v>
      </c>
      <c r="AR14">
        <f t="shared" ref="AR14:BA14" si="2">AQ14</f>
        <v>3</v>
      </c>
      <c r="AS14">
        <f t="shared" si="2"/>
        <v>3</v>
      </c>
      <c r="AT14">
        <f t="shared" si="2"/>
        <v>3</v>
      </c>
      <c r="AU14">
        <f t="shared" si="2"/>
        <v>3</v>
      </c>
      <c r="AV14">
        <f t="shared" si="2"/>
        <v>3</v>
      </c>
      <c r="AW14">
        <f t="shared" si="2"/>
        <v>3</v>
      </c>
      <c r="AX14">
        <f t="shared" si="2"/>
        <v>3</v>
      </c>
      <c r="AY14">
        <f t="shared" si="2"/>
        <v>3</v>
      </c>
      <c r="AZ14">
        <f t="shared" si="2"/>
        <v>3</v>
      </c>
      <c r="BA14">
        <f t="shared" si="2"/>
        <v>3</v>
      </c>
      <c r="BD14">
        <f>AP14+1</f>
        <v>4</v>
      </c>
      <c r="BE14">
        <f>BD14</f>
        <v>4</v>
      </c>
      <c r="BF14">
        <f t="shared" ref="BF14:BO14" si="3">BE14</f>
        <v>4</v>
      </c>
      <c r="BG14">
        <f t="shared" si="3"/>
        <v>4</v>
      </c>
      <c r="BH14">
        <f t="shared" si="3"/>
        <v>4</v>
      </c>
      <c r="BI14">
        <f t="shared" si="3"/>
        <v>4</v>
      </c>
      <c r="BJ14">
        <f t="shared" si="3"/>
        <v>4</v>
      </c>
      <c r="BK14">
        <f t="shared" si="3"/>
        <v>4</v>
      </c>
      <c r="BL14">
        <f t="shared" si="3"/>
        <v>4</v>
      </c>
      <c r="BM14">
        <f t="shared" si="3"/>
        <v>4</v>
      </c>
      <c r="BN14">
        <f t="shared" si="3"/>
        <v>4</v>
      </c>
      <c r="BO14">
        <f t="shared" si="3"/>
        <v>4</v>
      </c>
      <c r="BR14">
        <f>BD14+1</f>
        <v>5</v>
      </c>
      <c r="BS14">
        <f>BR14</f>
        <v>5</v>
      </c>
      <c r="BT14">
        <f t="shared" ref="BT14:CC14" si="4">BS14</f>
        <v>5</v>
      </c>
      <c r="BU14">
        <f t="shared" si="4"/>
        <v>5</v>
      </c>
      <c r="BV14">
        <f t="shared" si="4"/>
        <v>5</v>
      </c>
      <c r="BW14">
        <f t="shared" si="4"/>
        <v>5</v>
      </c>
      <c r="BX14">
        <f t="shared" si="4"/>
        <v>5</v>
      </c>
      <c r="BY14">
        <f t="shared" si="4"/>
        <v>5</v>
      </c>
      <c r="BZ14">
        <f t="shared" si="4"/>
        <v>5</v>
      </c>
      <c r="CA14">
        <f t="shared" si="4"/>
        <v>5</v>
      </c>
      <c r="CB14">
        <f t="shared" si="4"/>
        <v>5</v>
      </c>
      <c r="CC14">
        <f t="shared" si="4"/>
        <v>5</v>
      </c>
    </row>
    <row r="15" spans="1:83" ht="14.25" customHeight="1">
      <c r="A15" s="4"/>
      <c r="B15" s="202" t="s">
        <v>694</v>
      </c>
      <c r="C15" s="201" t="s">
        <v>697</v>
      </c>
      <c r="D15" s="4"/>
      <c r="M15" s="27"/>
      <c r="N15" s="5"/>
    </row>
    <row r="16" spans="1:83" ht="14.25" customHeight="1">
      <c r="A16" s="201" t="s">
        <v>695</v>
      </c>
      <c r="B16" s="13">
        <f>C16/(1+$B$95+$B$96)</f>
        <v>131.35593220338984</v>
      </c>
      <c r="C16" s="169">
        <v>155</v>
      </c>
      <c r="D16" s="7"/>
      <c r="M16" s="27" t="s">
        <v>61</v>
      </c>
      <c r="N16" s="5">
        <v>1</v>
      </c>
      <c r="O16" s="5">
        <v>2</v>
      </c>
      <c r="P16" s="5">
        <v>3</v>
      </c>
      <c r="Q16" s="5">
        <v>4</v>
      </c>
      <c r="R16" s="5">
        <v>5</v>
      </c>
      <c r="S16" s="5">
        <v>6</v>
      </c>
      <c r="T16" s="5">
        <v>7</v>
      </c>
      <c r="U16" s="5">
        <v>8</v>
      </c>
      <c r="V16" s="5">
        <v>9</v>
      </c>
      <c r="W16" s="5">
        <v>10</v>
      </c>
      <c r="X16" s="5">
        <v>11</v>
      </c>
      <c r="Y16" s="5">
        <v>12</v>
      </c>
      <c r="AB16">
        <f t="shared" ref="AB16:AM17" si="5">N16</f>
        <v>1</v>
      </c>
      <c r="AC16">
        <f t="shared" si="5"/>
        <v>2</v>
      </c>
      <c r="AD16">
        <f t="shared" si="5"/>
        <v>3</v>
      </c>
      <c r="AE16">
        <f t="shared" si="5"/>
        <v>4</v>
      </c>
      <c r="AF16">
        <f t="shared" si="5"/>
        <v>5</v>
      </c>
      <c r="AG16">
        <f t="shared" si="5"/>
        <v>6</v>
      </c>
      <c r="AH16">
        <f t="shared" si="5"/>
        <v>7</v>
      </c>
      <c r="AI16">
        <f t="shared" si="5"/>
        <v>8</v>
      </c>
      <c r="AJ16">
        <f t="shared" si="5"/>
        <v>9</v>
      </c>
      <c r="AK16">
        <f t="shared" si="5"/>
        <v>10</v>
      </c>
      <c r="AL16">
        <f t="shared" si="5"/>
        <v>11</v>
      </c>
      <c r="AM16">
        <f t="shared" si="5"/>
        <v>12</v>
      </c>
      <c r="AP16">
        <f>AB16</f>
        <v>1</v>
      </c>
      <c r="AQ16">
        <f t="shared" ref="AQ16:AQ17" si="6">AC16</f>
        <v>2</v>
      </c>
      <c r="AR16">
        <f t="shared" ref="AR16:AR17" si="7">AD16</f>
        <v>3</v>
      </c>
      <c r="AS16">
        <f t="shared" ref="AS16:AS17" si="8">AE16</f>
        <v>4</v>
      </c>
      <c r="AT16">
        <f t="shared" ref="AT16:AT17" si="9">AF16</f>
        <v>5</v>
      </c>
      <c r="AU16">
        <f t="shared" ref="AU16:AU17" si="10">AG16</f>
        <v>6</v>
      </c>
      <c r="AV16">
        <f t="shared" ref="AV16:AV17" si="11">AH16</f>
        <v>7</v>
      </c>
      <c r="AW16">
        <f t="shared" ref="AW16:AW17" si="12">AI16</f>
        <v>8</v>
      </c>
      <c r="AX16">
        <f t="shared" ref="AX16:AX17" si="13">AJ16</f>
        <v>9</v>
      </c>
      <c r="AY16">
        <f t="shared" ref="AY16:AY17" si="14">AK16</f>
        <v>10</v>
      </c>
      <c r="AZ16">
        <f t="shared" ref="AZ16:AZ17" si="15">AL16</f>
        <v>11</v>
      </c>
      <c r="BA16">
        <f t="shared" ref="BA16:BA17" si="16">AM16</f>
        <v>12</v>
      </c>
      <c r="BD16">
        <f>AP16</f>
        <v>1</v>
      </c>
      <c r="BE16">
        <f t="shared" ref="BE16:BE17" si="17">AQ16</f>
        <v>2</v>
      </c>
      <c r="BF16">
        <f t="shared" ref="BF16:BF17" si="18">AR16</f>
        <v>3</v>
      </c>
      <c r="BG16">
        <f t="shared" ref="BG16:BG17" si="19">AS16</f>
        <v>4</v>
      </c>
      <c r="BH16">
        <f t="shared" ref="BH16:BH17" si="20">AT16</f>
        <v>5</v>
      </c>
      <c r="BI16">
        <f t="shared" ref="BI16:BI17" si="21">AU16</f>
        <v>6</v>
      </c>
      <c r="BJ16">
        <f t="shared" ref="BJ16:BJ17" si="22">AV16</f>
        <v>7</v>
      </c>
      <c r="BK16">
        <f t="shared" ref="BK16:BK17" si="23">AW16</f>
        <v>8</v>
      </c>
      <c r="BL16">
        <f t="shared" ref="BL16:BL17" si="24">AX16</f>
        <v>9</v>
      </c>
      <c r="BM16">
        <f t="shared" ref="BM16:BM17" si="25">AY16</f>
        <v>10</v>
      </c>
      <c r="BN16">
        <f t="shared" ref="BN16:BN17" si="26">AZ16</f>
        <v>11</v>
      </c>
      <c r="BO16">
        <f t="shared" ref="BO16:BO17" si="27">BA16</f>
        <v>12</v>
      </c>
      <c r="BQ16" s="19"/>
      <c r="BR16">
        <f>BD16</f>
        <v>1</v>
      </c>
      <c r="BS16">
        <f t="shared" ref="BS16:BS17" si="28">BE16</f>
        <v>2</v>
      </c>
      <c r="BT16">
        <f t="shared" ref="BT16:BT17" si="29">BF16</f>
        <v>3</v>
      </c>
      <c r="BU16">
        <f t="shared" ref="BU16:BU17" si="30">BG16</f>
        <v>4</v>
      </c>
      <c r="BV16">
        <f t="shared" ref="BV16:BV17" si="31">BH16</f>
        <v>5</v>
      </c>
      <c r="BW16">
        <f t="shared" ref="BW16:BW17" si="32">BI16</f>
        <v>6</v>
      </c>
      <c r="BX16">
        <f t="shared" ref="BX16:BX17" si="33">BJ16</f>
        <v>7</v>
      </c>
      <c r="BY16">
        <f t="shared" ref="BY16:BY17" si="34">BK16</f>
        <v>8</v>
      </c>
      <c r="BZ16">
        <f t="shared" ref="BZ16:BZ17" si="35">BL16</f>
        <v>9</v>
      </c>
      <c r="CA16">
        <f t="shared" ref="CA16:CA17" si="36">BM16</f>
        <v>10</v>
      </c>
      <c r="CB16">
        <f t="shared" ref="CB16:CB17" si="37">BN16</f>
        <v>11</v>
      </c>
      <c r="CC16">
        <f t="shared" ref="CC16:CC17" si="38">BO16</f>
        <v>12</v>
      </c>
      <c r="CE16" s="19"/>
    </row>
    <row r="17" spans="1:82" ht="14.25" customHeight="1">
      <c r="A17" s="4" t="s">
        <v>44</v>
      </c>
      <c r="B17" s="15">
        <v>365</v>
      </c>
      <c r="C17" s="4"/>
      <c r="D17" s="4"/>
      <c r="M17" s="27" t="s">
        <v>62</v>
      </c>
      <c r="N17" s="5">
        <v>31</v>
      </c>
      <c r="O17" s="5">
        <v>28</v>
      </c>
      <c r="P17" s="5">
        <v>31</v>
      </c>
      <c r="Q17" s="5">
        <v>30</v>
      </c>
      <c r="R17" s="5">
        <v>31</v>
      </c>
      <c r="S17" s="5">
        <v>30</v>
      </c>
      <c r="T17" s="5">
        <v>31</v>
      </c>
      <c r="U17" s="5">
        <v>31</v>
      </c>
      <c r="V17" s="5">
        <v>30</v>
      </c>
      <c r="W17" s="5">
        <v>31</v>
      </c>
      <c r="X17" s="5">
        <v>30</v>
      </c>
      <c r="Y17" s="5">
        <v>31</v>
      </c>
      <c r="AB17">
        <f t="shared" si="5"/>
        <v>31</v>
      </c>
      <c r="AC17">
        <f t="shared" si="5"/>
        <v>28</v>
      </c>
      <c r="AD17">
        <f t="shared" si="5"/>
        <v>31</v>
      </c>
      <c r="AE17">
        <f t="shared" si="5"/>
        <v>30</v>
      </c>
      <c r="AF17">
        <f t="shared" si="5"/>
        <v>31</v>
      </c>
      <c r="AG17">
        <f t="shared" si="5"/>
        <v>30</v>
      </c>
      <c r="AH17">
        <f t="shared" si="5"/>
        <v>31</v>
      </c>
      <c r="AI17">
        <f t="shared" si="5"/>
        <v>31</v>
      </c>
      <c r="AJ17">
        <f t="shared" si="5"/>
        <v>30</v>
      </c>
      <c r="AK17">
        <f t="shared" si="5"/>
        <v>31</v>
      </c>
      <c r="AL17">
        <f t="shared" si="5"/>
        <v>30</v>
      </c>
      <c r="AM17">
        <f t="shared" si="5"/>
        <v>31</v>
      </c>
      <c r="AP17">
        <f>AB17</f>
        <v>31</v>
      </c>
      <c r="AQ17">
        <f t="shared" si="6"/>
        <v>28</v>
      </c>
      <c r="AR17">
        <f t="shared" si="7"/>
        <v>31</v>
      </c>
      <c r="AS17">
        <f t="shared" si="8"/>
        <v>30</v>
      </c>
      <c r="AT17">
        <f t="shared" si="9"/>
        <v>31</v>
      </c>
      <c r="AU17">
        <f t="shared" si="10"/>
        <v>30</v>
      </c>
      <c r="AV17">
        <f t="shared" si="11"/>
        <v>31</v>
      </c>
      <c r="AW17">
        <f t="shared" si="12"/>
        <v>31</v>
      </c>
      <c r="AX17">
        <f t="shared" si="13"/>
        <v>30</v>
      </c>
      <c r="AY17">
        <f t="shared" si="14"/>
        <v>31</v>
      </c>
      <c r="AZ17">
        <f t="shared" si="15"/>
        <v>30</v>
      </c>
      <c r="BA17">
        <f t="shared" si="16"/>
        <v>31</v>
      </c>
      <c r="BD17">
        <f>AP17</f>
        <v>31</v>
      </c>
      <c r="BE17">
        <f t="shared" si="17"/>
        <v>28</v>
      </c>
      <c r="BF17">
        <f t="shared" si="18"/>
        <v>31</v>
      </c>
      <c r="BG17">
        <f t="shared" si="19"/>
        <v>30</v>
      </c>
      <c r="BH17">
        <f t="shared" si="20"/>
        <v>31</v>
      </c>
      <c r="BI17">
        <f t="shared" si="21"/>
        <v>30</v>
      </c>
      <c r="BJ17">
        <f t="shared" si="22"/>
        <v>31</v>
      </c>
      <c r="BK17">
        <f t="shared" si="23"/>
        <v>31</v>
      </c>
      <c r="BL17">
        <f t="shared" si="24"/>
        <v>30</v>
      </c>
      <c r="BM17">
        <f t="shared" si="25"/>
        <v>31</v>
      </c>
      <c r="BN17">
        <f t="shared" si="26"/>
        <v>30</v>
      </c>
      <c r="BO17">
        <f t="shared" si="27"/>
        <v>31</v>
      </c>
      <c r="BR17">
        <f>BD17</f>
        <v>31</v>
      </c>
      <c r="BS17">
        <f t="shared" si="28"/>
        <v>28</v>
      </c>
      <c r="BT17">
        <f t="shared" si="29"/>
        <v>31</v>
      </c>
      <c r="BU17">
        <f t="shared" si="30"/>
        <v>30</v>
      </c>
      <c r="BV17">
        <f t="shared" si="31"/>
        <v>31</v>
      </c>
      <c r="BW17">
        <f t="shared" si="32"/>
        <v>30</v>
      </c>
      <c r="BX17">
        <f t="shared" si="33"/>
        <v>31</v>
      </c>
      <c r="BY17">
        <f t="shared" si="34"/>
        <v>31</v>
      </c>
      <c r="BZ17">
        <f t="shared" si="35"/>
        <v>30</v>
      </c>
      <c r="CA17">
        <f t="shared" si="36"/>
        <v>31</v>
      </c>
      <c r="CB17">
        <f t="shared" si="37"/>
        <v>30</v>
      </c>
      <c r="CC17">
        <f t="shared" si="38"/>
        <v>31</v>
      </c>
    </row>
    <row r="18" spans="1:82" ht="14.25" customHeight="1">
      <c r="A18" s="4" t="s">
        <v>22</v>
      </c>
      <c r="B18" s="16">
        <v>0.6</v>
      </c>
      <c r="C18" s="4"/>
      <c r="D18" s="4"/>
      <c r="E18" s="160" t="s">
        <v>46</v>
      </c>
      <c r="F18" s="160" t="s">
        <v>47</v>
      </c>
      <c r="G18" s="160" t="s">
        <v>48</v>
      </c>
      <c r="H18" s="160" t="s">
        <v>49</v>
      </c>
      <c r="I18" s="160" t="s">
        <v>50</v>
      </c>
      <c r="J18" s="161" t="s">
        <v>54</v>
      </c>
      <c r="M18" s="27" t="s">
        <v>21</v>
      </c>
      <c r="N18" s="28">
        <v>0.2</v>
      </c>
      <c r="O18" s="28">
        <v>0.2</v>
      </c>
      <c r="P18" s="28">
        <v>0.2</v>
      </c>
      <c r="Q18" s="28">
        <v>0.25</v>
      </c>
      <c r="R18" s="28">
        <v>0.25</v>
      </c>
      <c r="S18" s="28">
        <v>0.25</v>
      </c>
      <c r="T18" s="28">
        <v>0.3</v>
      </c>
      <c r="U18" s="28">
        <v>0.3</v>
      </c>
      <c r="V18" s="28">
        <v>0.3</v>
      </c>
      <c r="W18" s="28">
        <v>0.4</v>
      </c>
      <c r="X18" s="28">
        <v>0.4</v>
      </c>
      <c r="Y18" s="28">
        <v>0.4</v>
      </c>
      <c r="Z18" s="25">
        <f>IFERROR(SUMPRODUCT(N17:Y17, N18:Y18) / SUM(N17:Y17), 0)</f>
        <v>0.28808219178082195</v>
      </c>
      <c r="AB18" s="28">
        <v>0.4</v>
      </c>
      <c r="AC18" s="28">
        <v>0.4</v>
      </c>
      <c r="AD18" s="28">
        <v>0.4</v>
      </c>
      <c r="AE18" s="28">
        <v>0.5</v>
      </c>
      <c r="AF18" s="28">
        <v>0.5</v>
      </c>
      <c r="AG18" s="28">
        <v>0.5</v>
      </c>
      <c r="AH18" s="28">
        <v>0.55000000000000004</v>
      </c>
      <c r="AI18" s="28">
        <v>0.55000000000000004</v>
      </c>
      <c r="AJ18" s="28">
        <v>0.55000000000000004</v>
      </c>
      <c r="AK18" s="28">
        <v>0.6</v>
      </c>
      <c r="AL18" s="28">
        <v>0.6</v>
      </c>
      <c r="AM18" s="28">
        <v>0.6</v>
      </c>
      <c r="AN18" s="25">
        <f>IFERROR(SUMPRODUCT(AB17:AM17, AB18:AM18) / SUM(AB17:AM17), 0)</f>
        <v>0.51315068493150684</v>
      </c>
      <c r="AP18" s="28">
        <v>0.6</v>
      </c>
      <c r="AQ18" s="28">
        <v>0.6</v>
      </c>
      <c r="AR18" s="28">
        <v>0.6</v>
      </c>
      <c r="AS18" s="28">
        <v>0.6</v>
      </c>
      <c r="AT18" s="28">
        <v>0.6</v>
      </c>
      <c r="AU18" s="28">
        <v>0.6</v>
      </c>
      <c r="AV18" s="28">
        <v>0.6</v>
      </c>
      <c r="AW18" s="28">
        <v>0.6</v>
      </c>
      <c r="AX18" s="28">
        <v>0.6</v>
      </c>
      <c r="AY18" s="28">
        <v>0.6</v>
      </c>
      <c r="AZ18" s="28">
        <v>0.6</v>
      </c>
      <c r="BA18" s="28">
        <v>0.6</v>
      </c>
      <c r="BB18" s="25">
        <f>IFERROR(SUMPRODUCT(AP17:BA17, AP18:BA18) / SUM(AP17:BA17), 0)</f>
        <v>0.59999999999999987</v>
      </c>
      <c r="BD18" s="28">
        <v>0.6</v>
      </c>
      <c r="BE18" s="28">
        <v>0.6</v>
      </c>
      <c r="BF18" s="28">
        <v>0.6</v>
      </c>
      <c r="BG18" s="28">
        <v>0.6</v>
      </c>
      <c r="BH18" s="28">
        <v>0.6</v>
      </c>
      <c r="BI18" s="28">
        <v>0.6</v>
      </c>
      <c r="BJ18" s="28">
        <v>0.6</v>
      </c>
      <c r="BK18" s="28">
        <v>0.6</v>
      </c>
      <c r="BL18" s="28">
        <v>0.6</v>
      </c>
      <c r="BM18" s="28">
        <v>0.6</v>
      </c>
      <c r="BN18" s="28">
        <v>0.6</v>
      </c>
      <c r="BO18" s="28">
        <v>0.6</v>
      </c>
      <c r="BP18" s="25">
        <f>IFERROR(SUMPRODUCT(BD17:BO17, BD18:BO18) / SUM(BD17:BO17), 0)</f>
        <v>0.59999999999999987</v>
      </c>
      <c r="BR18" s="28">
        <v>0.6</v>
      </c>
      <c r="BS18" s="28">
        <v>0.6</v>
      </c>
      <c r="BT18" s="28">
        <v>0.6</v>
      </c>
      <c r="BU18" s="28">
        <v>0.6</v>
      </c>
      <c r="BV18" s="28">
        <v>0.6</v>
      </c>
      <c r="BW18" s="28">
        <v>0.6</v>
      </c>
      <c r="BX18" s="28">
        <v>0.6</v>
      </c>
      <c r="BY18" s="28">
        <v>0.6</v>
      </c>
      <c r="BZ18" s="28">
        <v>0.6</v>
      </c>
      <c r="CA18" s="28">
        <v>0.6</v>
      </c>
      <c r="CB18" s="28">
        <v>0.6</v>
      </c>
      <c r="CC18" s="28">
        <v>0.6</v>
      </c>
      <c r="CD18" s="25">
        <f>IFERROR(SUMPRODUCT(BR17:CC17, BR18:CC18) / SUM(BR17:CC17), 0)</f>
        <v>0.59999999999999987</v>
      </c>
    </row>
    <row r="19" spans="1:82" ht="14.25" customHeight="1">
      <c r="A19" s="143" t="s">
        <v>668</v>
      </c>
      <c r="B19" s="144"/>
      <c r="C19" s="145"/>
      <c r="D19" s="145"/>
      <c r="E19" s="145"/>
      <c r="F19" s="144">
        <f>SUM(N19:Y19)</f>
        <v>276241.5254237288</v>
      </c>
      <c r="G19" s="144">
        <f>SUM(AB19:AM19)</f>
        <v>492059.32203389832</v>
      </c>
      <c r="H19" s="144">
        <f>SUM(AP19:BA19)</f>
        <v>575338.98305084743</v>
      </c>
      <c r="I19" s="144">
        <f>SUM(BD19:BO19)</f>
        <v>575338.98305084743</v>
      </c>
      <c r="J19" s="144">
        <f>SUM(BR19:CC19)</f>
        <v>575338.98305084743</v>
      </c>
      <c r="M19" s="27"/>
      <c r="N19" s="18">
        <f t="shared" ref="N19:Y19" si="39">$B$14*$B$16*N18*N17</f>
        <v>16288.135593220341</v>
      </c>
      <c r="O19" s="18">
        <f t="shared" si="39"/>
        <v>14711.864406779663</v>
      </c>
      <c r="P19" s="18">
        <f t="shared" si="39"/>
        <v>16288.135593220341</v>
      </c>
      <c r="Q19" s="18">
        <f t="shared" si="39"/>
        <v>19703.389830508473</v>
      </c>
      <c r="R19" s="18">
        <f t="shared" si="39"/>
        <v>20360.169491525423</v>
      </c>
      <c r="S19" s="18">
        <f t="shared" si="39"/>
        <v>19703.389830508473</v>
      </c>
      <c r="T19" s="18">
        <f t="shared" si="39"/>
        <v>24432.203389830505</v>
      </c>
      <c r="U19" s="18">
        <f t="shared" si="39"/>
        <v>24432.203389830505</v>
      </c>
      <c r="V19" s="18">
        <f t="shared" si="39"/>
        <v>23644.067796610168</v>
      </c>
      <c r="W19" s="18">
        <f t="shared" si="39"/>
        <v>32576.271186440681</v>
      </c>
      <c r="X19" s="18">
        <f t="shared" si="39"/>
        <v>31525.423728813563</v>
      </c>
      <c r="Y19" s="18">
        <f t="shared" si="39"/>
        <v>32576.271186440681</v>
      </c>
      <c r="Z19" s="26">
        <f>SUM(N19:Y19)</f>
        <v>276241.5254237288</v>
      </c>
      <c r="AB19" s="18">
        <f t="shared" ref="AB19:AM19" si="40">$B$14*$B$16*AB18*AB17</f>
        <v>32576.271186440681</v>
      </c>
      <c r="AC19" s="18">
        <f t="shared" si="40"/>
        <v>29423.728813559326</v>
      </c>
      <c r="AD19" s="18">
        <f t="shared" si="40"/>
        <v>32576.271186440681</v>
      </c>
      <c r="AE19" s="18">
        <f t="shared" si="40"/>
        <v>39406.779661016946</v>
      </c>
      <c r="AF19" s="18">
        <f t="shared" si="40"/>
        <v>40720.338983050846</v>
      </c>
      <c r="AG19" s="18">
        <f t="shared" si="40"/>
        <v>39406.779661016946</v>
      </c>
      <c r="AH19" s="18">
        <f t="shared" si="40"/>
        <v>44792.372881355936</v>
      </c>
      <c r="AI19" s="18">
        <f t="shared" si="40"/>
        <v>44792.372881355936</v>
      </c>
      <c r="AJ19" s="18">
        <f t="shared" si="40"/>
        <v>43347.457627118652</v>
      </c>
      <c r="AK19" s="18">
        <f t="shared" si="40"/>
        <v>48864.406779661011</v>
      </c>
      <c r="AL19" s="18">
        <f t="shared" si="40"/>
        <v>47288.135593220337</v>
      </c>
      <c r="AM19" s="18">
        <f t="shared" si="40"/>
        <v>48864.406779661011</v>
      </c>
      <c r="AN19" s="26">
        <f>SUM(AB19:AM19)</f>
        <v>492059.32203389832</v>
      </c>
      <c r="AP19" s="18">
        <f t="shared" ref="AP19:BA19" si="41">$B$14*$B$16*AP18*AP17</f>
        <v>48864.406779661011</v>
      </c>
      <c r="AQ19" s="18">
        <f t="shared" si="41"/>
        <v>44135.593220338982</v>
      </c>
      <c r="AR19" s="18">
        <f t="shared" si="41"/>
        <v>48864.406779661011</v>
      </c>
      <c r="AS19" s="18">
        <f t="shared" si="41"/>
        <v>47288.135593220337</v>
      </c>
      <c r="AT19" s="18">
        <f t="shared" si="41"/>
        <v>48864.406779661011</v>
      </c>
      <c r="AU19" s="18">
        <f t="shared" si="41"/>
        <v>47288.135593220337</v>
      </c>
      <c r="AV19" s="18">
        <f t="shared" si="41"/>
        <v>48864.406779661011</v>
      </c>
      <c r="AW19" s="18">
        <f t="shared" si="41"/>
        <v>48864.406779661011</v>
      </c>
      <c r="AX19" s="18">
        <f t="shared" si="41"/>
        <v>47288.135593220337</v>
      </c>
      <c r="AY19" s="18">
        <f t="shared" si="41"/>
        <v>48864.406779661011</v>
      </c>
      <c r="AZ19" s="18">
        <f t="shared" si="41"/>
        <v>47288.135593220337</v>
      </c>
      <c r="BA19" s="18">
        <f t="shared" si="41"/>
        <v>48864.406779661011</v>
      </c>
      <c r="BB19" s="26">
        <f>SUM(AP19:BA19)</f>
        <v>575338.98305084743</v>
      </c>
      <c r="BD19" s="18">
        <f t="shared" ref="BD19:BO19" si="42">$B$14*$B$16*BD18*BD17</f>
        <v>48864.406779661011</v>
      </c>
      <c r="BE19" s="18">
        <f t="shared" si="42"/>
        <v>44135.593220338982</v>
      </c>
      <c r="BF19" s="18">
        <f t="shared" si="42"/>
        <v>48864.406779661011</v>
      </c>
      <c r="BG19" s="18">
        <f t="shared" si="42"/>
        <v>47288.135593220337</v>
      </c>
      <c r="BH19" s="18">
        <f t="shared" si="42"/>
        <v>48864.406779661011</v>
      </c>
      <c r="BI19" s="18">
        <f t="shared" si="42"/>
        <v>47288.135593220337</v>
      </c>
      <c r="BJ19" s="18">
        <f t="shared" si="42"/>
        <v>48864.406779661011</v>
      </c>
      <c r="BK19" s="18">
        <f t="shared" si="42"/>
        <v>48864.406779661011</v>
      </c>
      <c r="BL19" s="18">
        <f t="shared" si="42"/>
        <v>47288.135593220337</v>
      </c>
      <c r="BM19" s="18">
        <f t="shared" si="42"/>
        <v>48864.406779661011</v>
      </c>
      <c r="BN19" s="18">
        <f t="shared" si="42"/>
        <v>47288.135593220337</v>
      </c>
      <c r="BO19" s="18">
        <f t="shared" si="42"/>
        <v>48864.406779661011</v>
      </c>
      <c r="BP19" s="26">
        <f>SUM(BD19:BO19)</f>
        <v>575338.98305084743</v>
      </c>
      <c r="BR19" s="18">
        <f t="shared" ref="BR19:CC19" si="43">$B$14*$B$16*BR18*BR17</f>
        <v>48864.406779661011</v>
      </c>
      <c r="BS19" s="18">
        <f t="shared" si="43"/>
        <v>44135.593220338982</v>
      </c>
      <c r="BT19" s="18">
        <f t="shared" si="43"/>
        <v>48864.406779661011</v>
      </c>
      <c r="BU19" s="18">
        <f t="shared" si="43"/>
        <v>47288.135593220337</v>
      </c>
      <c r="BV19" s="18">
        <f t="shared" si="43"/>
        <v>48864.406779661011</v>
      </c>
      <c r="BW19" s="18">
        <f t="shared" si="43"/>
        <v>47288.135593220337</v>
      </c>
      <c r="BX19" s="18">
        <f t="shared" si="43"/>
        <v>48864.406779661011</v>
      </c>
      <c r="BY19" s="18">
        <f t="shared" si="43"/>
        <v>48864.406779661011</v>
      </c>
      <c r="BZ19" s="18">
        <f t="shared" si="43"/>
        <v>47288.135593220337</v>
      </c>
      <c r="CA19" s="18">
        <f t="shared" si="43"/>
        <v>48864.406779661011</v>
      </c>
      <c r="CB19" s="18">
        <f t="shared" si="43"/>
        <v>47288.135593220337</v>
      </c>
      <c r="CC19" s="18">
        <f t="shared" si="43"/>
        <v>48864.406779661011</v>
      </c>
      <c r="CD19" s="26">
        <f>SUM(BR19:CC19)</f>
        <v>575338.98305084743</v>
      </c>
    </row>
    <row r="20" spans="1:82" ht="14.25" customHeight="1">
      <c r="A20" s="7"/>
      <c r="B20" s="18"/>
      <c r="F20" s="18"/>
      <c r="G20" s="18"/>
      <c r="H20" s="18"/>
      <c r="I20" s="18"/>
      <c r="J20" s="18"/>
      <c r="M20" s="27"/>
      <c r="N20" s="18"/>
      <c r="O20" s="18"/>
      <c r="P20" s="18"/>
      <c r="Q20" s="18"/>
      <c r="R20" s="18"/>
      <c r="S20" s="18"/>
      <c r="T20" s="18"/>
      <c r="U20" s="18"/>
      <c r="V20" s="18"/>
      <c r="W20" s="18"/>
      <c r="X20" s="18"/>
      <c r="Y20" s="18"/>
      <c r="Z20" s="26"/>
      <c r="AB20" s="18"/>
      <c r="AC20" s="18"/>
      <c r="AD20" s="18"/>
      <c r="AE20" s="18"/>
      <c r="AF20" s="18"/>
      <c r="AG20" s="18"/>
      <c r="AH20" s="18"/>
      <c r="AI20" s="18"/>
      <c r="AJ20" s="18"/>
      <c r="AK20" s="18"/>
      <c r="AL20" s="18"/>
      <c r="AM20" s="18"/>
      <c r="AN20" s="26"/>
      <c r="AP20" s="18"/>
      <c r="AQ20" s="18"/>
      <c r="AR20" s="18"/>
      <c r="AS20" s="18"/>
      <c r="AT20" s="18"/>
      <c r="AU20" s="18"/>
      <c r="AV20" s="18"/>
      <c r="AW20" s="18"/>
      <c r="AX20" s="18"/>
      <c r="AY20" s="18"/>
      <c r="AZ20" s="18"/>
      <c r="BA20" s="18"/>
      <c r="BB20" s="26"/>
      <c r="BD20" s="18"/>
      <c r="BE20" s="18"/>
      <c r="BF20" s="18"/>
      <c r="BG20" s="18"/>
      <c r="BH20" s="18"/>
      <c r="BI20" s="18"/>
      <c r="BJ20" s="18"/>
      <c r="BK20" s="18"/>
      <c r="BL20" s="18"/>
      <c r="BM20" s="18"/>
      <c r="BN20" s="18"/>
      <c r="BO20" s="18"/>
      <c r="BP20" s="26"/>
      <c r="BR20" s="18"/>
      <c r="BS20" s="18"/>
      <c r="BT20" s="18"/>
      <c r="BU20" s="18"/>
      <c r="BV20" s="18"/>
      <c r="BW20" s="18"/>
      <c r="BX20" s="18"/>
      <c r="BY20" s="18"/>
      <c r="BZ20" s="18"/>
      <c r="CA20" s="18"/>
      <c r="CB20" s="18"/>
      <c r="CC20" s="18"/>
      <c r="CD20" s="26"/>
    </row>
    <row r="21" spans="1:82" ht="14.25" customHeight="1">
      <c r="A21" s="133" t="s">
        <v>672</v>
      </c>
      <c r="B21" s="142">
        <v>1.5</v>
      </c>
      <c r="F21" s="18"/>
      <c r="G21" s="18"/>
      <c r="H21" s="18"/>
      <c r="I21" s="18"/>
      <c r="J21" s="18"/>
      <c r="M21" s="27"/>
      <c r="N21" s="18"/>
      <c r="O21" s="18"/>
      <c r="P21" s="18"/>
      <c r="Q21" s="18"/>
      <c r="R21" s="18"/>
      <c r="S21" s="18"/>
      <c r="T21" s="18"/>
      <c r="U21" s="18"/>
      <c r="V21" s="18"/>
      <c r="W21" s="18"/>
      <c r="X21" s="18"/>
      <c r="Y21" s="18"/>
      <c r="Z21" s="26"/>
      <c r="AB21" s="18"/>
      <c r="AC21" s="18"/>
      <c r="AD21" s="18"/>
      <c r="AE21" s="18"/>
      <c r="AF21" s="18"/>
      <c r="AG21" s="18"/>
      <c r="AH21" s="18"/>
      <c r="AI21" s="18"/>
      <c r="AJ21" s="18"/>
      <c r="AK21" s="18"/>
      <c r="AL21" s="18"/>
      <c r="AM21" s="18"/>
      <c r="AN21" s="26"/>
      <c r="AP21" s="18"/>
      <c r="AQ21" s="18"/>
      <c r="AR21" s="18"/>
      <c r="AS21" s="18"/>
      <c r="AT21" s="18"/>
      <c r="AU21" s="18"/>
      <c r="AV21" s="18"/>
      <c r="AW21" s="18"/>
      <c r="AX21" s="18"/>
      <c r="AY21" s="18"/>
      <c r="AZ21" s="18"/>
      <c r="BA21" s="18"/>
      <c r="BB21" s="26"/>
      <c r="BD21" s="18"/>
      <c r="BE21" s="18"/>
      <c r="BF21" s="18"/>
      <c r="BG21" s="18"/>
      <c r="BH21" s="18"/>
      <c r="BI21" s="18"/>
      <c r="BJ21" s="18"/>
      <c r="BK21" s="18"/>
      <c r="BL21" s="18"/>
      <c r="BM21" s="18"/>
      <c r="BN21" s="18"/>
      <c r="BO21" s="18"/>
      <c r="BP21" s="26"/>
      <c r="BR21" s="18"/>
      <c r="BS21" s="18"/>
      <c r="BT21" s="18"/>
      <c r="BU21" s="18"/>
      <c r="BV21" s="18"/>
      <c r="BW21" s="18"/>
      <c r="BX21" s="18"/>
      <c r="BY21" s="18"/>
      <c r="BZ21" s="18"/>
      <c r="CA21" s="18"/>
      <c r="CB21" s="18"/>
      <c r="CC21" s="18"/>
      <c r="CD21" s="26"/>
    </row>
    <row r="22" spans="1:82" ht="14.25" customHeight="1">
      <c r="A22" s="198" t="s">
        <v>707</v>
      </c>
      <c r="B22" s="145"/>
      <c r="C22" s="145"/>
      <c r="D22" s="199"/>
      <c r="E22" s="197"/>
      <c r="F22" s="197">
        <f>SUM(N22:Y22)</f>
        <v>3154.5</v>
      </c>
      <c r="G22" s="197">
        <f>SUM(AB22:AM22)</f>
        <v>5619</v>
      </c>
      <c r="H22" s="197">
        <f>SUM(AP22:BA22)</f>
        <v>6570</v>
      </c>
      <c r="I22" s="197">
        <f>SUM(BD22:BO22)</f>
        <v>6570</v>
      </c>
      <c r="J22" s="197">
        <f>SUM(BR22:CC22)</f>
        <v>6570</v>
      </c>
      <c r="M22" s="27"/>
      <c r="N22" s="196">
        <f>$B$14*$B$21*N18*N17</f>
        <v>186</v>
      </c>
      <c r="O22" s="196">
        <f t="shared" ref="O22:Y22" si="44">$B$14*$B$21*O18*O17</f>
        <v>168</v>
      </c>
      <c r="P22" s="196">
        <f t="shared" si="44"/>
        <v>186</v>
      </c>
      <c r="Q22" s="196">
        <f t="shared" si="44"/>
        <v>225</v>
      </c>
      <c r="R22" s="196">
        <f t="shared" si="44"/>
        <v>232.5</v>
      </c>
      <c r="S22" s="196">
        <f t="shared" si="44"/>
        <v>225</v>
      </c>
      <c r="T22" s="196">
        <f t="shared" si="44"/>
        <v>279</v>
      </c>
      <c r="U22" s="196">
        <f t="shared" si="44"/>
        <v>279</v>
      </c>
      <c r="V22" s="196">
        <f t="shared" si="44"/>
        <v>270</v>
      </c>
      <c r="W22" s="196">
        <f t="shared" si="44"/>
        <v>372</v>
      </c>
      <c r="X22" s="196">
        <f t="shared" si="44"/>
        <v>360</v>
      </c>
      <c r="Y22" s="196">
        <f t="shared" si="44"/>
        <v>372</v>
      </c>
      <c r="Z22" s="26"/>
      <c r="AB22" s="196">
        <f t="shared" ref="AB22:AM22" si="45">$B$14*$B$21*AB18*AB17</f>
        <v>372</v>
      </c>
      <c r="AC22" s="196">
        <f t="shared" si="45"/>
        <v>336</v>
      </c>
      <c r="AD22" s="196">
        <f t="shared" si="45"/>
        <v>372</v>
      </c>
      <c r="AE22" s="196">
        <f t="shared" si="45"/>
        <v>450</v>
      </c>
      <c r="AF22" s="196">
        <f t="shared" si="45"/>
        <v>465</v>
      </c>
      <c r="AG22" s="196">
        <f t="shared" si="45"/>
        <v>450</v>
      </c>
      <c r="AH22" s="196">
        <f t="shared" si="45"/>
        <v>511.5</v>
      </c>
      <c r="AI22" s="196">
        <f t="shared" si="45"/>
        <v>511.5</v>
      </c>
      <c r="AJ22" s="196">
        <f t="shared" si="45"/>
        <v>495</v>
      </c>
      <c r="AK22" s="196">
        <f t="shared" si="45"/>
        <v>558</v>
      </c>
      <c r="AL22" s="196">
        <f t="shared" si="45"/>
        <v>540</v>
      </c>
      <c r="AM22" s="196">
        <f t="shared" si="45"/>
        <v>558</v>
      </c>
      <c r="AN22" s="26"/>
      <c r="AP22" s="196">
        <f t="shared" ref="AP22:BA22" si="46">$B$14*$B$21*AP18*AP17</f>
        <v>558</v>
      </c>
      <c r="AQ22" s="196">
        <f t="shared" si="46"/>
        <v>504</v>
      </c>
      <c r="AR22" s="196">
        <f t="shared" si="46"/>
        <v>558</v>
      </c>
      <c r="AS22" s="196">
        <f t="shared" si="46"/>
        <v>540</v>
      </c>
      <c r="AT22" s="196">
        <f t="shared" si="46"/>
        <v>558</v>
      </c>
      <c r="AU22" s="196">
        <f t="shared" si="46"/>
        <v>540</v>
      </c>
      <c r="AV22" s="196">
        <f t="shared" si="46"/>
        <v>558</v>
      </c>
      <c r="AW22" s="196">
        <f t="shared" si="46"/>
        <v>558</v>
      </c>
      <c r="AX22" s="196">
        <f t="shared" si="46"/>
        <v>540</v>
      </c>
      <c r="AY22" s="196">
        <f t="shared" si="46"/>
        <v>558</v>
      </c>
      <c r="AZ22" s="196">
        <f t="shared" si="46"/>
        <v>540</v>
      </c>
      <c r="BA22" s="196">
        <f t="shared" si="46"/>
        <v>558</v>
      </c>
      <c r="BB22" s="26"/>
      <c r="BD22" s="196">
        <f t="shared" ref="BD22:BO22" si="47">$B$14*$B$21*BD18*BD17</f>
        <v>558</v>
      </c>
      <c r="BE22" s="196">
        <f t="shared" si="47"/>
        <v>504</v>
      </c>
      <c r="BF22" s="196">
        <f t="shared" si="47"/>
        <v>558</v>
      </c>
      <c r="BG22" s="196">
        <f t="shared" si="47"/>
        <v>540</v>
      </c>
      <c r="BH22" s="196">
        <f t="shared" si="47"/>
        <v>558</v>
      </c>
      <c r="BI22" s="196">
        <f t="shared" si="47"/>
        <v>540</v>
      </c>
      <c r="BJ22" s="196">
        <f t="shared" si="47"/>
        <v>558</v>
      </c>
      <c r="BK22" s="196">
        <f t="shared" si="47"/>
        <v>558</v>
      </c>
      <c r="BL22" s="196">
        <f t="shared" si="47"/>
        <v>540</v>
      </c>
      <c r="BM22" s="196">
        <f t="shared" si="47"/>
        <v>558</v>
      </c>
      <c r="BN22" s="196">
        <f t="shared" si="47"/>
        <v>540</v>
      </c>
      <c r="BO22" s="196">
        <f t="shared" si="47"/>
        <v>558</v>
      </c>
      <c r="BP22" s="26"/>
      <c r="BR22" s="196">
        <f t="shared" ref="BR22:CC22" si="48">$B$14*$B$21*BR18*BR17</f>
        <v>558</v>
      </c>
      <c r="BS22" s="196">
        <f t="shared" si="48"/>
        <v>504</v>
      </c>
      <c r="BT22" s="196">
        <f t="shared" si="48"/>
        <v>558</v>
      </c>
      <c r="BU22" s="196">
        <f t="shared" si="48"/>
        <v>540</v>
      </c>
      <c r="BV22" s="196">
        <f t="shared" si="48"/>
        <v>558</v>
      </c>
      <c r="BW22" s="196">
        <f t="shared" si="48"/>
        <v>540</v>
      </c>
      <c r="BX22" s="196">
        <f t="shared" si="48"/>
        <v>558</v>
      </c>
      <c r="BY22" s="196">
        <f t="shared" si="48"/>
        <v>558</v>
      </c>
      <c r="BZ22" s="196">
        <f t="shared" si="48"/>
        <v>540</v>
      </c>
      <c r="CA22" s="196">
        <f t="shared" si="48"/>
        <v>558</v>
      </c>
      <c r="CB22" s="196">
        <f t="shared" si="48"/>
        <v>540</v>
      </c>
      <c r="CC22" s="196">
        <f t="shared" si="48"/>
        <v>558</v>
      </c>
      <c r="CD22" s="26"/>
    </row>
    <row r="23" spans="1:82" ht="14.25" customHeight="1">
      <c r="A23" s="201" t="s">
        <v>698</v>
      </c>
      <c r="B23" s="201" t="s">
        <v>694</v>
      </c>
      <c r="C23" s="201" t="s">
        <v>697</v>
      </c>
      <c r="D23" s="135" t="s">
        <v>674</v>
      </c>
      <c r="F23" s="18"/>
      <c r="G23" s="18"/>
      <c r="H23" s="18"/>
      <c r="I23" s="18"/>
      <c r="J23" s="18"/>
      <c r="M23" s="27"/>
      <c r="N23" s="18"/>
      <c r="O23" s="18"/>
      <c r="P23" s="18"/>
      <c r="Q23" s="18"/>
      <c r="R23" s="18"/>
      <c r="S23" s="18"/>
      <c r="T23" s="18"/>
      <c r="U23" s="18"/>
      <c r="V23" s="18"/>
      <c r="W23" s="18"/>
      <c r="X23" s="18"/>
      <c r="Y23" s="18"/>
      <c r="Z23" s="26"/>
      <c r="AB23" s="18"/>
      <c r="AC23" s="18"/>
      <c r="AD23" s="18"/>
      <c r="AE23" s="18"/>
      <c r="AF23" s="18"/>
      <c r="AG23" s="18"/>
      <c r="AH23" s="18"/>
      <c r="AI23" s="18"/>
      <c r="AJ23" s="18"/>
      <c r="AK23" s="18"/>
      <c r="AL23" s="18"/>
      <c r="AM23" s="18"/>
      <c r="AN23" s="26"/>
      <c r="AP23" s="18"/>
      <c r="AQ23" s="18"/>
      <c r="AR23" s="18"/>
      <c r="AS23" s="18"/>
      <c r="AT23" s="18"/>
      <c r="AU23" s="18"/>
      <c r="AV23" s="18"/>
      <c r="AW23" s="18"/>
      <c r="AX23" s="18"/>
      <c r="AY23" s="18"/>
      <c r="AZ23" s="18"/>
      <c r="BA23" s="18"/>
      <c r="BB23" s="26"/>
      <c r="BD23" s="18"/>
      <c r="BE23" s="18"/>
      <c r="BF23" s="18"/>
      <c r="BG23" s="18"/>
      <c r="BH23" s="18"/>
      <c r="BI23" s="18"/>
      <c r="BJ23" s="18"/>
      <c r="BK23" s="18"/>
      <c r="BL23" s="18"/>
      <c r="BM23" s="18"/>
      <c r="BN23" s="18"/>
      <c r="BO23" s="18"/>
      <c r="BP23" s="26"/>
      <c r="BR23" s="18"/>
      <c r="BS23" s="18"/>
      <c r="BT23" s="18"/>
      <c r="BU23" s="18"/>
      <c r="BV23" s="18"/>
      <c r="BW23" s="18"/>
      <c r="BX23" s="18"/>
      <c r="BY23" s="18"/>
      <c r="BZ23" s="18"/>
      <c r="CA23" s="18"/>
      <c r="CB23" s="18"/>
      <c r="CC23" s="18"/>
      <c r="CD23" s="26"/>
    </row>
    <row r="24" spans="1:82" ht="14.25" customHeight="1">
      <c r="A24" s="133" t="s">
        <v>669</v>
      </c>
      <c r="B24" s="13">
        <f>C24/(1+$B$95+$B$96)</f>
        <v>25.423728813559322</v>
      </c>
      <c r="C24" s="169">
        <v>30</v>
      </c>
      <c r="D24" s="28">
        <v>0.8</v>
      </c>
      <c r="N24" s="18">
        <f t="shared" ref="N24:Y26" si="49">ROUND(N$17*N$18*$B$14*$B$21,0)*$B24*$D24</f>
        <v>3783.0508474576272</v>
      </c>
      <c r="O24" s="18">
        <f t="shared" si="49"/>
        <v>3416.9491525423728</v>
      </c>
      <c r="P24" s="18">
        <f t="shared" si="49"/>
        <v>3783.0508474576272</v>
      </c>
      <c r="Q24" s="18">
        <f t="shared" si="49"/>
        <v>4576.2711864406783</v>
      </c>
      <c r="R24" s="18">
        <f t="shared" si="49"/>
        <v>4738.9830508474579</v>
      </c>
      <c r="S24" s="18">
        <f t="shared" si="49"/>
        <v>4576.2711864406783</v>
      </c>
      <c r="T24" s="18">
        <f t="shared" si="49"/>
        <v>5674.5762711864409</v>
      </c>
      <c r="U24" s="18">
        <f t="shared" si="49"/>
        <v>5674.5762711864409</v>
      </c>
      <c r="V24" s="18">
        <f t="shared" si="49"/>
        <v>5491.5254237288136</v>
      </c>
      <c r="W24" s="18">
        <f t="shared" si="49"/>
        <v>7566.1016949152545</v>
      </c>
      <c r="X24" s="18">
        <f t="shared" si="49"/>
        <v>7322.033898305086</v>
      </c>
      <c r="Y24" s="18">
        <f t="shared" si="49"/>
        <v>7566.1016949152545</v>
      </c>
      <c r="AB24" s="18">
        <f t="shared" ref="AB24:AM26" si="50">ROUND(AB$17*AB$18*$B$14*$B$21,0)*$B24*$D24</f>
        <v>7566.1016949152545</v>
      </c>
      <c r="AC24" s="18">
        <f t="shared" si="50"/>
        <v>6833.8983050847455</v>
      </c>
      <c r="AD24" s="18">
        <f t="shared" si="50"/>
        <v>7566.1016949152545</v>
      </c>
      <c r="AE24" s="18">
        <f t="shared" si="50"/>
        <v>9152.5423728813566</v>
      </c>
      <c r="AF24" s="18">
        <f t="shared" si="50"/>
        <v>9457.6271186440681</v>
      </c>
      <c r="AG24" s="18">
        <f t="shared" si="50"/>
        <v>9152.5423728813566</v>
      </c>
      <c r="AH24" s="18">
        <f t="shared" si="50"/>
        <v>10413.5593220339</v>
      </c>
      <c r="AI24" s="18">
        <f t="shared" si="50"/>
        <v>10413.5593220339</v>
      </c>
      <c r="AJ24" s="18">
        <f t="shared" si="50"/>
        <v>10067.796610169491</v>
      </c>
      <c r="AK24" s="18">
        <f t="shared" si="50"/>
        <v>11349.152542372882</v>
      </c>
      <c r="AL24" s="18">
        <f t="shared" si="50"/>
        <v>10983.050847457627</v>
      </c>
      <c r="AM24" s="18">
        <f t="shared" si="50"/>
        <v>11349.152542372882</v>
      </c>
      <c r="AP24" s="18">
        <f t="shared" ref="AP24:BA26" si="51">ROUND(AP$17*AP$18*$B$14*$B$21,0)*$B24*$D24</f>
        <v>11349.152542372882</v>
      </c>
      <c r="AQ24" s="18">
        <f t="shared" si="51"/>
        <v>10250.847457627118</v>
      </c>
      <c r="AR24" s="18">
        <f t="shared" si="51"/>
        <v>11349.152542372882</v>
      </c>
      <c r="AS24" s="18">
        <f t="shared" si="51"/>
        <v>10983.050847457627</v>
      </c>
      <c r="AT24" s="18">
        <f t="shared" si="51"/>
        <v>11349.152542372882</v>
      </c>
      <c r="AU24" s="18">
        <f t="shared" si="51"/>
        <v>10983.050847457627</v>
      </c>
      <c r="AV24" s="18">
        <f t="shared" si="51"/>
        <v>11349.152542372882</v>
      </c>
      <c r="AW24" s="18">
        <f t="shared" si="51"/>
        <v>11349.152542372882</v>
      </c>
      <c r="AX24" s="18">
        <f t="shared" si="51"/>
        <v>10983.050847457627</v>
      </c>
      <c r="AY24" s="18">
        <f t="shared" si="51"/>
        <v>11349.152542372882</v>
      </c>
      <c r="AZ24" s="18">
        <f t="shared" si="51"/>
        <v>10983.050847457627</v>
      </c>
      <c r="BA24" s="18">
        <f t="shared" si="51"/>
        <v>11349.152542372882</v>
      </c>
      <c r="BD24" s="18">
        <f t="shared" ref="BD24:BO26" si="52">ROUND(BD$17*BD$18*$B$14*$B$21,0)*$B24*$D24</f>
        <v>11349.152542372882</v>
      </c>
      <c r="BE24" s="18">
        <f t="shared" si="52"/>
        <v>10250.847457627118</v>
      </c>
      <c r="BF24" s="18">
        <f t="shared" si="52"/>
        <v>11349.152542372882</v>
      </c>
      <c r="BG24" s="18">
        <f t="shared" si="52"/>
        <v>10983.050847457627</v>
      </c>
      <c r="BH24" s="18">
        <f t="shared" si="52"/>
        <v>11349.152542372882</v>
      </c>
      <c r="BI24" s="18">
        <f t="shared" si="52"/>
        <v>10983.050847457627</v>
      </c>
      <c r="BJ24" s="18">
        <f t="shared" si="52"/>
        <v>11349.152542372882</v>
      </c>
      <c r="BK24" s="18">
        <f t="shared" si="52"/>
        <v>11349.152542372882</v>
      </c>
      <c r="BL24" s="18">
        <f t="shared" si="52"/>
        <v>10983.050847457627</v>
      </c>
      <c r="BM24" s="18">
        <f t="shared" si="52"/>
        <v>11349.152542372882</v>
      </c>
      <c r="BN24" s="18">
        <f t="shared" si="52"/>
        <v>10983.050847457627</v>
      </c>
      <c r="BO24" s="18">
        <f t="shared" si="52"/>
        <v>11349.152542372882</v>
      </c>
      <c r="BR24" s="18">
        <f t="shared" ref="BR24:CC26" si="53">ROUND(BR$17*BR$18*$B$14*$B$21,0)*$B24*$D24</f>
        <v>11349.152542372882</v>
      </c>
      <c r="BS24" s="18">
        <f t="shared" si="53"/>
        <v>10250.847457627118</v>
      </c>
      <c r="BT24" s="18">
        <f t="shared" si="53"/>
        <v>11349.152542372882</v>
      </c>
      <c r="BU24" s="18">
        <f t="shared" si="53"/>
        <v>10983.050847457627</v>
      </c>
      <c r="BV24" s="18">
        <f t="shared" si="53"/>
        <v>11349.152542372882</v>
      </c>
      <c r="BW24" s="18">
        <f t="shared" si="53"/>
        <v>10983.050847457627</v>
      </c>
      <c r="BX24" s="18">
        <f t="shared" si="53"/>
        <v>11349.152542372882</v>
      </c>
      <c r="BY24" s="18">
        <f t="shared" si="53"/>
        <v>11349.152542372882</v>
      </c>
      <c r="BZ24" s="18">
        <f t="shared" si="53"/>
        <v>10983.050847457627</v>
      </c>
      <c r="CA24" s="18">
        <f t="shared" si="53"/>
        <v>11349.152542372882</v>
      </c>
      <c r="CB24" s="18">
        <f t="shared" si="53"/>
        <v>10983.050847457627</v>
      </c>
      <c r="CC24" s="18">
        <f t="shared" si="53"/>
        <v>11349.152542372882</v>
      </c>
    </row>
    <row r="25" spans="1:82" ht="14.25" customHeight="1">
      <c r="A25" s="133" t="s">
        <v>670</v>
      </c>
      <c r="B25" s="13">
        <f>C25/(1+$B$95+$B$96)</f>
        <v>25.423728813559322</v>
      </c>
      <c r="C25" s="169">
        <v>30</v>
      </c>
      <c r="D25" s="28">
        <v>0.5</v>
      </c>
      <c r="N25" s="18">
        <f t="shared" si="49"/>
        <v>2364.406779661017</v>
      </c>
      <c r="O25" s="18">
        <f t="shared" si="49"/>
        <v>2135.593220338983</v>
      </c>
      <c r="P25" s="18">
        <f t="shared" si="49"/>
        <v>2364.406779661017</v>
      </c>
      <c r="Q25" s="18">
        <f t="shared" si="49"/>
        <v>2860.1694915254238</v>
      </c>
      <c r="R25" s="18">
        <f t="shared" si="49"/>
        <v>2961.8644067796608</v>
      </c>
      <c r="S25" s="18">
        <f t="shared" si="49"/>
        <v>2860.1694915254238</v>
      </c>
      <c r="T25" s="18">
        <f t="shared" si="49"/>
        <v>3546.6101694915255</v>
      </c>
      <c r="U25" s="18">
        <f t="shared" si="49"/>
        <v>3546.6101694915255</v>
      </c>
      <c r="V25" s="18">
        <f t="shared" si="49"/>
        <v>3432.2033898305085</v>
      </c>
      <c r="W25" s="18">
        <f t="shared" si="49"/>
        <v>4728.8135593220341</v>
      </c>
      <c r="X25" s="18">
        <f t="shared" si="49"/>
        <v>4576.2711864406783</v>
      </c>
      <c r="Y25" s="18">
        <f t="shared" si="49"/>
        <v>4728.8135593220341</v>
      </c>
      <c r="AB25" s="18">
        <f t="shared" si="50"/>
        <v>4728.8135593220341</v>
      </c>
      <c r="AC25" s="18">
        <f t="shared" si="50"/>
        <v>4271.1864406779659</v>
      </c>
      <c r="AD25" s="18">
        <f t="shared" si="50"/>
        <v>4728.8135593220341</v>
      </c>
      <c r="AE25" s="18">
        <f t="shared" si="50"/>
        <v>5720.3389830508477</v>
      </c>
      <c r="AF25" s="18">
        <f t="shared" si="50"/>
        <v>5911.0169491525421</v>
      </c>
      <c r="AG25" s="18">
        <f t="shared" si="50"/>
        <v>5720.3389830508477</v>
      </c>
      <c r="AH25" s="18">
        <f t="shared" si="50"/>
        <v>6508.4745762711864</v>
      </c>
      <c r="AI25" s="18">
        <f t="shared" si="50"/>
        <v>6508.4745762711864</v>
      </c>
      <c r="AJ25" s="18">
        <f t="shared" si="50"/>
        <v>6292.3728813559319</v>
      </c>
      <c r="AK25" s="18">
        <f t="shared" si="50"/>
        <v>7093.2203389830511</v>
      </c>
      <c r="AL25" s="18">
        <f t="shared" si="50"/>
        <v>6864.406779661017</v>
      </c>
      <c r="AM25" s="18">
        <f t="shared" si="50"/>
        <v>7093.2203389830511</v>
      </c>
      <c r="AP25" s="18">
        <f t="shared" si="51"/>
        <v>7093.2203389830511</v>
      </c>
      <c r="AQ25" s="18">
        <f t="shared" si="51"/>
        <v>6406.7796610169489</v>
      </c>
      <c r="AR25" s="18">
        <f t="shared" si="51"/>
        <v>7093.2203389830511</v>
      </c>
      <c r="AS25" s="18">
        <f t="shared" si="51"/>
        <v>6864.406779661017</v>
      </c>
      <c r="AT25" s="18">
        <f t="shared" si="51"/>
        <v>7093.2203389830511</v>
      </c>
      <c r="AU25" s="18">
        <f t="shared" si="51"/>
        <v>6864.406779661017</v>
      </c>
      <c r="AV25" s="18">
        <f t="shared" si="51"/>
        <v>7093.2203389830511</v>
      </c>
      <c r="AW25" s="18">
        <f t="shared" si="51"/>
        <v>7093.2203389830511</v>
      </c>
      <c r="AX25" s="18">
        <f t="shared" si="51"/>
        <v>6864.406779661017</v>
      </c>
      <c r="AY25" s="18">
        <f t="shared" si="51"/>
        <v>7093.2203389830511</v>
      </c>
      <c r="AZ25" s="18">
        <f t="shared" si="51"/>
        <v>6864.406779661017</v>
      </c>
      <c r="BA25" s="18">
        <f t="shared" si="51"/>
        <v>7093.2203389830511</v>
      </c>
      <c r="BD25" s="18">
        <f t="shared" si="52"/>
        <v>7093.2203389830511</v>
      </c>
      <c r="BE25" s="18">
        <f t="shared" si="52"/>
        <v>6406.7796610169489</v>
      </c>
      <c r="BF25" s="18">
        <f t="shared" si="52"/>
        <v>7093.2203389830511</v>
      </c>
      <c r="BG25" s="18">
        <f t="shared" si="52"/>
        <v>6864.406779661017</v>
      </c>
      <c r="BH25" s="18">
        <f t="shared" si="52"/>
        <v>7093.2203389830511</v>
      </c>
      <c r="BI25" s="18">
        <f t="shared" si="52"/>
        <v>6864.406779661017</v>
      </c>
      <c r="BJ25" s="18">
        <f t="shared" si="52"/>
        <v>7093.2203389830511</v>
      </c>
      <c r="BK25" s="18">
        <f t="shared" si="52"/>
        <v>7093.2203389830511</v>
      </c>
      <c r="BL25" s="18">
        <f t="shared" si="52"/>
        <v>6864.406779661017</v>
      </c>
      <c r="BM25" s="18">
        <f t="shared" si="52"/>
        <v>7093.2203389830511</v>
      </c>
      <c r="BN25" s="18">
        <f t="shared" si="52"/>
        <v>6864.406779661017</v>
      </c>
      <c r="BO25" s="18">
        <f t="shared" si="52"/>
        <v>7093.2203389830511</v>
      </c>
      <c r="BR25" s="18">
        <f t="shared" si="53"/>
        <v>7093.2203389830511</v>
      </c>
      <c r="BS25" s="18">
        <f t="shared" si="53"/>
        <v>6406.7796610169489</v>
      </c>
      <c r="BT25" s="18">
        <f t="shared" si="53"/>
        <v>7093.2203389830511</v>
      </c>
      <c r="BU25" s="18">
        <f t="shared" si="53"/>
        <v>6864.406779661017</v>
      </c>
      <c r="BV25" s="18">
        <f t="shared" si="53"/>
        <v>7093.2203389830511</v>
      </c>
      <c r="BW25" s="18">
        <f t="shared" si="53"/>
        <v>6864.406779661017</v>
      </c>
      <c r="BX25" s="18">
        <f t="shared" si="53"/>
        <v>7093.2203389830511</v>
      </c>
      <c r="BY25" s="18">
        <f t="shared" si="53"/>
        <v>7093.2203389830511</v>
      </c>
      <c r="BZ25" s="18">
        <f t="shared" si="53"/>
        <v>6864.406779661017</v>
      </c>
      <c r="CA25" s="18">
        <f t="shared" si="53"/>
        <v>7093.2203389830511</v>
      </c>
      <c r="CB25" s="18">
        <f t="shared" si="53"/>
        <v>6864.406779661017</v>
      </c>
      <c r="CC25" s="18">
        <f t="shared" si="53"/>
        <v>7093.2203389830511</v>
      </c>
    </row>
    <row r="26" spans="1:82" ht="14.25" customHeight="1">
      <c r="A26" s="133" t="s">
        <v>671</v>
      </c>
      <c r="B26" s="13">
        <f>C26/(1+$B$95+$B$96)</f>
        <v>38.135593220338983</v>
      </c>
      <c r="C26" s="169">
        <v>45</v>
      </c>
      <c r="D26" s="28">
        <v>0.9</v>
      </c>
      <c r="N26" s="18">
        <f t="shared" si="49"/>
        <v>6383.8983050847464</v>
      </c>
      <c r="O26" s="18">
        <f t="shared" si="49"/>
        <v>5766.1016949152545</v>
      </c>
      <c r="P26" s="18">
        <f t="shared" si="49"/>
        <v>6383.8983050847464</v>
      </c>
      <c r="Q26" s="18">
        <f t="shared" si="49"/>
        <v>7722.4576271186434</v>
      </c>
      <c r="R26" s="18">
        <f t="shared" si="49"/>
        <v>7997.0338983050842</v>
      </c>
      <c r="S26" s="18">
        <f t="shared" si="49"/>
        <v>7722.4576271186434</v>
      </c>
      <c r="T26" s="18">
        <f t="shared" si="49"/>
        <v>9575.8474576271201</v>
      </c>
      <c r="U26" s="18">
        <f t="shared" si="49"/>
        <v>9575.8474576271201</v>
      </c>
      <c r="V26" s="18">
        <f t="shared" si="49"/>
        <v>9266.9491525423728</v>
      </c>
      <c r="W26" s="18">
        <f t="shared" si="49"/>
        <v>12767.796610169493</v>
      </c>
      <c r="X26" s="18">
        <f t="shared" si="49"/>
        <v>12355.932203389832</v>
      </c>
      <c r="Y26" s="18">
        <f t="shared" si="49"/>
        <v>12767.796610169493</v>
      </c>
      <c r="AB26" s="18">
        <f t="shared" si="50"/>
        <v>12767.796610169493</v>
      </c>
      <c r="AC26" s="18">
        <f t="shared" si="50"/>
        <v>11532.203389830509</v>
      </c>
      <c r="AD26" s="18">
        <f t="shared" si="50"/>
        <v>12767.796610169493</v>
      </c>
      <c r="AE26" s="18">
        <f t="shared" si="50"/>
        <v>15444.915254237287</v>
      </c>
      <c r="AF26" s="18">
        <f t="shared" si="50"/>
        <v>15959.745762711866</v>
      </c>
      <c r="AG26" s="18">
        <f t="shared" si="50"/>
        <v>15444.915254237287</v>
      </c>
      <c r="AH26" s="18">
        <f t="shared" si="50"/>
        <v>17572.881355932204</v>
      </c>
      <c r="AI26" s="18">
        <f t="shared" si="50"/>
        <v>17572.881355932204</v>
      </c>
      <c r="AJ26" s="18">
        <f t="shared" si="50"/>
        <v>16989.406779661018</v>
      </c>
      <c r="AK26" s="18">
        <f t="shared" si="50"/>
        <v>19151.69491525424</v>
      </c>
      <c r="AL26" s="18">
        <f t="shared" si="50"/>
        <v>18533.898305084746</v>
      </c>
      <c r="AM26" s="18">
        <f t="shared" si="50"/>
        <v>19151.69491525424</v>
      </c>
      <c r="AP26" s="18">
        <f t="shared" si="51"/>
        <v>19151.69491525424</v>
      </c>
      <c r="AQ26" s="18">
        <f t="shared" si="51"/>
        <v>17298.305084745763</v>
      </c>
      <c r="AR26" s="18">
        <f t="shared" si="51"/>
        <v>19151.69491525424</v>
      </c>
      <c r="AS26" s="18">
        <f t="shared" si="51"/>
        <v>18533.898305084746</v>
      </c>
      <c r="AT26" s="18">
        <f t="shared" si="51"/>
        <v>19151.69491525424</v>
      </c>
      <c r="AU26" s="18">
        <f t="shared" si="51"/>
        <v>18533.898305084746</v>
      </c>
      <c r="AV26" s="18">
        <f t="shared" si="51"/>
        <v>19151.69491525424</v>
      </c>
      <c r="AW26" s="18">
        <f t="shared" si="51"/>
        <v>19151.69491525424</v>
      </c>
      <c r="AX26" s="18">
        <f t="shared" si="51"/>
        <v>18533.898305084746</v>
      </c>
      <c r="AY26" s="18">
        <f t="shared" si="51"/>
        <v>19151.69491525424</v>
      </c>
      <c r="AZ26" s="18">
        <f t="shared" si="51"/>
        <v>18533.898305084746</v>
      </c>
      <c r="BA26" s="18">
        <f t="shared" si="51"/>
        <v>19151.69491525424</v>
      </c>
      <c r="BD26" s="18">
        <f t="shared" si="52"/>
        <v>19151.69491525424</v>
      </c>
      <c r="BE26" s="18">
        <f t="shared" si="52"/>
        <v>17298.305084745763</v>
      </c>
      <c r="BF26" s="18">
        <f t="shared" si="52"/>
        <v>19151.69491525424</v>
      </c>
      <c r="BG26" s="18">
        <f t="shared" si="52"/>
        <v>18533.898305084746</v>
      </c>
      <c r="BH26" s="18">
        <f t="shared" si="52"/>
        <v>19151.69491525424</v>
      </c>
      <c r="BI26" s="18">
        <f t="shared" si="52"/>
        <v>18533.898305084746</v>
      </c>
      <c r="BJ26" s="18">
        <f t="shared" si="52"/>
        <v>19151.69491525424</v>
      </c>
      <c r="BK26" s="18">
        <f t="shared" si="52"/>
        <v>19151.69491525424</v>
      </c>
      <c r="BL26" s="18">
        <f t="shared" si="52"/>
        <v>18533.898305084746</v>
      </c>
      <c r="BM26" s="18">
        <f t="shared" si="52"/>
        <v>19151.69491525424</v>
      </c>
      <c r="BN26" s="18">
        <f t="shared" si="52"/>
        <v>18533.898305084746</v>
      </c>
      <c r="BO26" s="18">
        <f t="shared" si="52"/>
        <v>19151.69491525424</v>
      </c>
      <c r="BR26" s="18">
        <f t="shared" si="53"/>
        <v>19151.69491525424</v>
      </c>
      <c r="BS26" s="18">
        <f t="shared" si="53"/>
        <v>17298.305084745763</v>
      </c>
      <c r="BT26" s="18">
        <f t="shared" si="53"/>
        <v>19151.69491525424</v>
      </c>
      <c r="BU26" s="18">
        <f t="shared" si="53"/>
        <v>18533.898305084746</v>
      </c>
      <c r="BV26" s="18">
        <f t="shared" si="53"/>
        <v>19151.69491525424</v>
      </c>
      <c r="BW26" s="18">
        <f t="shared" si="53"/>
        <v>18533.898305084746</v>
      </c>
      <c r="BX26" s="18">
        <f t="shared" si="53"/>
        <v>19151.69491525424</v>
      </c>
      <c r="BY26" s="18">
        <f t="shared" si="53"/>
        <v>19151.69491525424</v>
      </c>
      <c r="BZ26" s="18">
        <f t="shared" si="53"/>
        <v>18533.898305084746</v>
      </c>
      <c r="CA26" s="18">
        <f t="shared" si="53"/>
        <v>19151.69491525424</v>
      </c>
      <c r="CB26" s="18">
        <f t="shared" si="53"/>
        <v>18533.898305084746</v>
      </c>
      <c r="CC26" s="18">
        <f t="shared" si="53"/>
        <v>19151.69491525424</v>
      </c>
    </row>
    <row r="27" spans="1:82" ht="14.25" customHeight="1">
      <c r="A27" s="143" t="s">
        <v>673</v>
      </c>
      <c r="B27" s="144"/>
      <c r="C27" s="145"/>
      <c r="D27" s="145"/>
      <c r="E27" s="145"/>
      <c r="F27" s="144">
        <f>SUM(N24:Y26)</f>
        <v>212561.44067796611</v>
      </c>
      <c r="G27" s="144">
        <f>SUM(AB24:AM26)</f>
        <v>378635.59322033898</v>
      </c>
      <c r="H27" s="144">
        <f>SUM(AP24:BA26)</f>
        <v>442639.83050847461</v>
      </c>
      <c r="I27" s="144">
        <f>SUM(BD24:BO26)</f>
        <v>442639.83050847461</v>
      </c>
      <c r="J27" s="144">
        <f>SUM(BR24:CC26)</f>
        <v>442639.83050847461</v>
      </c>
      <c r="M27" s="27"/>
      <c r="N27" s="18"/>
      <c r="O27" s="18"/>
      <c r="P27" s="18"/>
      <c r="Q27" s="18"/>
      <c r="R27" s="18"/>
      <c r="S27" s="18"/>
      <c r="T27" s="18"/>
      <c r="U27" s="18"/>
      <c r="V27" s="18"/>
      <c r="W27" s="18"/>
      <c r="X27" s="18"/>
      <c r="Y27" s="18"/>
      <c r="Z27" s="26"/>
      <c r="AB27" s="18"/>
      <c r="AC27" s="18"/>
      <c r="AD27" s="18"/>
      <c r="AE27" s="18"/>
      <c r="AF27" s="18"/>
      <c r="AG27" s="18"/>
      <c r="AH27" s="18"/>
      <c r="AI27" s="18"/>
      <c r="AJ27" s="18"/>
      <c r="AK27" s="18"/>
      <c r="AL27" s="18"/>
      <c r="AM27" s="18"/>
      <c r="AN27" s="26"/>
      <c r="AP27" s="18"/>
      <c r="AQ27" s="18"/>
      <c r="AR27" s="18"/>
      <c r="AS27" s="18"/>
      <c r="AT27" s="18"/>
      <c r="AU27" s="18"/>
      <c r="AV27" s="18"/>
      <c r="AW27" s="18"/>
      <c r="AX27" s="18"/>
      <c r="AY27" s="18"/>
      <c r="AZ27" s="18"/>
      <c r="BA27" s="18"/>
      <c r="BB27" s="26"/>
      <c r="BD27" s="18"/>
      <c r="BE27" s="18"/>
      <c r="BF27" s="18"/>
      <c r="BG27" s="18"/>
      <c r="BH27" s="18"/>
      <c r="BI27" s="18"/>
      <c r="BJ27" s="18"/>
      <c r="BK27" s="18"/>
      <c r="BL27" s="18"/>
      <c r="BM27" s="18"/>
      <c r="BN27" s="18"/>
      <c r="BO27" s="18"/>
      <c r="BP27" s="26"/>
      <c r="BR27" s="18"/>
      <c r="BS27" s="18"/>
      <c r="BT27" s="18"/>
      <c r="BU27" s="18"/>
      <c r="BV27" s="18"/>
      <c r="BW27" s="18"/>
      <c r="BX27" s="18"/>
      <c r="BY27" s="18"/>
      <c r="BZ27" s="18"/>
      <c r="CA27" s="18"/>
      <c r="CB27" s="18"/>
      <c r="CC27" s="18"/>
      <c r="CD27" s="26"/>
    </row>
    <row r="28" spans="1:82" ht="14.25" customHeight="1">
      <c r="A28" s="4"/>
      <c r="B28" s="4"/>
      <c r="C28" s="4"/>
      <c r="D28" s="4"/>
      <c r="F28" s="15"/>
      <c r="H28" s="1"/>
    </row>
    <row r="29" spans="1:82" ht="14.25" customHeight="1">
      <c r="A29" s="168" t="s">
        <v>696</v>
      </c>
      <c r="B29" s="4"/>
      <c r="C29" s="4"/>
      <c r="D29" s="4"/>
      <c r="F29" s="18">
        <f>SUM(F19,F27)*($B$95+$B$96)</f>
        <v>87984.533898305075</v>
      </c>
      <c r="G29" s="18">
        <f>SUM(G19,G27)*($B$95+$B$96)</f>
        <v>156725.08474576272</v>
      </c>
      <c r="H29" s="18">
        <f>SUM(H19,H27)*($B$95+$B$96)</f>
        <v>183236.18644067796</v>
      </c>
      <c r="I29" s="18">
        <f>SUM(I19,I27)*($B$95+$B$96)</f>
        <v>183236.18644067796</v>
      </c>
      <c r="J29" s="18">
        <f>SUM(J19,J27)*($B$95+$B$96)</f>
        <v>183236.18644067796</v>
      </c>
      <c r="N29" s="18">
        <f t="shared" ref="N29:Y29" si="54">SUM(N19,N24:N26)*($B$95+$B$96)</f>
        <v>5187.5084745762715</v>
      </c>
      <c r="O29" s="18">
        <f t="shared" si="54"/>
        <v>4685.4915254237285</v>
      </c>
      <c r="P29" s="18">
        <f t="shared" si="54"/>
        <v>5187.5084745762715</v>
      </c>
      <c r="Q29" s="18">
        <f t="shared" si="54"/>
        <v>6275.2118644067796</v>
      </c>
      <c r="R29" s="18">
        <f t="shared" si="54"/>
        <v>6490.4491525423728</v>
      </c>
      <c r="S29" s="18">
        <f t="shared" si="54"/>
        <v>6275.2118644067796</v>
      </c>
      <c r="T29" s="18">
        <f t="shared" si="54"/>
        <v>7781.2627118644059</v>
      </c>
      <c r="U29" s="18">
        <f t="shared" si="54"/>
        <v>7781.2627118644059</v>
      </c>
      <c r="V29" s="18">
        <f t="shared" si="54"/>
        <v>7530.2542372881353</v>
      </c>
      <c r="W29" s="18">
        <f t="shared" si="54"/>
        <v>10375.016949152543</v>
      </c>
      <c r="X29" s="18">
        <f t="shared" si="54"/>
        <v>10040.338983050849</v>
      </c>
      <c r="Y29" s="18">
        <f t="shared" si="54"/>
        <v>10375.016949152543</v>
      </c>
      <c r="AB29" s="18">
        <f t="shared" ref="AB29:AM29" si="55">SUM(AB19,AB24:AB26)*($B$95+$B$96)</f>
        <v>10375.016949152543</v>
      </c>
      <c r="AC29" s="18">
        <f t="shared" si="55"/>
        <v>9370.983050847457</v>
      </c>
      <c r="AD29" s="18">
        <f t="shared" si="55"/>
        <v>10375.016949152543</v>
      </c>
      <c r="AE29" s="18">
        <f t="shared" si="55"/>
        <v>12550.423728813559</v>
      </c>
      <c r="AF29" s="18">
        <f t="shared" si="55"/>
        <v>12968.771186440677</v>
      </c>
      <c r="AG29" s="18">
        <f t="shared" si="55"/>
        <v>12550.423728813559</v>
      </c>
      <c r="AH29" s="18">
        <f t="shared" si="55"/>
        <v>14271.71186440678</v>
      </c>
      <c r="AI29" s="18">
        <f t="shared" si="55"/>
        <v>14271.71186440678</v>
      </c>
      <c r="AJ29" s="18">
        <f t="shared" si="55"/>
        <v>13805.466101694916</v>
      </c>
      <c r="AK29" s="18">
        <f t="shared" si="55"/>
        <v>15562.525423728812</v>
      </c>
      <c r="AL29" s="18">
        <f t="shared" si="55"/>
        <v>15060.508474576271</v>
      </c>
      <c r="AM29" s="18">
        <f t="shared" si="55"/>
        <v>15562.525423728812</v>
      </c>
      <c r="AP29" s="18">
        <f t="shared" ref="AP29:BA29" si="56">SUM(AP19,AP24:AP26)*($B$95+$B$96)</f>
        <v>15562.525423728812</v>
      </c>
      <c r="AQ29" s="18">
        <f t="shared" si="56"/>
        <v>14056.474576271185</v>
      </c>
      <c r="AR29" s="18">
        <f t="shared" si="56"/>
        <v>15562.525423728812</v>
      </c>
      <c r="AS29" s="18">
        <f t="shared" si="56"/>
        <v>15060.508474576271</v>
      </c>
      <c r="AT29" s="18">
        <f t="shared" si="56"/>
        <v>15562.525423728812</v>
      </c>
      <c r="AU29" s="18">
        <f t="shared" si="56"/>
        <v>15060.508474576271</v>
      </c>
      <c r="AV29" s="18">
        <f t="shared" si="56"/>
        <v>15562.525423728812</v>
      </c>
      <c r="AW29" s="18">
        <f t="shared" si="56"/>
        <v>15562.525423728812</v>
      </c>
      <c r="AX29" s="18">
        <f t="shared" si="56"/>
        <v>15060.508474576271</v>
      </c>
      <c r="AY29" s="18">
        <f t="shared" si="56"/>
        <v>15562.525423728812</v>
      </c>
      <c r="AZ29" s="18">
        <f t="shared" si="56"/>
        <v>15060.508474576271</v>
      </c>
      <c r="BA29" s="18">
        <f t="shared" si="56"/>
        <v>15562.525423728812</v>
      </c>
      <c r="BD29" s="18">
        <f t="shared" ref="BD29:BO29" si="57">SUM(BD19,BD24:BD26)*($B$95+$B$96)</f>
        <v>15562.525423728812</v>
      </c>
      <c r="BE29" s="18">
        <f t="shared" si="57"/>
        <v>14056.474576271185</v>
      </c>
      <c r="BF29" s="18">
        <f t="shared" si="57"/>
        <v>15562.525423728812</v>
      </c>
      <c r="BG29" s="18">
        <f t="shared" si="57"/>
        <v>15060.508474576271</v>
      </c>
      <c r="BH29" s="18">
        <f t="shared" si="57"/>
        <v>15562.525423728812</v>
      </c>
      <c r="BI29" s="18">
        <f t="shared" si="57"/>
        <v>15060.508474576271</v>
      </c>
      <c r="BJ29" s="18">
        <f t="shared" si="57"/>
        <v>15562.525423728812</v>
      </c>
      <c r="BK29" s="18">
        <f t="shared" si="57"/>
        <v>15562.525423728812</v>
      </c>
      <c r="BL29" s="18">
        <f t="shared" si="57"/>
        <v>15060.508474576271</v>
      </c>
      <c r="BM29" s="18">
        <f t="shared" si="57"/>
        <v>15562.525423728812</v>
      </c>
      <c r="BN29" s="18">
        <f t="shared" si="57"/>
        <v>15060.508474576271</v>
      </c>
      <c r="BO29" s="18">
        <f t="shared" si="57"/>
        <v>15562.525423728812</v>
      </c>
      <c r="BR29" s="18">
        <f t="shared" ref="BR29:CC29" si="58">SUM(BR19,BR24:BR26)*($B$95+$B$96)</f>
        <v>15562.525423728812</v>
      </c>
      <c r="BS29" s="18">
        <f t="shared" si="58"/>
        <v>14056.474576271185</v>
      </c>
      <c r="BT29" s="18">
        <f t="shared" si="58"/>
        <v>15562.525423728812</v>
      </c>
      <c r="BU29" s="18">
        <f t="shared" si="58"/>
        <v>15060.508474576271</v>
      </c>
      <c r="BV29" s="18">
        <f t="shared" si="58"/>
        <v>15562.525423728812</v>
      </c>
      <c r="BW29" s="18">
        <f t="shared" si="58"/>
        <v>15060.508474576271</v>
      </c>
      <c r="BX29" s="18">
        <f t="shared" si="58"/>
        <v>15562.525423728812</v>
      </c>
      <c r="BY29" s="18">
        <f t="shared" si="58"/>
        <v>15562.525423728812</v>
      </c>
      <c r="BZ29" s="18">
        <f t="shared" si="58"/>
        <v>15060.508474576271</v>
      </c>
      <c r="CA29" s="18">
        <f t="shared" si="58"/>
        <v>15562.525423728812</v>
      </c>
      <c r="CB29" s="18">
        <f t="shared" si="58"/>
        <v>15060.508474576271</v>
      </c>
      <c r="CC29" s="18">
        <f t="shared" si="58"/>
        <v>15562.525423728812</v>
      </c>
    </row>
    <row r="30" spans="1:82" ht="14.25" customHeight="1">
      <c r="A30" s="4"/>
      <c r="B30" s="4"/>
      <c r="C30" s="4"/>
      <c r="D30" s="4"/>
      <c r="F30" s="15"/>
      <c r="H30" s="1"/>
    </row>
    <row r="31" spans="1:82" ht="18">
      <c r="A31" s="63" t="s">
        <v>667</v>
      </c>
      <c r="B31" s="8"/>
      <c r="D31" s="1"/>
    </row>
    <row r="32" spans="1:82" ht="14.25" customHeight="1">
      <c r="A32" s="7"/>
      <c r="B32" s="1"/>
      <c r="D32" s="1"/>
    </row>
    <row r="33" spans="1:81" ht="14.25" customHeight="1">
      <c r="A33" s="7"/>
      <c r="B33" s="4" t="s">
        <v>0</v>
      </c>
      <c r="C33" s="4" t="s">
        <v>23</v>
      </c>
      <c r="D33" s="1"/>
    </row>
    <row r="34" spans="1:81" ht="14.25" customHeight="1">
      <c r="A34" s="143" t="s">
        <v>24</v>
      </c>
      <c r="B34" s="146">
        <v>6000</v>
      </c>
      <c r="C34" s="147">
        <f>B34*12</f>
        <v>72000</v>
      </c>
      <c r="D34" s="148"/>
      <c r="E34" s="145"/>
      <c r="F34" s="144">
        <f>SUM(N34:Y34)</f>
        <v>-72000</v>
      </c>
      <c r="G34" s="144">
        <f>SUM(AB34:AM34)</f>
        <v>-72000</v>
      </c>
      <c r="H34" s="144">
        <f>SUM(AP34:BA34)</f>
        <v>-72000</v>
      </c>
      <c r="I34" s="144">
        <f>SUM(BD34:BO34)</f>
        <v>-72000</v>
      </c>
      <c r="J34" s="144">
        <f>SUM(BR34:CC34)</f>
        <v>-72000</v>
      </c>
      <c r="N34" s="18">
        <f>-$B$34</f>
        <v>-6000</v>
      </c>
      <c r="O34" s="18">
        <f t="shared" ref="O34:Y34" si="59">-$B$34</f>
        <v>-6000</v>
      </c>
      <c r="P34" s="18">
        <f t="shared" si="59"/>
        <v>-6000</v>
      </c>
      <c r="Q34" s="18">
        <f t="shared" si="59"/>
        <v>-6000</v>
      </c>
      <c r="R34" s="18">
        <f t="shared" si="59"/>
        <v>-6000</v>
      </c>
      <c r="S34" s="18">
        <f t="shared" si="59"/>
        <v>-6000</v>
      </c>
      <c r="T34" s="18">
        <f t="shared" si="59"/>
        <v>-6000</v>
      </c>
      <c r="U34" s="18">
        <f t="shared" si="59"/>
        <v>-6000</v>
      </c>
      <c r="V34" s="18">
        <f t="shared" si="59"/>
        <v>-6000</v>
      </c>
      <c r="W34" s="18">
        <f t="shared" si="59"/>
        <v>-6000</v>
      </c>
      <c r="X34" s="18">
        <f t="shared" si="59"/>
        <v>-6000</v>
      </c>
      <c r="Y34" s="18">
        <f t="shared" si="59"/>
        <v>-6000</v>
      </c>
      <c r="AB34" s="18">
        <f>-$B$34</f>
        <v>-6000</v>
      </c>
      <c r="AC34" s="18">
        <f t="shared" ref="AC34:AM34" si="60">-$B$34</f>
        <v>-6000</v>
      </c>
      <c r="AD34" s="18">
        <f t="shared" si="60"/>
        <v>-6000</v>
      </c>
      <c r="AE34" s="18">
        <f t="shared" si="60"/>
        <v>-6000</v>
      </c>
      <c r="AF34" s="18">
        <f t="shared" si="60"/>
        <v>-6000</v>
      </c>
      <c r="AG34" s="18">
        <f t="shared" si="60"/>
        <v>-6000</v>
      </c>
      <c r="AH34" s="18">
        <f t="shared" si="60"/>
        <v>-6000</v>
      </c>
      <c r="AI34" s="18">
        <f t="shared" si="60"/>
        <v>-6000</v>
      </c>
      <c r="AJ34" s="18">
        <f t="shared" si="60"/>
        <v>-6000</v>
      </c>
      <c r="AK34" s="18">
        <f t="shared" si="60"/>
        <v>-6000</v>
      </c>
      <c r="AL34" s="18">
        <f t="shared" si="60"/>
        <v>-6000</v>
      </c>
      <c r="AM34" s="18">
        <f t="shared" si="60"/>
        <v>-6000</v>
      </c>
      <c r="AP34" s="18">
        <f>-$B$34</f>
        <v>-6000</v>
      </c>
      <c r="AQ34" s="18">
        <f t="shared" ref="AQ34:BA34" si="61">-$B$34</f>
        <v>-6000</v>
      </c>
      <c r="AR34" s="18">
        <f t="shared" si="61"/>
        <v>-6000</v>
      </c>
      <c r="AS34" s="18">
        <f t="shared" si="61"/>
        <v>-6000</v>
      </c>
      <c r="AT34" s="18">
        <f t="shared" si="61"/>
        <v>-6000</v>
      </c>
      <c r="AU34" s="18">
        <f t="shared" si="61"/>
        <v>-6000</v>
      </c>
      <c r="AV34" s="18">
        <f t="shared" si="61"/>
        <v>-6000</v>
      </c>
      <c r="AW34" s="18">
        <f t="shared" si="61"/>
        <v>-6000</v>
      </c>
      <c r="AX34" s="18">
        <f t="shared" si="61"/>
        <v>-6000</v>
      </c>
      <c r="AY34" s="18">
        <f t="shared" si="61"/>
        <v>-6000</v>
      </c>
      <c r="AZ34" s="18">
        <f t="shared" si="61"/>
        <v>-6000</v>
      </c>
      <c r="BA34" s="18">
        <f t="shared" si="61"/>
        <v>-6000</v>
      </c>
      <c r="BD34" s="18">
        <f>-$B$34</f>
        <v>-6000</v>
      </c>
      <c r="BE34" s="18">
        <f t="shared" ref="BE34:BO34" si="62">-$B$34</f>
        <v>-6000</v>
      </c>
      <c r="BF34" s="18">
        <f t="shared" si="62"/>
        <v>-6000</v>
      </c>
      <c r="BG34" s="18">
        <f t="shared" si="62"/>
        <v>-6000</v>
      </c>
      <c r="BH34" s="18">
        <f t="shared" si="62"/>
        <v>-6000</v>
      </c>
      <c r="BI34" s="18">
        <f t="shared" si="62"/>
        <v>-6000</v>
      </c>
      <c r="BJ34" s="18">
        <f t="shared" si="62"/>
        <v>-6000</v>
      </c>
      <c r="BK34" s="18">
        <f t="shared" si="62"/>
        <v>-6000</v>
      </c>
      <c r="BL34" s="18">
        <f t="shared" si="62"/>
        <v>-6000</v>
      </c>
      <c r="BM34" s="18">
        <f t="shared" si="62"/>
        <v>-6000</v>
      </c>
      <c r="BN34" s="18">
        <f t="shared" si="62"/>
        <v>-6000</v>
      </c>
      <c r="BO34" s="18">
        <f t="shared" si="62"/>
        <v>-6000</v>
      </c>
      <c r="BR34" s="18">
        <f>-$B$34</f>
        <v>-6000</v>
      </c>
      <c r="BS34" s="18">
        <f t="shared" ref="BS34:CC34" si="63">-$B$34</f>
        <v>-6000</v>
      </c>
      <c r="BT34" s="18">
        <f t="shared" si="63"/>
        <v>-6000</v>
      </c>
      <c r="BU34" s="18">
        <f t="shared" si="63"/>
        <v>-6000</v>
      </c>
      <c r="BV34" s="18">
        <f t="shared" si="63"/>
        <v>-6000</v>
      </c>
      <c r="BW34" s="18">
        <f t="shared" si="63"/>
        <v>-6000</v>
      </c>
      <c r="BX34" s="18">
        <f t="shared" si="63"/>
        <v>-6000</v>
      </c>
      <c r="BY34" s="18">
        <f t="shared" si="63"/>
        <v>-6000</v>
      </c>
      <c r="BZ34" s="18">
        <f t="shared" si="63"/>
        <v>-6000</v>
      </c>
      <c r="CA34" s="18">
        <f t="shared" si="63"/>
        <v>-6000</v>
      </c>
      <c r="CB34" s="18">
        <f t="shared" si="63"/>
        <v>-6000</v>
      </c>
      <c r="CC34" s="18">
        <f t="shared" si="63"/>
        <v>-6000</v>
      </c>
    </row>
    <row r="35" spans="1:81" ht="14.25" customHeight="1">
      <c r="A35" s="7"/>
      <c r="C35" s="4"/>
      <c r="D35" s="1"/>
    </row>
    <row r="36" spans="1:81" ht="14.25" customHeight="1">
      <c r="A36" s="7" t="s">
        <v>38</v>
      </c>
      <c r="B36" s="13" t="s">
        <v>5</v>
      </c>
      <c r="C36" s="22" t="s">
        <v>57</v>
      </c>
      <c r="D36" s="1"/>
    </row>
    <row r="37" spans="1:81" ht="14.25" customHeight="1">
      <c r="A37" s="149" t="s">
        <v>25</v>
      </c>
      <c r="B37" s="150">
        <v>1</v>
      </c>
      <c r="C37" s="151">
        <v>300</v>
      </c>
      <c r="D37" s="148"/>
      <c r="E37" s="145"/>
      <c r="F37" s="144">
        <f t="shared" ref="F37:F42" si="64">SUM(N37:Y37)</f>
        <v>-3600</v>
      </c>
      <c r="G37" s="144">
        <f t="shared" ref="G37:G42" si="65">SUM(AB37:AM37)</f>
        <v>-3600</v>
      </c>
      <c r="H37" s="144">
        <f t="shared" ref="H37:H42" si="66">SUM(AP37:BA37)</f>
        <v>-3600</v>
      </c>
      <c r="I37" s="144">
        <f t="shared" ref="I37:I42" si="67">SUM(BD37:BO37)</f>
        <v>-3600</v>
      </c>
      <c r="J37" s="144">
        <f t="shared" ref="J37:J42" si="68">SUM(BR37:CC37)</f>
        <v>-3600</v>
      </c>
      <c r="N37" s="18">
        <f>-$B37*$C37</f>
        <v>-300</v>
      </c>
      <c r="O37" s="18">
        <f t="shared" ref="O37:Y42" si="69">-$B37*$C37</f>
        <v>-300</v>
      </c>
      <c r="P37" s="18">
        <f t="shared" si="69"/>
        <v>-300</v>
      </c>
      <c r="Q37" s="18">
        <f t="shared" si="69"/>
        <v>-300</v>
      </c>
      <c r="R37" s="18">
        <f t="shared" si="69"/>
        <v>-300</v>
      </c>
      <c r="S37" s="18">
        <f t="shared" si="69"/>
        <v>-300</v>
      </c>
      <c r="T37" s="18">
        <f t="shared" si="69"/>
        <v>-300</v>
      </c>
      <c r="U37" s="18">
        <f t="shared" si="69"/>
        <v>-300</v>
      </c>
      <c r="V37" s="18">
        <f t="shared" si="69"/>
        <v>-300</v>
      </c>
      <c r="W37" s="18">
        <f t="shared" si="69"/>
        <v>-300</v>
      </c>
      <c r="X37" s="18">
        <f t="shared" si="69"/>
        <v>-300</v>
      </c>
      <c r="Y37" s="18">
        <f t="shared" si="69"/>
        <v>-300</v>
      </c>
      <c r="AB37" s="18">
        <f t="shared" ref="AB37:AM42" si="70">-$B37*$C37</f>
        <v>-300</v>
      </c>
      <c r="AC37" s="18">
        <f t="shared" si="70"/>
        <v>-300</v>
      </c>
      <c r="AD37" s="18">
        <f t="shared" si="70"/>
        <v>-300</v>
      </c>
      <c r="AE37" s="18">
        <f t="shared" si="70"/>
        <v>-300</v>
      </c>
      <c r="AF37" s="18">
        <f t="shared" si="70"/>
        <v>-300</v>
      </c>
      <c r="AG37" s="18">
        <f t="shared" si="70"/>
        <v>-300</v>
      </c>
      <c r="AH37" s="18">
        <f t="shared" si="70"/>
        <v>-300</v>
      </c>
      <c r="AI37" s="18">
        <f t="shared" si="70"/>
        <v>-300</v>
      </c>
      <c r="AJ37" s="18">
        <f t="shared" si="70"/>
        <v>-300</v>
      </c>
      <c r="AK37" s="18">
        <f t="shared" si="70"/>
        <v>-300</v>
      </c>
      <c r="AL37" s="18">
        <f t="shared" si="70"/>
        <v>-300</v>
      </c>
      <c r="AM37" s="18">
        <f t="shared" si="70"/>
        <v>-300</v>
      </c>
      <c r="AP37" s="18">
        <f t="shared" ref="AP37:BA42" si="71">-$B37*$C37</f>
        <v>-300</v>
      </c>
      <c r="AQ37" s="18">
        <f t="shared" si="71"/>
        <v>-300</v>
      </c>
      <c r="AR37" s="18">
        <f t="shared" si="71"/>
        <v>-300</v>
      </c>
      <c r="AS37" s="18">
        <f t="shared" si="71"/>
        <v>-300</v>
      </c>
      <c r="AT37" s="18">
        <f t="shared" si="71"/>
        <v>-300</v>
      </c>
      <c r="AU37" s="18">
        <f t="shared" si="71"/>
        <v>-300</v>
      </c>
      <c r="AV37" s="18">
        <f t="shared" si="71"/>
        <v>-300</v>
      </c>
      <c r="AW37" s="18">
        <f t="shared" si="71"/>
        <v>-300</v>
      </c>
      <c r="AX37" s="18">
        <f t="shared" si="71"/>
        <v>-300</v>
      </c>
      <c r="AY37" s="18">
        <f t="shared" si="71"/>
        <v>-300</v>
      </c>
      <c r="AZ37" s="18">
        <f t="shared" si="71"/>
        <v>-300</v>
      </c>
      <c r="BA37" s="18">
        <f t="shared" si="71"/>
        <v>-300</v>
      </c>
      <c r="BD37" s="18">
        <f t="shared" ref="BD37:BO42" si="72">-$B37*$C37</f>
        <v>-300</v>
      </c>
      <c r="BE37" s="18">
        <f t="shared" si="72"/>
        <v>-300</v>
      </c>
      <c r="BF37" s="18">
        <f t="shared" si="72"/>
        <v>-300</v>
      </c>
      <c r="BG37" s="18">
        <f t="shared" si="72"/>
        <v>-300</v>
      </c>
      <c r="BH37" s="18">
        <f t="shared" si="72"/>
        <v>-300</v>
      </c>
      <c r="BI37" s="18">
        <f t="shared" si="72"/>
        <v>-300</v>
      </c>
      <c r="BJ37" s="18">
        <f t="shared" si="72"/>
        <v>-300</v>
      </c>
      <c r="BK37" s="18">
        <f t="shared" si="72"/>
        <v>-300</v>
      </c>
      <c r="BL37" s="18">
        <f t="shared" si="72"/>
        <v>-300</v>
      </c>
      <c r="BM37" s="18">
        <f t="shared" si="72"/>
        <v>-300</v>
      </c>
      <c r="BN37" s="18">
        <f t="shared" si="72"/>
        <v>-300</v>
      </c>
      <c r="BO37" s="18">
        <f t="shared" si="72"/>
        <v>-300</v>
      </c>
      <c r="BR37" s="18">
        <f t="shared" ref="BR37:CC42" si="73">-$B37*$C37</f>
        <v>-300</v>
      </c>
      <c r="BS37" s="18">
        <f t="shared" si="73"/>
        <v>-300</v>
      </c>
      <c r="BT37" s="18">
        <f t="shared" si="73"/>
        <v>-300</v>
      </c>
      <c r="BU37" s="18">
        <f t="shared" si="73"/>
        <v>-300</v>
      </c>
      <c r="BV37" s="18">
        <f t="shared" si="73"/>
        <v>-300</v>
      </c>
      <c r="BW37" s="18">
        <f t="shared" si="73"/>
        <v>-300</v>
      </c>
      <c r="BX37" s="18">
        <f t="shared" si="73"/>
        <v>-300</v>
      </c>
      <c r="BY37" s="18">
        <f t="shared" si="73"/>
        <v>-300</v>
      </c>
      <c r="BZ37" s="18">
        <f t="shared" si="73"/>
        <v>-300</v>
      </c>
      <c r="CA37" s="18">
        <f t="shared" si="73"/>
        <v>-300</v>
      </c>
      <c r="CB37" s="18">
        <f t="shared" si="73"/>
        <v>-300</v>
      </c>
      <c r="CC37" s="18">
        <f t="shared" si="73"/>
        <v>-300</v>
      </c>
    </row>
    <row r="38" spans="1:81" ht="14.25" customHeight="1">
      <c r="A38" s="149" t="s">
        <v>26</v>
      </c>
      <c r="B38" s="150">
        <v>2</v>
      </c>
      <c r="C38" s="151">
        <v>200</v>
      </c>
      <c r="D38" s="148"/>
      <c r="E38" s="145"/>
      <c r="F38" s="144">
        <f t="shared" si="64"/>
        <v>-4800</v>
      </c>
      <c r="G38" s="144">
        <f t="shared" si="65"/>
        <v>-4800</v>
      </c>
      <c r="H38" s="144">
        <f t="shared" si="66"/>
        <v>-4800</v>
      </c>
      <c r="I38" s="144">
        <f t="shared" si="67"/>
        <v>-4800</v>
      </c>
      <c r="J38" s="144">
        <f t="shared" si="68"/>
        <v>-4800</v>
      </c>
      <c r="N38" s="18">
        <f t="shared" ref="N38:N42" si="74">-$B38*$C38</f>
        <v>-400</v>
      </c>
      <c r="O38" s="18">
        <f t="shared" si="69"/>
        <v>-400</v>
      </c>
      <c r="P38" s="18">
        <f t="shared" si="69"/>
        <v>-400</v>
      </c>
      <c r="Q38" s="18">
        <f t="shared" si="69"/>
        <v>-400</v>
      </c>
      <c r="R38" s="18">
        <f t="shared" si="69"/>
        <v>-400</v>
      </c>
      <c r="S38" s="18">
        <f t="shared" si="69"/>
        <v>-400</v>
      </c>
      <c r="T38" s="18">
        <f t="shared" si="69"/>
        <v>-400</v>
      </c>
      <c r="U38" s="18">
        <f t="shared" si="69"/>
        <v>-400</v>
      </c>
      <c r="V38" s="18">
        <f t="shared" si="69"/>
        <v>-400</v>
      </c>
      <c r="W38" s="18">
        <f t="shared" si="69"/>
        <v>-400</v>
      </c>
      <c r="X38" s="18">
        <f t="shared" si="69"/>
        <v>-400</v>
      </c>
      <c r="Y38" s="18">
        <f t="shared" si="69"/>
        <v>-400</v>
      </c>
      <c r="AB38" s="18">
        <f t="shared" si="70"/>
        <v>-400</v>
      </c>
      <c r="AC38" s="18">
        <f t="shared" si="70"/>
        <v>-400</v>
      </c>
      <c r="AD38" s="18">
        <f t="shared" si="70"/>
        <v>-400</v>
      </c>
      <c r="AE38" s="18">
        <f t="shared" si="70"/>
        <v>-400</v>
      </c>
      <c r="AF38" s="18">
        <f t="shared" si="70"/>
        <v>-400</v>
      </c>
      <c r="AG38" s="18">
        <f t="shared" si="70"/>
        <v>-400</v>
      </c>
      <c r="AH38" s="18">
        <f t="shared" si="70"/>
        <v>-400</v>
      </c>
      <c r="AI38" s="18">
        <f t="shared" si="70"/>
        <v>-400</v>
      </c>
      <c r="AJ38" s="18">
        <f t="shared" si="70"/>
        <v>-400</v>
      </c>
      <c r="AK38" s="18">
        <f t="shared" si="70"/>
        <v>-400</v>
      </c>
      <c r="AL38" s="18">
        <f t="shared" si="70"/>
        <v>-400</v>
      </c>
      <c r="AM38" s="18">
        <f t="shared" si="70"/>
        <v>-400</v>
      </c>
      <c r="AP38" s="18">
        <f t="shared" si="71"/>
        <v>-400</v>
      </c>
      <c r="AQ38" s="18">
        <f t="shared" si="71"/>
        <v>-400</v>
      </c>
      <c r="AR38" s="18">
        <f t="shared" si="71"/>
        <v>-400</v>
      </c>
      <c r="AS38" s="18">
        <f t="shared" si="71"/>
        <v>-400</v>
      </c>
      <c r="AT38" s="18">
        <f t="shared" si="71"/>
        <v>-400</v>
      </c>
      <c r="AU38" s="18">
        <f t="shared" si="71"/>
        <v>-400</v>
      </c>
      <c r="AV38" s="18">
        <f t="shared" si="71"/>
        <v>-400</v>
      </c>
      <c r="AW38" s="18">
        <f t="shared" si="71"/>
        <v>-400</v>
      </c>
      <c r="AX38" s="18">
        <f t="shared" si="71"/>
        <v>-400</v>
      </c>
      <c r="AY38" s="18">
        <f t="shared" si="71"/>
        <v>-400</v>
      </c>
      <c r="AZ38" s="18">
        <f t="shared" si="71"/>
        <v>-400</v>
      </c>
      <c r="BA38" s="18">
        <f t="shared" si="71"/>
        <v>-400</v>
      </c>
      <c r="BD38" s="18">
        <f t="shared" si="72"/>
        <v>-400</v>
      </c>
      <c r="BE38" s="18">
        <f t="shared" si="72"/>
        <v>-400</v>
      </c>
      <c r="BF38" s="18">
        <f t="shared" si="72"/>
        <v>-400</v>
      </c>
      <c r="BG38" s="18">
        <f t="shared" si="72"/>
        <v>-400</v>
      </c>
      <c r="BH38" s="18">
        <f t="shared" si="72"/>
        <v>-400</v>
      </c>
      <c r="BI38" s="18">
        <f t="shared" si="72"/>
        <v>-400</v>
      </c>
      <c r="BJ38" s="18">
        <f t="shared" si="72"/>
        <v>-400</v>
      </c>
      <c r="BK38" s="18">
        <f t="shared" si="72"/>
        <v>-400</v>
      </c>
      <c r="BL38" s="18">
        <f t="shared" si="72"/>
        <v>-400</v>
      </c>
      <c r="BM38" s="18">
        <f t="shared" si="72"/>
        <v>-400</v>
      </c>
      <c r="BN38" s="18">
        <f t="shared" si="72"/>
        <v>-400</v>
      </c>
      <c r="BO38" s="18">
        <f t="shared" si="72"/>
        <v>-400</v>
      </c>
      <c r="BR38" s="18">
        <f t="shared" si="73"/>
        <v>-400</v>
      </c>
      <c r="BS38" s="18">
        <f t="shared" si="73"/>
        <v>-400</v>
      </c>
      <c r="BT38" s="18">
        <f t="shared" si="73"/>
        <v>-400</v>
      </c>
      <c r="BU38" s="18">
        <f t="shared" si="73"/>
        <v>-400</v>
      </c>
      <c r="BV38" s="18">
        <f t="shared" si="73"/>
        <v>-400</v>
      </c>
      <c r="BW38" s="18">
        <f t="shared" si="73"/>
        <v>-400</v>
      </c>
      <c r="BX38" s="18">
        <f t="shared" si="73"/>
        <v>-400</v>
      </c>
      <c r="BY38" s="18">
        <f t="shared" si="73"/>
        <v>-400</v>
      </c>
      <c r="BZ38" s="18">
        <f t="shared" si="73"/>
        <v>-400</v>
      </c>
      <c r="CA38" s="18">
        <f t="shared" si="73"/>
        <v>-400</v>
      </c>
      <c r="CB38" s="18">
        <f t="shared" si="73"/>
        <v>-400</v>
      </c>
      <c r="CC38" s="18">
        <f t="shared" si="73"/>
        <v>-400</v>
      </c>
    </row>
    <row r="39" spans="1:81" ht="14.25" customHeight="1">
      <c r="A39" s="149" t="s">
        <v>18</v>
      </c>
      <c r="B39" s="150">
        <v>4</v>
      </c>
      <c r="C39" s="151">
        <v>200</v>
      </c>
      <c r="D39" s="148"/>
      <c r="E39" s="145"/>
      <c r="F39" s="144">
        <f t="shared" si="64"/>
        <v>-9600</v>
      </c>
      <c r="G39" s="144">
        <f t="shared" si="65"/>
        <v>-9600</v>
      </c>
      <c r="H39" s="144">
        <f t="shared" si="66"/>
        <v>-9600</v>
      </c>
      <c r="I39" s="144">
        <f t="shared" si="67"/>
        <v>-9600</v>
      </c>
      <c r="J39" s="144">
        <f t="shared" si="68"/>
        <v>-9600</v>
      </c>
      <c r="N39" s="18">
        <f t="shared" si="74"/>
        <v>-800</v>
      </c>
      <c r="O39" s="18">
        <f t="shared" si="69"/>
        <v>-800</v>
      </c>
      <c r="P39" s="18">
        <f t="shared" si="69"/>
        <v>-800</v>
      </c>
      <c r="Q39" s="18">
        <f t="shared" si="69"/>
        <v>-800</v>
      </c>
      <c r="R39" s="18">
        <f t="shared" si="69"/>
        <v>-800</v>
      </c>
      <c r="S39" s="18">
        <f t="shared" si="69"/>
        <v>-800</v>
      </c>
      <c r="T39" s="18">
        <f t="shared" si="69"/>
        <v>-800</v>
      </c>
      <c r="U39" s="18">
        <f t="shared" si="69"/>
        <v>-800</v>
      </c>
      <c r="V39" s="18">
        <f t="shared" si="69"/>
        <v>-800</v>
      </c>
      <c r="W39" s="18">
        <f t="shared" si="69"/>
        <v>-800</v>
      </c>
      <c r="X39" s="18">
        <f t="shared" si="69"/>
        <v>-800</v>
      </c>
      <c r="Y39" s="18">
        <f t="shared" si="69"/>
        <v>-800</v>
      </c>
      <c r="AB39" s="18">
        <f t="shared" si="70"/>
        <v>-800</v>
      </c>
      <c r="AC39" s="18">
        <f t="shared" si="70"/>
        <v>-800</v>
      </c>
      <c r="AD39" s="18">
        <f t="shared" si="70"/>
        <v>-800</v>
      </c>
      <c r="AE39" s="18">
        <f t="shared" si="70"/>
        <v>-800</v>
      </c>
      <c r="AF39" s="18">
        <f t="shared" si="70"/>
        <v>-800</v>
      </c>
      <c r="AG39" s="18">
        <f t="shared" si="70"/>
        <v>-800</v>
      </c>
      <c r="AH39" s="18">
        <f t="shared" si="70"/>
        <v>-800</v>
      </c>
      <c r="AI39" s="18">
        <f t="shared" si="70"/>
        <v>-800</v>
      </c>
      <c r="AJ39" s="18">
        <f t="shared" si="70"/>
        <v>-800</v>
      </c>
      <c r="AK39" s="18">
        <f t="shared" si="70"/>
        <v>-800</v>
      </c>
      <c r="AL39" s="18">
        <f t="shared" si="70"/>
        <v>-800</v>
      </c>
      <c r="AM39" s="18">
        <f t="shared" si="70"/>
        <v>-800</v>
      </c>
      <c r="AP39" s="18">
        <f t="shared" si="71"/>
        <v>-800</v>
      </c>
      <c r="AQ39" s="18">
        <f t="shared" si="71"/>
        <v>-800</v>
      </c>
      <c r="AR39" s="18">
        <f t="shared" si="71"/>
        <v>-800</v>
      </c>
      <c r="AS39" s="18">
        <f t="shared" si="71"/>
        <v>-800</v>
      </c>
      <c r="AT39" s="18">
        <f t="shared" si="71"/>
        <v>-800</v>
      </c>
      <c r="AU39" s="18">
        <f t="shared" si="71"/>
        <v>-800</v>
      </c>
      <c r="AV39" s="18">
        <f t="shared" si="71"/>
        <v>-800</v>
      </c>
      <c r="AW39" s="18">
        <f t="shared" si="71"/>
        <v>-800</v>
      </c>
      <c r="AX39" s="18">
        <f t="shared" si="71"/>
        <v>-800</v>
      </c>
      <c r="AY39" s="18">
        <f t="shared" si="71"/>
        <v>-800</v>
      </c>
      <c r="AZ39" s="18">
        <f t="shared" si="71"/>
        <v>-800</v>
      </c>
      <c r="BA39" s="18">
        <f t="shared" si="71"/>
        <v>-800</v>
      </c>
      <c r="BD39" s="18">
        <f t="shared" si="72"/>
        <v>-800</v>
      </c>
      <c r="BE39" s="18">
        <f t="shared" si="72"/>
        <v>-800</v>
      </c>
      <c r="BF39" s="18">
        <f t="shared" si="72"/>
        <v>-800</v>
      </c>
      <c r="BG39" s="18">
        <f t="shared" si="72"/>
        <v>-800</v>
      </c>
      <c r="BH39" s="18">
        <f t="shared" si="72"/>
        <v>-800</v>
      </c>
      <c r="BI39" s="18">
        <f t="shared" si="72"/>
        <v>-800</v>
      </c>
      <c r="BJ39" s="18">
        <f t="shared" si="72"/>
        <v>-800</v>
      </c>
      <c r="BK39" s="18">
        <f t="shared" si="72"/>
        <v>-800</v>
      </c>
      <c r="BL39" s="18">
        <f t="shared" si="72"/>
        <v>-800</v>
      </c>
      <c r="BM39" s="18">
        <f t="shared" si="72"/>
        <v>-800</v>
      </c>
      <c r="BN39" s="18">
        <f t="shared" si="72"/>
        <v>-800</v>
      </c>
      <c r="BO39" s="18">
        <f t="shared" si="72"/>
        <v>-800</v>
      </c>
      <c r="BR39" s="18">
        <f t="shared" si="73"/>
        <v>-800</v>
      </c>
      <c r="BS39" s="18">
        <f t="shared" si="73"/>
        <v>-800</v>
      </c>
      <c r="BT39" s="18">
        <f t="shared" si="73"/>
        <v>-800</v>
      </c>
      <c r="BU39" s="18">
        <f t="shared" si="73"/>
        <v>-800</v>
      </c>
      <c r="BV39" s="18">
        <f t="shared" si="73"/>
        <v>-800</v>
      </c>
      <c r="BW39" s="18">
        <f t="shared" si="73"/>
        <v>-800</v>
      </c>
      <c r="BX39" s="18">
        <f t="shared" si="73"/>
        <v>-800</v>
      </c>
      <c r="BY39" s="18">
        <f t="shared" si="73"/>
        <v>-800</v>
      </c>
      <c r="BZ39" s="18">
        <f t="shared" si="73"/>
        <v>-800</v>
      </c>
      <c r="CA39" s="18">
        <f t="shared" si="73"/>
        <v>-800</v>
      </c>
      <c r="CB39" s="18">
        <f t="shared" si="73"/>
        <v>-800</v>
      </c>
      <c r="CC39" s="18">
        <f t="shared" si="73"/>
        <v>-800</v>
      </c>
    </row>
    <row r="40" spans="1:81" ht="14.25" customHeight="1">
      <c r="A40" s="149" t="s">
        <v>27</v>
      </c>
      <c r="B40" s="150">
        <v>4</v>
      </c>
      <c r="C40" s="151">
        <v>150</v>
      </c>
      <c r="D40" s="148"/>
      <c r="E40" s="145"/>
      <c r="F40" s="144">
        <f t="shared" si="64"/>
        <v>-7200</v>
      </c>
      <c r="G40" s="144">
        <f t="shared" si="65"/>
        <v>-7200</v>
      </c>
      <c r="H40" s="144">
        <f t="shared" si="66"/>
        <v>-7200</v>
      </c>
      <c r="I40" s="144">
        <f t="shared" si="67"/>
        <v>-7200</v>
      </c>
      <c r="J40" s="144">
        <f t="shared" si="68"/>
        <v>-7200</v>
      </c>
      <c r="N40" s="18">
        <f t="shared" si="74"/>
        <v>-600</v>
      </c>
      <c r="O40" s="18">
        <f t="shared" si="69"/>
        <v>-600</v>
      </c>
      <c r="P40" s="18">
        <f t="shared" si="69"/>
        <v>-600</v>
      </c>
      <c r="Q40" s="18">
        <f t="shared" si="69"/>
        <v>-600</v>
      </c>
      <c r="R40" s="18">
        <f t="shared" si="69"/>
        <v>-600</v>
      </c>
      <c r="S40" s="18">
        <f t="shared" si="69"/>
        <v>-600</v>
      </c>
      <c r="T40" s="18">
        <f t="shared" si="69"/>
        <v>-600</v>
      </c>
      <c r="U40" s="18">
        <f t="shared" si="69"/>
        <v>-600</v>
      </c>
      <c r="V40" s="18">
        <f t="shared" si="69"/>
        <v>-600</v>
      </c>
      <c r="W40" s="18">
        <f t="shared" si="69"/>
        <v>-600</v>
      </c>
      <c r="X40" s="18">
        <f t="shared" si="69"/>
        <v>-600</v>
      </c>
      <c r="Y40" s="18">
        <f t="shared" si="69"/>
        <v>-600</v>
      </c>
      <c r="AB40" s="18">
        <f t="shared" si="70"/>
        <v>-600</v>
      </c>
      <c r="AC40" s="18">
        <f t="shared" si="70"/>
        <v>-600</v>
      </c>
      <c r="AD40" s="18">
        <f t="shared" si="70"/>
        <v>-600</v>
      </c>
      <c r="AE40" s="18">
        <f t="shared" si="70"/>
        <v>-600</v>
      </c>
      <c r="AF40" s="18">
        <f t="shared" si="70"/>
        <v>-600</v>
      </c>
      <c r="AG40" s="18">
        <f t="shared" si="70"/>
        <v>-600</v>
      </c>
      <c r="AH40" s="18">
        <f t="shared" si="70"/>
        <v>-600</v>
      </c>
      <c r="AI40" s="18">
        <f t="shared" si="70"/>
        <v>-600</v>
      </c>
      <c r="AJ40" s="18">
        <f t="shared" si="70"/>
        <v>-600</v>
      </c>
      <c r="AK40" s="18">
        <f t="shared" si="70"/>
        <v>-600</v>
      </c>
      <c r="AL40" s="18">
        <f t="shared" si="70"/>
        <v>-600</v>
      </c>
      <c r="AM40" s="18">
        <f t="shared" si="70"/>
        <v>-600</v>
      </c>
      <c r="AP40" s="18">
        <f t="shared" si="71"/>
        <v>-600</v>
      </c>
      <c r="AQ40" s="18">
        <f t="shared" si="71"/>
        <v>-600</v>
      </c>
      <c r="AR40" s="18">
        <f t="shared" si="71"/>
        <v>-600</v>
      </c>
      <c r="AS40" s="18">
        <f t="shared" si="71"/>
        <v>-600</v>
      </c>
      <c r="AT40" s="18">
        <f t="shared" si="71"/>
        <v>-600</v>
      </c>
      <c r="AU40" s="18">
        <f t="shared" si="71"/>
        <v>-600</v>
      </c>
      <c r="AV40" s="18">
        <f t="shared" si="71"/>
        <v>-600</v>
      </c>
      <c r="AW40" s="18">
        <f t="shared" si="71"/>
        <v>-600</v>
      </c>
      <c r="AX40" s="18">
        <f t="shared" si="71"/>
        <v>-600</v>
      </c>
      <c r="AY40" s="18">
        <f t="shared" si="71"/>
        <v>-600</v>
      </c>
      <c r="AZ40" s="18">
        <f t="shared" si="71"/>
        <v>-600</v>
      </c>
      <c r="BA40" s="18">
        <f t="shared" si="71"/>
        <v>-600</v>
      </c>
      <c r="BD40" s="18">
        <f t="shared" si="72"/>
        <v>-600</v>
      </c>
      <c r="BE40" s="18">
        <f t="shared" si="72"/>
        <v>-600</v>
      </c>
      <c r="BF40" s="18">
        <f t="shared" si="72"/>
        <v>-600</v>
      </c>
      <c r="BG40" s="18">
        <f t="shared" si="72"/>
        <v>-600</v>
      </c>
      <c r="BH40" s="18">
        <f t="shared" si="72"/>
        <v>-600</v>
      </c>
      <c r="BI40" s="18">
        <f t="shared" si="72"/>
        <v>-600</v>
      </c>
      <c r="BJ40" s="18">
        <f t="shared" si="72"/>
        <v>-600</v>
      </c>
      <c r="BK40" s="18">
        <f t="shared" si="72"/>
        <v>-600</v>
      </c>
      <c r="BL40" s="18">
        <f t="shared" si="72"/>
        <v>-600</v>
      </c>
      <c r="BM40" s="18">
        <f t="shared" si="72"/>
        <v>-600</v>
      </c>
      <c r="BN40" s="18">
        <f t="shared" si="72"/>
        <v>-600</v>
      </c>
      <c r="BO40" s="18">
        <f t="shared" si="72"/>
        <v>-600</v>
      </c>
      <c r="BR40" s="18">
        <f t="shared" si="73"/>
        <v>-600</v>
      </c>
      <c r="BS40" s="18">
        <f t="shared" si="73"/>
        <v>-600</v>
      </c>
      <c r="BT40" s="18">
        <f t="shared" si="73"/>
        <v>-600</v>
      </c>
      <c r="BU40" s="18">
        <f t="shared" si="73"/>
        <v>-600</v>
      </c>
      <c r="BV40" s="18">
        <f t="shared" si="73"/>
        <v>-600</v>
      </c>
      <c r="BW40" s="18">
        <f t="shared" si="73"/>
        <v>-600</v>
      </c>
      <c r="BX40" s="18">
        <f t="shared" si="73"/>
        <v>-600</v>
      </c>
      <c r="BY40" s="18">
        <f t="shared" si="73"/>
        <v>-600</v>
      </c>
      <c r="BZ40" s="18">
        <f t="shared" si="73"/>
        <v>-600</v>
      </c>
      <c r="CA40" s="18">
        <f t="shared" si="73"/>
        <v>-600</v>
      </c>
      <c r="CB40" s="18">
        <f t="shared" si="73"/>
        <v>-600</v>
      </c>
      <c r="CC40" s="18">
        <f t="shared" si="73"/>
        <v>-600</v>
      </c>
    </row>
    <row r="41" spans="1:81" ht="14.25" customHeight="1">
      <c r="A41" s="149" t="s">
        <v>28</v>
      </c>
      <c r="B41" s="150">
        <v>1</v>
      </c>
      <c r="C41" s="151">
        <v>150</v>
      </c>
      <c r="D41" s="148"/>
      <c r="E41" s="145"/>
      <c r="F41" s="144">
        <f t="shared" si="64"/>
        <v>-1800</v>
      </c>
      <c r="G41" s="144">
        <f t="shared" si="65"/>
        <v>-1800</v>
      </c>
      <c r="H41" s="144">
        <f t="shared" si="66"/>
        <v>-1800</v>
      </c>
      <c r="I41" s="144">
        <f t="shared" si="67"/>
        <v>-1800</v>
      </c>
      <c r="J41" s="144">
        <f t="shared" si="68"/>
        <v>-1800</v>
      </c>
      <c r="N41" s="18">
        <f t="shared" si="74"/>
        <v>-150</v>
      </c>
      <c r="O41" s="18">
        <f t="shared" si="69"/>
        <v>-150</v>
      </c>
      <c r="P41" s="18">
        <f t="shared" si="69"/>
        <v>-150</v>
      </c>
      <c r="Q41" s="18">
        <f t="shared" si="69"/>
        <v>-150</v>
      </c>
      <c r="R41" s="18">
        <f t="shared" si="69"/>
        <v>-150</v>
      </c>
      <c r="S41" s="18">
        <f t="shared" si="69"/>
        <v>-150</v>
      </c>
      <c r="T41" s="18">
        <f t="shared" si="69"/>
        <v>-150</v>
      </c>
      <c r="U41" s="18">
        <f t="shared" si="69"/>
        <v>-150</v>
      </c>
      <c r="V41" s="18">
        <f t="shared" si="69"/>
        <v>-150</v>
      </c>
      <c r="W41" s="18">
        <f t="shared" si="69"/>
        <v>-150</v>
      </c>
      <c r="X41" s="18">
        <f t="shared" si="69"/>
        <v>-150</v>
      </c>
      <c r="Y41" s="18">
        <f t="shared" si="69"/>
        <v>-150</v>
      </c>
      <c r="AB41" s="18">
        <f t="shared" si="70"/>
        <v>-150</v>
      </c>
      <c r="AC41" s="18">
        <f t="shared" si="70"/>
        <v>-150</v>
      </c>
      <c r="AD41" s="18">
        <f t="shared" si="70"/>
        <v>-150</v>
      </c>
      <c r="AE41" s="18">
        <f t="shared" si="70"/>
        <v>-150</v>
      </c>
      <c r="AF41" s="18">
        <f t="shared" si="70"/>
        <v>-150</v>
      </c>
      <c r="AG41" s="18">
        <f t="shared" si="70"/>
        <v>-150</v>
      </c>
      <c r="AH41" s="18">
        <f t="shared" si="70"/>
        <v>-150</v>
      </c>
      <c r="AI41" s="18">
        <f t="shared" si="70"/>
        <v>-150</v>
      </c>
      <c r="AJ41" s="18">
        <f t="shared" si="70"/>
        <v>-150</v>
      </c>
      <c r="AK41" s="18">
        <f t="shared" si="70"/>
        <v>-150</v>
      </c>
      <c r="AL41" s="18">
        <f t="shared" si="70"/>
        <v>-150</v>
      </c>
      <c r="AM41" s="18">
        <f t="shared" si="70"/>
        <v>-150</v>
      </c>
      <c r="AP41" s="18">
        <f t="shared" si="71"/>
        <v>-150</v>
      </c>
      <c r="AQ41" s="18">
        <f t="shared" si="71"/>
        <v>-150</v>
      </c>
      <c r="AR41" s="18">
        <f t="shared" si="71"/>
        <v>-150</v>
      </c>
      <c r="AS41" s="18">
        <f t="shared" si="71"/>
        <v>-150</v>
      </c>
      <c r="AT41" s="18">
        <f t="shared" si="71"/>
        <v>-150</v>
      </c>
      <c r="AU41" s="18">
        <f t="shared" si="71"/>
        <v>-150</v>
      </c>
      <c r="AV41" s="18">
        <f t="shared" si="71"/>
        <v>-150</v>
      </c>
      <c r="AW41" s="18">
        <f t="shared" si="71"/>
        <v>-150</v>
      </c>
      <c r="AX41" s="18">
        <f t="shared" si="71"/>
        <v>-150</v>
      </c>
      <c r="AY41" s="18">
        <f t="shared" si="71"/>
        <v>-150</v>
      </c>
      <c r="AZ41" s="18">
        <f t="shared" si="71"/>
        <v>-150</v>
      </c>
      <c r="BA41" s="18">
        <f t="shared" si="71"/>
        <v>-150</v>
      </c>
      <c r="BD41" s="18">
        <f t="shared" si="72"/>
        <v>-150</v>
      </c>
      <c r="BE41" s="18">
        <f t="shared" si="72"/>
        <v>-150</v>
      </c>
      <c r="BF41" s="18">
        <f t="shared" si="72"/>
        <v>-150</v>
      </c>
      <c r="BG41" s="18">
        <f t="shared" si="72"/>
        <v>-150</v>
      </c>
      <c r="BH41" s="18">
        <f t="shared" si="72"/>
        <v>-150</v>
      </c>
      <c r="BI41" s="18">
        <f t="shared" si="72"/>
        <v>-150</v>
      </c>
      <c r="BJ41" s="18">
        <f t="shared" si="72"/>
        <v>-150</v>
      </c>
      <c r="BK41" s="18">
        <f t="shared" si="72"/>
        <v>-150</v>
      </c>
      <c r="BL41" s="18">
        <f t="shared" si="72"/>
        <v>-150</v>
      </c>
      <c r="BM41" s="18">
        <f t="shared" si="72"/>
        <v>-150</v>
      </c>
      <c r="BN41" s="18">
        <f t="shared" si="72"/>
        <v>-150</v>
      </c>
      <c r="BO41" s="18">
        <f t="shared" si="72"/>
        <v>-150</v>
      </c>
      <c r="BR41" s="18">
        <f t="shared" si="73"/>
        <v>-150</v>
      </c>
      <c r="BS41" s="18">
        <f t="shared" si="73"/>
        <v>-150</v>
      </c>
      <c r="BT41" s="18">
        <f t="shared" si="73"/>
        <v>-150</v>
      </c>
      <c r="BU41" s="18">
        <f t="shared" si="73"/>
        <v>-150</v>
      </c>
      <c r="BV41" s="18">
        <f t="shared" si="73"/>
        <v>-150</v>
      </c>
      <c r="BW41" s="18">
        <f t="shared" si="73"/>
        <v>-150</v>
      </c>
      <c r="BX41" s="18">
        <f t="shared" si="73"/>
        <v>-150</v>
      </c>
      <c r="BY41" s="18">
        <f t="shared" si="73"/>
        <v>-150</v>
      </c>
      <c r="BZ41" s="18">
        <f t="shared" si="73"/>
        <v>-150</v>
      </c>
      <c r="CA41" s="18">
        <f t="shared" si="73"/>
        <v>-150</v>
      </c>
      <c r="CB41" s="18">
        <f t="shared" si="73"/>
        <v>-150</v>
      </c>
      <c r="CC41" s="18">
        <f t="shared" si="73"/>
        <v>-150</v>
      </c>
    </row>
    <row r="42" spans="1:81" ht="14.25" customHeight="1">
      <c r="A42" s="152" t="s">
        <v>56</v>
      </c>
      <c r="B42" s="150">
        <v>1</v>
      </c>
      <c r="C42" s="151">
        <v>3500</v>
      </c>
      <c r="D42" s="148"/>
      <c r="E42" s="145"/>
      <c r="F42" s="144">
        <f t="shared" si="64"/>
        <v>-42000</v>
      </c>
      <c r="G42" s="144">
        <f t="shared" si="65"/>
        <v>-42000</v>
      </c>
      <c r="H42" s="144">
        <f t="shared" si="66"/>
        <v>-42000</v>
      </c>
      <c r="I42" s="144">
        <f t="shared" si="67"/>
        <v>-42000</v>
      </c>
      <c r="J42" s="144">
        <f t="shared" si="68"/>
        <v>-42000</v>
      </c>
      <c r="N42" s="18">
        <f t="shared" si="74"/>
        <v>-3500</v>
      </c>
      <c r="O42" s="18">
        <f t="shared" si="69"/>
        <v>-3500</v>
      </c>
      <c r="P42" s="18">
        <f t="shared" si="69"/>
        <v>-3500</v>
      </c>
      <c r="Q42" s="18">
        <f t="shared" si="69"/>
        <v>-3500</v>
      </c>
      <c r="R42" s="18">
        <f t="shared" si="69"/>
        <v>-3500</v>
      </c>
      <c r="S42" s="18">
        <f t="shared" si="69"/>
        <v>-3500</v>
      </c>
      <c r="T42" s="18">
        <f t="shared" si="69"/>
        <v>-3500</v>
      </c>
      <c r="U42" s="18">
        <f t="shared" si="69"/>
        <v>-3500</v>
      </c>
      <c r="V42" s="18">
        <f t="shared" si="69"/>
        <v>-3500</v>
      </c>
      <c r="W42" s="18">
        <f t="shared" si="69"/>
        <v>-3500</v>
      </c>
      <c r="X42" s="18">
        <f t="shared" si="69"/>
        <v>-3500</v>
      </c>
      <c r="Y42" s="18">
        <f t="shared" si="69"/>
        <v>-3500</v>
      </c>
      <c r="AB42" s="18">
        <f t="shared" si="70"/>
        <v>-3500</v>
      </c>
      <c r="AC42" s="18">
        <f t="shared" si="70"/>
        <v>-3500</v>
      </c>
      <c r="AD42" s="18">
        <f t="shared" si="70"/>
        <v>-3500</v>
      </c>
      <c r="AE42" s="18">
        <f t="shared" si="70"/>
        <v>-3500</v>
      </c>
      <c r="AF42" s="18">
        <f t="shared" si="70"/>
        <v>-3500</v>
      </c>
      <c r="AG42" s="18">
        <f t="shared" si="70"/>
        <v>-3500</v>
      </c>
      <c r="AH42" s="18">
        <f t="shared" si="70"/>
        <v>-3500</v>
      </c>
      <c r="AI42" s="18">
        <f t="shared" si="70"/>
        <v>-3500</v>
      </c>
      <c r="AJ42" s="18">
        <f t="shared" si="70"/>
        <v>-3500</v>
      </c>
      <c r="AK42" s="18">
        <f t="shared" si="70"/>
        <v>-3500</v>
      </c>
      <c r="AL42" s="18">
        <f t="shared" si="70"/>
        <v>-3500</v>
      </c>
      <c r="AM42" s="18">
        <f t="shared" si="70"/>
        <v>-3500</v>
      </c>
      <c r="AP42" s="18">
        <f t="shared" si="71"/>
        <v>-3500</v>
      </c>
      <c r="AQ42" s="18">
        <f t="shared" si="71"/>
        <v>-3500</v>
      </c>
      <c r="AR42" s="18">
        <f t="shared" si="71"/>
        <v>-3500</v>
      </c>
      <c r="AS42" s="18">
        <f t="shared" si="71"/>
        <v>-3500</v>
      </c>
      <c r="AT42" s="18">
        <f t="shared" si="71"/>
        <v>-3500</v>
      </c>
      <c r="AU42" s="18">
        <f t="shared" si="71"/>
        <v>-3500</v>
      </c>
      <c r="AV42" s="18">
        <f t="shared" si="71"/>
        <v>-3500</v>
      </c>
      <c r="AW42" s="18">
        <f t="shared" si="71"/>
        <v>-3500</v>
      </c>
      <c r="AX42" s="18">
        <f t="shared" si="71"/>
        <v>-3500</v>
      </c>
      <c r="AY42" s="18">
        <f t="shared" si="71"/>
        <v>-3500</v>
      </c>
      <c r="AZ42" s="18">
        <f t="shared" si="71"/>
        <v>-3500</v>
      </c>
      <c r="BA42" s="18">
        <f t="shared" si="71"/>
        <v>-3500</v>
      </c>
      <c r="BD42" s="18">
        <f t="shared" si="72"/>
        <v>-3500</v>
      </c>
      <c r="BE42" s="18">
        <f t="shared" si="72"/>
        <v>-3500</v>
      </c>
      <c r="BF42" s="18">
        <f t="shared" si="72"/>
        <v>-3500</v>
      </c>
      <c r="BG42" s="18">
        <f t="shared" si="72"/>
        <v>-3500</v>
      </c>
      <c r="BH42" s="18">
        <f t="shared" si="72"/>
        <v>-3500</v>
      </c>
      <c r="BI42" s="18">
        <f t="shared" si="72"/>
        <v>-3500</v>
      </c>
      <c r="BJ42" s="18">
        <f t="shared" si="72"/>
        <v>-3500</v>
      </c>
      <c r="BK42" s="18">
        <f t="shared" si="72"/>
        <v>-3500</v>
      </c>
      <c r="BL42" s="18">
        <f t="shared" si="72"/>
        <v>-3500</v>
      </c>
      <c r="BM42" s="18">
        <f t="shared" si="72"/>
        <v>-3500</v>
      </c>
      <c r="BN42" s="18">
        <f t="shared" si="72"/>
        <v>-3500</v>
      </c>
      <c r="BO42" s="18">
        <f t="shared" si="72"/>
        <v>-3500</v>
      </c>
      <c r="BR42" s="18">
        <f t="shared" si="73"/>
        <v>-3500</v>
      </c>
      <c r="BS42" s="18">
        <f t="shared" si="73"/>
        <v>-3500</v>
      </c>
      <c r="BT42" s="18">
        <f t="shared" si="73"/>
        <v>-3500</v>
      </c>
      <c r="BU42" s="18">
        <f t="shared" si="73"/>
        <v>-3500</v>
      </c>
      <c r="BV42" s="18">
        <f t="shared" si="73"/>
        <v>-3500</v>
      </c>
      <c r="BW42" s="18">
        <f t="shared" si="73"/>
        <v>-3500</v>
      </c>
      <c r="BX42" s="18">
        <f t="shared" si="73"/>
        <v>-3500</v>
      </c>
      <c r="BY42" s="18">
        <f t="shared" si="73"/>
        <v>-3500</v>
      </c>
      <c r="BZ42" s="18">
        <f t="shared" si="73"/>
        <v>-3500</v>
      </c>
      <c r="CA42" s="18">
        <f t="shared" si="73"/>
        <v>-3500</v>
      </c>
      <c r="CB42" s="18">
        <f t="shared" si="73"/>
        <v>-3500</v>
      </c>
      <c r="CC42" s="18">
        <f t="shared" si="73"/>
        <v>-3500</v>
      </c>
    </row>
    <row r="43" spans="1:81" ht="14.25" customHeight="1"/>
    <row r="44" spans="1:81" ht="14.25" customHeight="1">
      <c r="A44" s="7" t="s">
        <v>37</v>
      </c>
      <c r="B44" s="13"/>
      <c r="C44" s="8"/>
      <c r="D44" s="1"/>
      <c r="F44" s="18"/>
      <c r="G44" s="18"/>
      <c r="H44" s="18"/>
      <c r="I44" s="18"/>
      <c r="J44" s="18"/>
      <c r="N44" s="18"/>
      <c r="O44" s="18"/>
      <c r="P44" s="18"/>
      <c r="Q44" s="18"/>
      <c r="R44" s="18"/>
      <c r="S44" s="18"/>
      <c r="T44" s="18"/>
      <c r="U44" s="18"/>
      <c r="V44" s="18"/>
      <c r="W44" s="18"/>
      <c r="X44" s="18"/>
      <c r="Y44" s="18"/>
      <c r="AB44" s="18"/>
      <c r="AC44" s="18"/>
      <c r="AD44" s="18"/>
      <c r="AE44" s="18"/>
      <c r="AF44" s="18"/>
      <c r="AG44" s="18"/>
      <c r="AH44" s="18"/>
      <c r="AI44" s="18"/>
      <c r="AJ44" s="18"/>
      <c r="AK44" s="18"/>
      <c r="AL44" s="18"/>
      <c r="AM44" s="18"/>
      <c r="AP44" s="18"/>
      <c r="AQ44" s="18"/>
      <c r="AR44" s="18"/>
      <c r="AS44" s="18"/>
      <c r="AT44" s="18"/>
      <c r="AU44" s="18"/>
      <c r="AV44" s="18"/>
      <c r="AW44" s="18"/>
      <c r="AX44" s="18"/>
      <c r="AY44" s="18"/>
      <c r="AZ44" s="18"/>
      <c r="BA44" s="18"/>
      <c r="BD44" s="18"/>
      <c r="BE44" s="18"/>
      <c r="BF44" s="18"/>
      <c r="BG44" s="18"/>
      <c r="BH44" s="18"/>
      <c r="BI44" s="18"/>
      <c r="BJ44" s="18"/>
      <c r="BK44" s="18"/>
      <c r="BL44" s="18"/>
      <c r="BM44" s="18"/>
      <c r="BN44" s="18"/>
      <c r="BO44" s="18"/>
      <c r="BR44" s="18"/>
      <c r="BS44" s="18"/>
      <c r="BT44" s="18"/>
      <c r="BU44" s="18"/>
      <c r="BV44" s="18"/>
      <c r="BW44" s="18"/>
      <c r="BX44" s="18"/>
      <c r="BY44" s="18"/>
      <c r="BZ44" s="18"/>
      <c r="CA44" s="18"/>
      <c r="CB44" s="18"/>
      <c r="CC44" s="18"/>
    </row>
    <row r="45" spans="1:81" ht="14.25" customHeight="1">
      <c r="A45" s="149" t="s">
        <v>29</v>
      </c>
      <c r="B45" s="153">
        <v>0.06</v>
      </c>
      <c r="C45" s="154" t="s">
        <v>30</v>
      </c>
      <c r="D45" s="148"/>
      <c r="E45" s="145"/>
      <c r="F45" s="144">
        <f t="shared" ref="F45:F48" si="75">SUM(N45:Y45)</f>
        <v>-4140</v>
      </c>
      <c r="G45" s="144">
        <f t="shared" ref="G45:G48" si="76">SUM(AB45:AM45)</f>
        <v>-4140</v>
      </c>
      <c r="H45" s="144">
        <f t="shared" ref="H45:H48" si="77">SUM(AP45:BA45)</f>
        <v>-4140</v>
      </c>
      <c r="I45" s="144">
        <f t="shared" ref="I45:I48" si="78">SUM(BD45:BO45)</f>
        <v>-4140</v>
      </c>
      <c r="J45" s="144">
        <f t="shared" ref="J45:J48" si="79">SUM(BR45:CC45)</f>
        <v>-4140</v>
      </c>
      <c r="N45" s="18">
        <f t="shared" ref="N45:Y48" si="80">SUM(N$37:N$42)*$B45</f>
        <v>-345</v>
      </c>
      <c r="O45" s="18">
        <f t="shared" si="80"/>
        <v>-345</v>
      </c>
      <c r="P45" s="18">
        <f t="shared" si="80"/>
        <v>-345</v>
      </c>
      <c r="Q45" s="18">
        <f t="shared" si="80"/>
        <v>-345</v>
      </c>
      <c r="R45" s="18">
        <f t="shared" si="80"/>
        <v>-345</v>
      </c>
      <c r="S45" s="18">
        <f t="shared" si="80"/>
        <v>-345</v>
      </c>
      <c r="T45" s="18">
        <f t="shared" si="80"/>
        <v>-345</v>
      </c>
      <c r="U45" s="18">
        <f t="shared" si="80"/>
        <v>-345</v>
      </c>
      <c r="V45" s="18">
        <f t="shared" si="80"/>
        <v>-345</v>
      </c>
      <c r="W45" s="18">
        <f t="shared" si="80"/>
        <v>-345</v>
      </c>
      <c r="X45" s="18">
        <f t="shared" si="80"/>
        <v>-345</v>
      </c>
      <c r="Y45" s="18">
        <f t="shared" si="80"/>
        <v>-345</v>
      </c>
      <c r="AB45" s="18">
        <f t="shared" ref="AB45:AM48" si="81">SUM(AB$37:AB$42)*$B45</f>
        <v>-345</v>
      </c>
      <c r="AC45" s="18">
        <f t="shared" si="81"/>
        <v>-345</v>
      </c>
      <c r="AD45" s="18">
        <f t="shared" si="81"/>
        <v>-345</v>
      </c>
      <c r="AE45" s="18">
        <f t="shared" si="81"/>
        <v>-345</v>
      </c>
      <c r="AF45" s="18">
        <f t="shared" si="81"/>
        <v>-345</v>
      </c>
      <c r="AG45" s="18">
        <f t="shared" si="81"/>
        <v>-345</v>
      </c>
      <c r="AH45" s="18">
        <f t="shared" si="81"/>
        <v>-345</v>
      </c>
      <c r="AI45" s="18">
        <f t="shared" si="81"/>
        <v>-345</v>
      </c>
      <c r="AJ45" s="18">
        <f t="shared" si="81"/>
        <v>-345</v>
      </c>
      <c r="AK45" s="18">
        <f t="shared" si="81"/>
        <v>-345</v>
      </c>
      <c r="AL45" s="18">
        <f t="shared" si="81"/>
        <v>-345</v>
      </c>
      <c r="AM45" s="18">
        <f t="shared" si="81"/>
        <v>-345</v>
      </c>
      <c r="AP45" s="18">
        <f t="shared" ref="AP45:BA48" si="82">SUM(AP$37:AP$42)*$B45</f>
        <v>-345</v>
      </c>
      <c r="AQ45" s="18">
        <f t="shared" si="82"/>
        <v>-345</v>
      </c>
      <c r="AR45" s="18">
        <f t="shared" si="82"/>
        <v>-345</v>
      </c>
      <c r="AS45" s="18">
        <f t="shared" si="82"/>
        <v>-345</v>
      </c>
      <c r="AT45" s="18">
        <f t="shared" si="82"/>
        <v>-345</v>
      </c>
      <c r="AU45" s="18">
        <f t="shared" si="82"/>
        <v>-345</v>
      </c>
      <c r="AV45" s="18">
        <f t="shared" si="82"/>
        <v>-345</v>
      </c>
      <c r="AW45" s="18">
        <f t="shared" si="82"/>
        <v>-345</v>
      </c>
      <c r="AX45" s="18">
        <f t="shared" si="82"/>
        <v>-345</v>
      </c>
      <c r="AY45" s="18">
        <f t="shared" si="82"/>
        <v>-345</v>
      </c>
      <c r="AZ45" s="18">
        <f t="shared" si="82"/>
        <v>-345</v>
      </c>
      <c r="BA45" s="18">
        <f t="shared" si="82"/>
        <v>-345</v>
      </c>
      <c r="BD45" s="18">
        <f t="shared" ref="BD45:BO48" si="83">SUM(BD$37:BD$42)*$B45</f>
        <v>-345</v>
      </c>
      <c r="BE45" s="18">
        <f t="shared" si="83"/>
        <v>-345</v>
      </c>
      <c r="BF45" s="18">
        <f t="shared" si="83"/>
        <v>-345</v>
      </c>
      <c r="BG45" s="18">
        <f t="shared" si="83"/>
        <v>-345</v>
      </c>
      <c r="BH45" s="18">
        <f t="shared" si="83"/>
        <v>-345</v>
      </c>
      <c r="BI45" s="18">
        <f t="shared" si="83"/>
        <v>-345</v>
      </c>
      <c r="BJ45" s="18">
        <f t="shared" si="83"/>
        <v>-345</v>
      </c>
      <c r="BK45" s="18">
        <f t="shared" si="83"/>
        <v>-345</v>
      </c>
      <c r="BL45" s="18">
        <f t="shared" si="83"/>
        <v>-345</v>
      </c>
      <c r="BM45" s="18">
        <f t="shared" si="83"/>
        <v>-345</v>
      </c>
      <c r="BN45" s="18">
        <f t="shared" si="83"/>
        <v>-345</v>
      </c>
      <c r="BO45" s="18">
        <f t="shared" si="83"/>
        <v>-345</v>
      </c>
      <c r="BR45" s="18">
        <f t="shared" ref="BR45:CC48" si="84">SUM(BR$37:BR$42)*$B45</f>
        <v>-345</v>
      </c>
      <c r="BS45" s="18">
        <f t="shared" si="84"/>
        <v>-345</v>
      </c>
      <c r="BT45" s="18">
        <f t="shared" si="84"/>
        <v>-345</v>
      </c>
      <c r="BU45" s="18">
        <f t="shared" si="84"/>
        <v>-345</v>
      </c>
      <c r="BV45" s="18">
        <f t="shared" si="84"/>
        <v>-345</v>
      </c>
      <c r="BW45" s="18">
        <f t="shared" si="84"/>
        <v>-345</v>
      </c>
      <c r="BX45" s="18">
        <f t="shared" si="84"/>
        <v>-345</v>
      </c>
      <c r="BY45" s="18">
        <f t="shared" si="84"/>
        <v>-345</v>
      </c>
      <c r="BZ45" s="18">
        <f t="shared" si="84"/>
        <v>-345</v>
      </c>
      <c r="CA45" s="18">
        <f t="shared" si="84"/>
        <v>-345</v>
      </c>
      <c r="CB45" s="18">
        <f t="shared" si="84"/>
        <v>-345</v>
      </c>
      <c r="CC45" s="18">
        <f t="shared" si="84"/>
        <v>-345</v>
      </c>
    </row>
    <row r="46" spans="1:81" ht="14.25" customHeight="1">
      <c r="A46" s="149" t="s">
        <v>31</v>
      </c>
      <c r="B46" s="153">
        <v>1.4999999999999999E-2</v>
      </c>
      <c r="C46" s="154" t="s">
        <v>32</v>
      </c>
      <c r="D46" s="148"/>
      <c r="E46" s="145"/>
      <c r="F46" s="144">
        <f t="shared" si="75"/>
        <v>-1035</v>
      </c>
      <c r="G46" s="144">
        <f t="shared" si="76"/>
        <v>-1035</v>
      </c>
      <c r="H46" s="144">
        <f t="shared" si="77"/>
        <v>-1035</v>
      </c>
      <c r="I46" s="144">
        <f t="shared" si="78"/>
        <v>-1035</v>
      </c>
      <c r="J46" s="144">
        <f t="shared" si="79"/>
        <v>-1035</v>
      </c>
      <c r="N46" s="18">
        <f t="shared" si="80"/>
        <v>-86.25</v>
      </c>
      <c r="O46" s="18">
        <f t="shared" si="80"/>
        <v>-86.25</v>
      </c>
      <c r="P46" s="18">
        <f t="shared" si="80"/>
        <v>-86.25</v>
      </c>
      <c r="Q46" s="18">
        <f t="shared" si="80"/>
        <v>-86.25</v>
      </c>
      <c r="R46" s="18">
        <f t="shared" si="80"/>
        <v>-86.25</v>
      </c>
      <c r="S46" s="18">
        <f t="shared" si="80"/>
        <v>-86.25</v>
      </c>
      <c r="T46" s="18">
        <f t="shared" si="80"/>
        <v>-86.25</v>
      </c>
      <c r="U46" s="18">
        <f t="shared" si="80"/>
        <v>-86.25</v>
      </c>
      <c r="V46" s="18">
        <f t="shared" si="80"/>
        <v>-86.25</v>
      </c>
      <c r="W46" s="18">
        <f t="shared" si="80"/>
        <v>-86.25</v>
      </c>
      <c r="X46" s="18">
        <f t="shared" si="80"/>
        <v>-86.25</v>
      </c>
      <c r="Y46" s="18">
        <f t="shared" si="80"/>
        <v>-86.25</v>
      </c>
      <c r="AB46" s="18">
        <f t="shared" si="81"/>
        <v>-86.25</v>
      </c>
      <c r="AC46" s="18">
        <f t="shared" si="81"/>
        <v>-86.25</v>
      </c>
      <c r="AD46" s="18">
        <f t="shared" si="81"/>
        <v>-86.25</v>
      </c>
      <c r="AE46" s="18">
        <f t="shared" si="81"/>
        <v>-86.25</v>
      </c>
      <c r="AF46" s="18">
        <f t="shared" si="81"/>
        <v>-86.25</v>
      </c>
      <c r="AG46" s="18">
        <f t="shared" si="81"/>
        <v>-86.25</v>
      </c>
      <c r="AH46" s="18">
        <f t="shared" si="81"/>
        <v>-86.25</v>
      </c>
      <c r="AI46" s="18">
        <f t="shared" si="81"/>
        <v>-86.25</v>
      </c>
      <c r="AJ46" s="18">
        <f t="shared" si="81"/>
        <v>-86.25</v>
      </c>
      <c r="AK46" s="18">
        <f t="shared" si="81"/>
        <v>-86.25</v>
      </c>
      <c r="AL46" s="18">
        <f t="shared" si="81"/>
        <v>-86.25</v>
      </c>
      <c r="AM46" s="18">
        <f t="shared" si="81"/>
        <v>-86.25</v>
      </c>
      <c r="AP46" s="18">
        <f t="shared" si="82"/>
        <v>-86.25</v>
      </c>
      <c r="AQ46" s="18">
        <f t="shared" si="82"/>
        <v>-86.25</v>
      </c>
      <c r="AR46" s="18">
        <f t="shared" si="82"/>
        <v>-86.25</v>
      </c>
      <c r="AS46" s="18">
        <f t="shared" si="82"/>
        <v>-86.25</v>
      </c>
      <c r="AT46" s="18">
        <f t="shared" si="82"/>
        <v>-86.25</v>
      </c>
      <c r="AU46" s="18">
        <f t="shared" si="82"/>
        <v>-86.25</v>
      </c>
      <c r="AV46" s="18">
        <f t="shared" si="82"/>
        <v>-86.25</v>
      </c>
      <c r="AW46" s="18">
        <f t="shared" si="82"/>
        <v>-86.25</v>
      </c>
      <c r="AX46" s="18">
        <f t="shared" si="82"/>
        <v>-86.25</v>
      </c>
      <c r="AY46" s="18">
        <f t="shared" si="82"/>
        <v>-86.25</v>
      </c>
      <c r="AZ46" s="18">
        <f t="shared" si="82"/>
        <v>-86.25</v>
      </c>
      <c r="BA46" s="18">
        <f t="shared" si="82"/>
        <v>-86.25</v>
      </c>
      <c r="BD46" s="18">
        <f t="shared" si="83"/>
        <v>-86.25</v>
      </c>
      <c r="BE46" s="18">
        <f t="shared" si="83"/>
        <v>-86.25</v>
      </c>
      <c r="BF46" s="18">
        <f t="shared" si="83"/>
        <v>-86.25</v>
      </c>
      <c r="BG46" s="18">
        <f t="shared" si="83"/>
        <v>-86.25</v>
      </c>
      <c r="BH46" s="18">
        <f t="shared" si="83"/>
        <v>-86.25</v>
      </c>
      <c r="BI46" s="18">
        <f t="shared" si="83"/>
        <v>-86.25</v>
      </c>
      <c r="BJ46" s="18">
        <f t="shared" si="83"/>
        <v>-86.25</v>
      </c>
      <c r="BK46" s="18">
        <f t="shared" si="83"/>
        <v>-86.25</v>
      </c>
      <c r="BL46" s="18">
        <f t="shared" si="83"/>
        <v>-86.25</v>
      </c>
      <c r="BM46" s="18">
        <f t="shared" si="83"/>
        <v>-86.25</v>
      </c>
      <c r="BN46" s="18">
        <f t="shared" si="83"/>
        <v>-86.25</v>
      </c>
      <c r="BO46" s="18">
        <f t="shared" si="83"/>
        <v>-86.25</v>
      </c>
      <c r="BR46" s="18">
        <f t="shared" si="84"/>
        <v>-86.25</v>
      </c>
      <c r="BS46" s="18">
        <f t="shared" si="84"/>
        <v>-86.25</v>
      </c>
      <c r="BT46" s="18">
        <f t="shared" si="84"/>
        <v>-86.25</v>
      </c>
      <c r="BU46" s="18">
        <f t="shared" si="84"/>
        <v>-86.25</v>
      </c>
      <c r="BV46" s="18">
        <f t="shared" si="84"/>
        <v>-86.25</v>
      </c>
      <c r="BW46" s="18">
        <f t="shared" si="84"/>
        <v>-86.25</v>
      </c>
      <c r="BX46" s="18">
        <f t="shared" si="84"/>
        <v>-86.25</v>
      </c>
      <c r="BY46" s="18">
        <f t="shared" si="84"/>
        <v>-86.25</v>
      </c>
      <c r="BZ46" s="18">
        <f t="shared" si="84"/>
        <v>-86.25</v>
      </c>
      <c r="CA46" s="18">
        <f t="shared" si="84"/>
        <v>-86.25</v>
      </c>
      <c r="CB46" s="18">
        <f t="shared" si="84"/>
        <v>-86.25</v>
      </c>
      <c r="CC46" s="18">
        <f t="shared" si="84"/>
        <v>-86.25</v>
      </c>
    </row>
    <row r="47" spans="1:81" ht="14.25" customHeight="1">
      <c r="A47" s="149" t="s">
        <v>33</v>
      </c>
      <c r="B47" s="153">
        <v>0.01</v>
      </c>
      <c r="C47" s="154" t="s">
        <v>35</v>
      </c>
      <c r="D47" s="148"/>
      <c r="E47" s="145"/>
      <c r="F47" s="144">
        <f t="shared" si="75"/>
        <v>-690</v>
      </c>
      <c r="G47" s="144">
        <f t="shared" si="76"/>
        <v>-690</v>
      </c>
      <c r="H47" s="144">
        <f t="shared" si="77"/>
        <v>-690</v>
      </c>
      <c r="I47" s="144">
        <f t="shared" si="78"/>
        <v>-690</v>
      </c>
      <c r="J47" s="144">
        <f t="shared" si="79"/>
        <v>-690</v>
      </c>
      <c r="N47" s="18">
        <f t="shared" si="80"/>
        <v>-57.5</v>
      </c>
      <c r="O47" s="18">
        <f t="shared" si="80"/>
        <v>-57.5</v>
      </c>
      <c r="P47" s="18">
        <f t="shared" si="80"/>
        <v>-57.5</v>
      </c>
      <c r="Q47" s="18">
        <f t="shared" si="80"/>
        <v>-57.5</v>
      </c>
      <c r="R47" s="18">
        <f t="shared" si="80"/>
        <v>-57.5</v>
      </c>
      <c r="S47" s="18">
        <f t="shared" si="80"/>
        <v>-57.5</v>
      </c>
      <c r="T47" s="18">
        <f t="shared" si="80"/>
        <v>-57.5</v>
      </c>
      <c r="U47" s="18">
        <f t="shared" si="80"/>
        <v>-57.5</v>
      </c>
      <c r="V47" s="18">
        <f t="shared" si="80"/>
        <v>-57.5</v>
      </c>
      <c r="W47" s="18">
        <f t="shared" si="80"/>
        <v>-57.5</v>
      </c>
      <c r="X47" s="18">
        <f t="shared" si="80"/>
        <v>-57.5</v>
      </c>
      <c r="Y47" s="18">
        <f t="shared" si="80"/>
        <v>-57.5</v>
      </c>
      <c r="AB47" s="18">
        <f t="shared" si="81"/>
        <v>-57.5</v>
      </c>
      <c r="AC47" s="18">
        <f t="shared" si="81"/>
        <v>-57.5</v>
      </c>
      <c r="AD47" s="18">
        <f t="shared" si="81"/>
        <v>-57.5</v>
      </c>
      <c r="AE47" s="18">
        <f t="shared" si="81"/>
        <v>-57.5</v>
      </c>
      <c r="AF47" s="18">
        <f t="shared" si="81"/>
        <v>-57.5</v>
      </c>
      <c r="AG47" s="18">
        <f t="shared" si="81"/>
        <v>-57.5</v>
      </c>
      <c r="AH47" s="18">
        <f t="shared" si="81"/>
        <v>-57.5</v>
      </c>
      <c r="AI47" s="18">
        <f t="shared" si="81"/>
        <v>-57.5</v>
      </c>
      <c r="AJ47" s="18">
        <f t="shared" si="81"/>
        <v>-57.5</v>
      </c>
      <c r="AK47" s="18">
        <f t="shared" si="81"/>
        <v>-57.5</v>
      </c>
      <c r="AL47" s="18">
        <f t="shared" si="81"/>
        <v>-57.5</v>
      </c>
      <c r="AM47" s="18">
        <f t="shared" si="81"/>
        <v>-57.5</v>
      </c>
      <c r="AP47" s="18">
        <f t="shared" si="82"/>
        <v>-57.5</v>
      </c>
      <c r="AQ47" s="18">
        <f t="shared" si="82"/>
        <v>-57.5</v>
      </c>
      <c r="AR47" s="18">
        <f t="shared" si="82"/>
        <v>-57.5</v>
      </c>
      <c r="AS47" s="18">
        <f t="shared" si="82"/>
        <v>-57.5</v>
      </c>
      <c r="AT47" s="18">
        <f t="shared" si="82"/>
        <v>-57.5</v>
      </c>
      <c r="AU47" s="18">
        <f t="shared" si="82"/>
        <v>-57.5</v>
      </c>
      <c r="AV47" s="18">
        <f t="shared" si="82"/>
        <v>-57.5</v>
      </c>
      <c r="AW47" s="18">
        <f t="shared" si="82"/>
        <v>-57.5</v>
      </c>
      <c r="AX47" s="18">
        <f t="shared" si="82"/>
        <v>-57.5</v>
      </c>
      <c r="AY47" s="18">
        <f t="shared" si="82"/>
        <v>-57.5</v>
      </c>
      <c r="AZ47" s="18">
        <f t="shared" si="82"/>
        <v>-57.5</v>
      </c>
      <c r="BA47" s="18">
        <f t="shared" si="82"/>
        <v>-57.5</v>
      </c>
      <c r="BD47" s="18">
        <f t="shared" si="83"/>
        <v>-57.5</v>
      </c>
      <c r="BE47" s="18">
        <f t="shared" si="83"/>
        <v>-57.5</v>
      </c>
      <c r="BF47" s="18">
        <f t="shared" si="83"/>
        <v>-57.5</v>
      </c>
      <c r="BG47" s="18">
        <f t="shared" si="83"/>
        <v>-57.5</v>
      </c>
      <c r="BH47" s="18">
        <f t="shared" si="83"/>
        <v>-57.5</v>
      </c>
      <c r="BI47" s="18">
        <f t="shared" si="83"/>
        <v>-57.5</v>
      </c>
      <c r="BJ47" s="18">
        <f t="shared" si="83"/>
        <v>-57.5</v>
      </c>
      <c r="BK47" s="18">
        <f t="shared" si="83"/>
        <v>-57.5</v>
      </c>
      <c r="BL47" s="18">
        <f t="shared" si="83"/>
        <v>-57.5</v>
      </c>
      <c r="BM47" s="18">
        <f t="shared" si="83"/>
        <v>-57.5</v>
      </c>
      <c r="BN47" s="18">
        <f t="shared" si="83"/>
        <v>-57.5</v>
      </c>
      <c r="BO47" s="18">
        <f t="shared" si="83"/>
        <v>-57.5</v>
      </c>
      <c r="BR47" s="18">
        <f t="shared" si="84"/>
        <v>-57.5</v>
      </c>
      <c r="BS47" s="18">
        <f t="shared" si="84"/>
        <v>-57.5</v>
      </c>
      <c r="BT47" s="18">
        <f t="shared" si="84"/>
        <v>-57.5</v>
      </c>
      <c r="BU47" s="18">
        <f t="shared" si="84"/>
        <v>-57.5</v>
      </c>
      <c r="BV47" s="18">
        <f t="shared" si="84"/>
        <v>-57.5</v>
      </c>
      <c r="BW47" s="18">
        <f t="shared" si="84"/>
        <v>-57.5</v>
      </c>
      <c r="BX47" s="18">
        <f t="shared" si="84"/>
        <v>-57.5</v>
      </c>
      <c r="BY47" s="18">
        <f t="shared" si="84"/>
        <v>-57.5</v>
      </c>
      <c r="BZ47" s="18">
        <f t="shared" si="84"/>
        <v>-57.5</v>
      </c>
      <c r="CA47" s="18">
        <f t="shared" si="84"/>
        <v>-57.5</v>
      </c>
      <c r="CB47" s="18">
        <f t="shared" si="84"/>
        <v>-57.5</v>
      </c>
      <c r="CC47" s="18">
        <f t="shared" si="84"/>
        <v>-57.5</v>
      </c>
    </row>
    <row r="48" spans="1:81" ht="14.25" customHeight="1">
      <c r="A48" s="149" t="s">
        <v>34</v>
      </c>
      <c r="B48" s="153">
        <v>2E-3</v>
      </c>
      <c r="C48" s="154" t="s">
        <v>36</v>
      </c>
      <c r="D48" s="148"/>
      <c r="E48" s="145"/>
      <c r="F48" s="144">
        <f t="shared" si="75"/>
        <v>-138</v>
      </c>
      <c r="G48" s="144">
        <f t="shared" si="76"/>
        <v>-138</v>
      </c>
      <c r="H48" s="144">
        <f t="shared" si="77"/>
        <v>-138</v>
      </c>
      <c r="I48" s="144">
        <f t="shared" si="78"/>
        <v>-138</v>
      </c>
      <c r="J48" s="144">
        <f t="shared" si="79"/>
        <v>-138</v>
      </c>
      <c r="N48" s="18">
        <f t="shared" si="80"/>
        <v>-11.5</v>
      </c>
      <c r="O48" s="18">
        <f t="shared" si="80"/>
        <v>-11.5</v>
      </c>
      <c r="P48" s="18">
        <f t="shared" si="80"/>
        <v>-11.5</v>
      </c>
      <c r="Q48" s="18">
        <f t="shared" si="80"/>
        <v>-11.5</v>
      </c>
      <c r="R48" s="18">
        <f t="shared" si="80"/>
        <v>-11.5</v>
      </c>
      <c r="S48" s="18">
        <f t="shared" si="80"/>
        <v>-11.5</v>
      </c>
      <c r="T48" s="18">
        <f t="shared" si="80"/>
        <v>-11.5</v>
      </c>
      <c r="U48" s="18">
        <f t="shared" si="80"/>
        <v>-11.5</v>
      </c>
      <c r="V48" s="18">
        <f t="shared" si="80"/>
        <v>-11.5</v>
      </c>
      <c r="W48" s="18">
        <f t="shared" si="80"/>
        <v>-11.5</v>
      </c>
      <c r="X48" s="18">
        <f t="shared" si="80"/>
        <v>-11.5</v>
      </c>
      <c r="Y48" s="18">
        <f t="shared" si="80"/>
        <v>-11.5</v>
      </c>
      <c r="AB48" s="18">
        <f t="shared" si="81"/>
        <v>-11.5</v>
      </c>
      <c r="AC48" s="18">
        <f t="shared" si="81"/>
        <v>-11.5</v>
      </c>
      <c r="AD48" s="18">
        <f t="shared" si="81"/>
        <v>-11.5</v>
      </c>
      <c r="AE48" s="18">
        <f t="shared" si="81"/>
        <v>-11.5</v>
      </c>
      <c r="AF48" s="18">
        <f t="shared" si="81"/>
        <v>-11.5</v>
      </c>
      <c r="AG48" s="18">
        <f t="shared" si="81"/>
        <v>-11.5</v>
      </c>
      <c r="AH48" s="18">
        <f t="shared" si="81"/>
        <v>-11.5</v>
      </c>
      <c r="AI48" s="18">
        <f t="shared" si="81"/>
        <v>-11.5</v>
      </c>
      <c r="AJ48" s="18">
        <f t="shared" si="81"/>
        <v>-11.5</v>
      </c>
      <c r="AK48" s="18">
        <f t="shared" si="81"/>
        <v>-11.5</v>
      </c>
      <c r="AL48" s="18">
        <f t="shared" si="81"/>
        <v>-11.5</v>
      </c>
      <c r="AM48" s="18">
        <f t="shared" si="81"/>
        <v>-11.5</v>
      </c>
      <c r="AP48" s="18">
        <f t="shared" si="82"/>
        <v>-11.5</v>
      </c>
      <c r="AQ48" s="18">
        <f t="shared" si="82"/>
        <v>-11.5</v>
      </c>
      <c r="AR48" s="18">
        <f t="shared" si="82"/>
        <v>-11.5</v>
      </c>
      <c r="AS48" s="18">
        <f t="shared" si="82"/>
        <v>-11.5</v>
      </c>
      <c r="AT48" s="18">
        <f t="shared" si="82"/>
        <v>-11.5</v>
      </c>
      <c r="AU48" s="18">
        <f t="shared" si="82"/>
        <v>-11.5</v>
      </c>
      <c r="AV48" s="18">
        <f t="shared" si="82"/>
        <v>-11.5</v>
      </c>
      <c r="AW48" s="18">
        <f t="shared" si="82"/>
        <v>-11.5</v>
      </c>
      <c r="AX48" s="18">
        <f t="shared" si="82"/>
        <v>-11.5</v>
      </c>
      <c r="AY48" s="18">
        <f t="shared" si="82"/>
        <v>-11.5</v>
      </c>
      <c r="AZ48" s="18">
        <f t="shared" si="82"/>
        <v>-11.5</v>
      </c>
      <c r="BA48" s="18">
        <f t="shared" si="82"/>
        <v>-11.5</v>
      </c>
      <c r="BD48" s="18">
        <f t="shared" si="83"/>
        <v>-11.5</v>
      </c>
      <c r="BE48" s="18">
        <f t="shared" si="83"/>
        <v>-11.5</v>
      </c>
      <c r="BF48" s="18">
        <f t="shared" si="83"/>
        <v>-11.5</v>
      </c>
      <c r="BG48" s="18">
        <f t="shared" si="83"/>
        <v>-11.5</v>
      </c>
      <c r="BH48" s="18">
        <f t="shared" si="83"/>
        <v>-11.5</v>
      </c>
      <c r="BI48" s="18">
        <f t="shared" si="83"/>
        <v>-11.5</v>
      </c>
      <c r="BJ48" s="18">
        <f t="shared" si="83"/>
        <v>-11.5</v>
      </c>
      <c r="BK48" s="18">
        <f t="shared" si="83"/>
        <v>-11.5</v>
      </c>
      <c r="BL48" s="18">
        <f t="shared" si="83"/>
        <v>-11.5</v>
      </c>
      <c r="BM48" s="18">
        <f t="shared" si="83"/>
        <v>-11.5</v>
      </c>
      <c r="BN48" s="18">
        <f t="shared" si="83"/>
        <v>-11.5</v>
      </c>
      <c r="BO48" s="18">
        <f t="shared" si="83"/>
        <v>-11.5</v>
      </c>
      <c r="BR48" s="18">
        <f t="shared" si="84"/>
        <v>-11.5</v>
      </c>
      <c r="BS48" s="18">
        <f t="shared" si="84"/>
        <v>-11.5</v>
      </c>
      <c r="BT48" s="18">
        <f t="shared" si="84"/>
        <v>-11.5</v>
      </c>
      <c r="BU48" s="18">
        <f t="shared" si="84"/>
        <v>-11.5</v>
      </c>
      <c r="BV48" s="18">
        <f t="shared" si="84"/>
        <v>-11.5</v>
      </c>
      <c r="BW48" s="18">
        <f t="shared" si="84"/>
        <v>-11.5</v>
      </c>
      <c r="BX48" s="18">
        <f t="shared" si="84"/>
        <v>-11.5</v>
      </c>
      <c r="BY48" s="18">
        <f t="shared" si="84"/>
        <v>-11.5</v>
      </c>
      <c r="BZ48" s="18">
        <f t="shared" si="84"/>
        <v>-11.5</v>
      </c>
      <c r="CA48" s="18">
        <f t="shared" si="84"/>
        <v>-11.5</v>
      </c>
      <c r="CB48" s="18">
        <f t="shared" si="84"/>
        <v>-11.5</v>
      </c>
      <c r="CC48" s="18">
        <f t="shared" si="84"/>
        <v>-11.5</v>
      </c>
    </row>
    <row r="49" spans="1:81" ht="14.25" customHeight="1">
      <c r="A49" s="138"/>
      <c r="B49" s="139"/>
      <c r="C49" s="140"/>
      <c r="D49" s="1"/>
      <c r="F49" s="18"/>
      <c r="G49" s="18"/>
      <c r="H49" s="18"/>
      <c r="I49" s="18"/>
      <c r="J49" s="18"/>
      <c r="N49" s="18"/>
      <c r="O49" s="18"/>
      <c r="P49" s="18"/>
      <c r="Q49" s="18"/>
      <c r="R49" s="18"/>
      <c r="S49" s="18"/>
      <c r="T49" s="18"/>
      <c r="U49" s="18"/>
      <c r="V49" s="18"/>
      <c r="W49" s="18"/>
      <c r="X49" s="18"/>
      <c r="Y49" s="18"/>
      <c r="AB49" s="18"/>
      <c r="AC49" s="18"/>
      <c r="AD49" s="18"/>
      <c r="AE49" s="18"/>
      <c r="AF49" s="18"/>
      <c r="AG49" s="18"/>
      <c r="AH49" s="18"/>
      <c r="AI49" s="18"/>
      <c r="AJ49" s="18"/>
      <c r="AK49" s="18"/>
      <c r="AL49" s="18"/>
      <c r="AM49" s="18"/>
      <c r="AP49" s="18"/>
      <c r="AQ49" s="18"/>
      <c r="AR49" s="18"/>
      <c r="AS49" s="18"/>
      <c r="AT49" s="18"/>
      <c r="AU49" s="18"/>
      <c r="AV49" s="18"/>
      <c r="AW49" s="18"/>
      <c r="AX49" s="18"/>
      <c r="AY49" s="18"/>
      <c r="AZ49" s="18"/>
      <c r="BA49" s="18"/>
      <c r="BD49" s="18"/>
      <c r="BE49" s="18"/>
      <c r="BF49" s="18"/>
      <c r="BG49" s="18"/>
      <c r="BH49" s="18"/>
      <c r="BI49" s="18"/>
      <c r="BJ49" s="18"/>
      <c r="BK49" s="18"/>
      <c r="BL49" s="18"/>
      <c r="BM49" s="18"/>
      <c r="BN49" s="18"/>
      <c r="BO49" s="18"/>
      <c r="BR49" s="18"/>
      <c r="BS49" s="18"/>
      <c r="BT49" s="18"/>
      <c r="BU49" s="18"/>
      <c r="BV49" s="18"/>
      <c r="BW49" s="18"/>
      <c r="BX49" s="18"/>
      <c r="BY49" s="18"/>
      <c r="BZ49" s="18"/>
      <c r="CA49" s="18"/>
      <c r="CB49" s="18"/>
      <c r="CC49" s="18"/>
    </row>
    <row r="50" spans="1:81" ht="14.25" customHeight="1">
      <c r="A50" s="4"/>
      <c r="B50" s="23" t="s">
        <v>0</v>
      </c>
      <c r="C50" s="22" t="s">
        <v>23</v>
      </c>
      <c r="D50" s="1"/>
    </row>
    <row r="51" spans="1:81" ht="14.25" customHeight="1">
      <c r="A51" s="143" t="s">
        <v>39</v>
      </c>
      <c r="B51" s="146">
        <v>2500</v>
      </c>
      <c r="C51" s="147">
        <f t="shared" ref="C51:C56" si="85">B51*12</f>
        <v>30000</v>
      </c>
      <c r="D51" s="148"/>
      <c r="E51" s="145"/>
      <c r="F51" s="144">
        <f t="shared" ref="F51:F56" si="86">SUM(N51:Y51)</f>
        <v>-30000</v>
      </c>
      <c r="G51" s="144">
        <f t="shared" ref="G51:G56" si="87">SUM(AB51:AM51)</f>
        <v>-30000</v>
      </c>
      <c r="H51" s="144">
        <f t="shared" ref="H51:H56" si="88">SUM(AP51:BA51)</f>
        <v>-30000</v>
      </c>
      <c r="I51" s="144">
        <f t="shared" ref="I51:I56" si="89">SUM(BD51:BO51)</f>
        <v>-30000</v>
      </c>
      <c r="J51" s="144">
        <f t="shared" ref="J51:J56" si="90">SUM(BR51:CC51)</f>
        <v>-30000</v>
      </c>
      <c r="N51" s="18">
        <f t="shared" ref="N51:Y51" si="91">-$B$51</f>
        <v>-2500</v>
      </c>
      <c r="O51" s="18">
        <f t="shared" si="91"/>
        <v>-2500</v>
      </c>
      <c r="P51" s="18">
        <f t="shared" si="91"/>
        <v>-2500</v>
      </c>
      <c r="Q51" s="18">
        <f t="shared" si="91"/>
        <v>-2500</v>
      </c>
      <c r="R51" s="18">
        <f t="shared" si="91"/>
        <v>-2500</v>
      </c>
      <c r="S51" s="18">
        <f t="shared" si="91"/>
        <v>-2500</v>
      </c>
      <c r="T51" s="18">
        <f t="shared" si="91"/>
        <v>-2500</v>
      </c>
      <c r="U51" s="18">
        <f t="shared" si="91"/>
        <v>-2500</v>
      </c>
      <c r="V51" s="18">
        <f t="shared" si="91"/>
        <v>-2500</v>
      </c>
      <c r="W51" s="18">
        <f t="shared" si="91"/>
        <v>-2500</v>
      </c>
      <c r="X51" s="18">
        <f t="shared" si="91"/>
        <v>-2500</v>
      </c>
      <c r="Y51" s="18">
        <f t="shared" si="91"/>
        <v>-2500</v>
      </c>
      <c r="AB51" s="18">
        <f t="shared" ref="AB51:AM51" si="92">-$B$51</f>
        <v>-2500</v>
      </c>
      <c r="AC51" s="18">
        <f t="shared" si="92"/>
        <v>-2500</v>
      </c>
      <c r="AD51" s="18">
        <f t="shared" si="92"/>
        <v>-2500</v>
      </c>
      <c r="AE51" s="18">
        <f t="shared" si="92"/>
        <v>-2500</v>
      </c>
      <c r="AF51" s="18">
        <f t="shared" si="92"/>
        <v>-2500</v>
      </c>
      <c r="AG51" s="18">
        <f t="shared" si="92"/>
        <v>-2500</v>
      </c>
      <c r="AH51" s="18">
        <f t="shared" si="92"/>
        <v>-2500</v>
      </c>
      <c r="AI51" s="18">
        <f t="shared" si="92"/>
        <v>-2500</v>
      </c>
      <c r="AJ51" s="18">
        <f t="shared" si="92"/>
        <v>-2500</v>
      </c>
      <c r="AK51" s="18">
        <f t="shared" si="92"/>
        <v>-2500</v>
      </c>
      <c r="AL51" s="18">
        <f t="shared" si="92"/>
        <v>-2500</v>
      </c>
      <c r="AM51" s="18">
        <f t="shared" si="92"/>
        <v>-2500</v>
      </c>
      <c r="AP51" s="18">
        <f t="shared" ref="AP51:BA51" si="93">-$B$51</f>
        <v>-2500</v>
      </c>
      <c r="AQ51" s="18">
        <f t="shared" si="93"/>
        <v>-2500</v>
      </c>
      <c r="AR51" s="18">
        <f t="shared" si="93"/>
        <v>-2500</v>
      </c>
      <c r="AS51" s="18">
        <f t="shared" si="93"/>
        <v>-2500</v>
      </c>
      <c r="AT51" s="18">
        <f t="shared" si="93"/>
        <v>-2500</v>
      </c>
      <c r="AU51" s="18">
        <f t="shared" si="93"/>
        <v>-2500</v>
      </c>
      <c r="AV51" s="18">
        <f t="shared" si="93"/>
        <v>-2500</v>
      </c>
      <c r="AW51" s="18">
        <f t="shared" si="93"/>
        <v>-2500</v>
      </c>
      <c r="AX51" s="18">
        <f t="shared" si="93"/>
        <v>-2500</v>
      </c>
      <c r="AY51" s="18">
        <f t="shared" si="93"/>
        <v>-2500</v>
      </c>
      <c r="AZ51" s="18">
        <f t="shared" si="93"/>
        <v>-2500</v>
      </c>
      <c r="BA51" s="18">
        <f t="shared" si="93"/>
        <v>-2500</v>
      </c>
      <c r="BD51" s="18">
        <f t="shared" ref="BD51:BO51" si="94">-$B$51</f>
        <v>-2500</v>
      </c>
      <c r="BE51" s="18">
        <f t="shared" si="94"/>
        <v>-2500</v>
      </c>
      <c r="BF51" s="18">
        <f t="shared" si="94"/>
        <v>-2500</v>
      </c>
      <c r="BG51" s="18">
        <f t="shared" si="94"/>
        <v>-2500</v>
      </c>
      <c r="BH51" s="18">
        <f t="shared" si="94"/>
        <v>-2500</v>
      </c>
      <c r="BI51" s="18">
        <f t="shared" si="94"/>
        <v>-2500</v>
      </c>
      <c r="BJ51" s="18">
        <f t="shared" si="94"/>
        <v>-2500</v>
      </c>
      <c r="BK51" s="18">
        <f t="shared" si="94"/>
        <v>-2500</v>
      </c>
      <c r="BL51" s="18">
        <f t="shared" si="94"/>
        <v>-2500</v>
      </c>
      <c r="BM51" s="18">
        <f t="shared" si="94"/>
        <v>-2500</v>
      </c>
      <c r="BN51" s="18">
        <f t="shared" si="94"/>
        <v>-2500</v>
      </c>
      <c r="BO51" s="18">
        <f t="shared" si="94"/>
        <v>-2500</v>
      </c>
      <c r="BR51" s="18">
        <f t="shared" ref="BR51:CC51" si="95">-$B$51</f>
        <v>-2500</v>
      </c>
      <c r="BS51" s="18">
        <f t="shared" si="95"/>
        <v>-2500</v>
      </c>
      <c r="BT51" s="18">
        <f t="shared" si="95"/>
        <v>-2500</v>
      </c>
      <c r="BU51" s="18">
        <f t="shared" si="95"/>
        <v>-2500</v>
      </c>
      <c r="BV51" s="18">
        <f t="shared" si="95"/>
        <v>-2500</v>
      </c>
      <c r="BW51" s="18">
        <f t="shared" si="95"/>
        <v>-2500</v>
      </c>
      <c r="BX51" s="18">
        <f t="shared" si="95"/>
        <v>-2500</v>
      </c>
      <c r="BY51" s="18">
        <f t="shared" si="95"/>
        <v>-2500</v>
      </c>
      <c r="BZ51" s="18">
        <f t="shared" si="95"/>
        <v>-2500</v>
      </c>
      <c r="CA51" s="18">
        <f t="shared" si="95"/>
        <v>-2500</v>
      </c>
      <c r="CB51" s="18">
        <f t="shared" si="95"/>
        <v>-2500</v>
      </c>
      <c r="CC51" s="18">
        <f t="shared" si="95"/>
        <v>-2500</v>
      </c>
    </row>
    <row r="52" spans="1:81" ht="14.25" customHeight="1">
      <c r="A52" s="143" t="s">
        <v>40</v>
      </c>
      <c r="B52" s="146">
        <v>1500</v>
      </c>
      <c r="C52" s="147">
        <f t="shared" si="85"/>
        <v>18000</v>
      </c>
      <c r="D52" s="148"/>
      <c r="E52" s="145"/>
      <c r="F52" s="144">
        <f t="shared" si="86"/>
        <v>-18000</v>
      </c>
      <c r="G52" s="144">
        <f t="shared" si="87"/>
        <v>-18000</v>
      </c>
      <c r="H52" s="144">
        <f t="shared" si="88"/>
        <v>-18000</v>
      </c>
      <c r="I52" s="144">
        <f t="shared" si="89"/>
        <v>-18000</v>
      </c>
      <c r="J52" s="144">
        <f t="shared" si="90"/>
        <v>-18000</v>
      </c>
      <c r="N52" s="18">
        <f t="shared" ref="N52:Y52" si="96">-$B$52</f>
        <v>-1500</v>
      </c>
      <c r="O52" s="18">
        <f t="shared" si="96"/>
        <v>-1500</v>
      </c>
      <c r="P52" s="18">
        <f t="shared" si="96"/>
        <v>-1500</v>
      </c>
      <c r="Q52" s="18">
        <f t="shared" si="96"/>
        <v>-1500</v>
      </c>
      <c r="R52" s="18">
        <f t="shared" si="96"/>
        <v>-1500</v>
      </c>
      <c r="S52" s="18">
        <f t="shared" si="96"/>
        <v>-1500</v>
      </c>
      <c r="T52" s="18">
        <f t="shared" si="96"/>
        <v>-1500</v>
      </c>
      <c r="U52" s="18">
        <f t="shared" si="96"/>
        <v>-1500</v>
      </c>
      <c r="V52" s="18">
        <f t="shared" si="96"/>
        <v>-1500</v>
      </c>
      <c r="W52" s="18">
        <f t="shared" si="96"/>
        <v>-1500</v>
      </c>
      <c r="X52" s="18">
        <f t="shared" si="96"/>
        <v>-1500</v>
      </c>
      <c r="Y52" s="18">
        <f t="shared" si="96"/>
        <v>-1500</v>
      </c>
      <c r="AB52" s="18">
        <f t="shared" ref="AB52:AM52" si="97">-$B$52</f>
        <v>-1500</v>
      </c>
      <c r="AC52" s="18">
        <f t="shared" si="97"/>
        <v>-1500</v>
      </c>
      <c r="AD52" s="18">
        <f t="shared" si="97"/>
        <v>-1500</v>
      </c>
      <c r="AE52" s="18">
        <f t="shared" si="97"/>
        <v>-1500</v>
      </c>
      <c r="AF52" s="18">
        <f t="shared" si="97"/>
        <v>-1500</v>
      </c>
      <c r="AG52" s="18">
        <f t="shared" si="97"/>
        <v>-1500</v>
      </c>
      <c r="AH52" s="18">
        <f t="shared" si="97"/>
        <v>-1500</v>
      </c>
      <c r="AI52" s="18">
        <f t="shared" si="97"/>
        <v>-1500</v>
      </c>
      <c r="AJ52" s="18">
        <f t="shared" si="97"/>
        <v>-1500</v>
      </c>
      <c r="AK52" s="18">
        <f t="shared" si="97"/>
        <v>-1500</v>
      </c>
      <c r="AL52" s="18">
        <f t="shared" si="97"/>
        <v>-1500</v>
      </c>
      <c r="AM52" s="18">
        <f t="shared" si="97"/>
        <v>-1500</v>
      </c>
      <c r="AP52" s="18">
        <f t="shared" ref="AP52:BA52" si="98">-$B$52</f>
        <v>-1500</v>
      </c>
      <c r="AQ52" s="18">
        <f t="shared" si="98"/>
        <v>-1500</v>
      </c>
      <c r="AR52" s="18">
        <f t="shared" si="98"/>
        <v>-1500</v>
      </c>
      <c r="AS52" s="18">
        <f t="shared" si="98"/>
        <v>-1500</v>
      </c>
      <c r="AT52" s="18">
        <f t="shared" si="98"/>
        <v>-1500</v>
      </c>
      <c r="AU52" s="18">
        <f t="shared" si="98"/>
        <v>-1500</v>
      </c>
      <c r="AV52" s="18">
        <f t="shared" si="98"/>
        <v>-1500</v>
      </c>
      <c r="AW52" s="18">
        <f t="shared" si="98"/>
        <v>-1500</v>
      </c>
      <c r="AX52" s="18">
        <f t="shared" si="98"/>
        <v>-1500</v>
      </c>
      <c r="AY52" s="18">
        <f t="shared" si="98"/>
        <v>-1500</v>
      </c>
      <c r="AZ52" s="18">
        <f t="shared" si="98"/>
        <v>-1500</v>
      </c>
      <c r="BA52" s="18">
        <f t="shared" si="98"/>
        <v>-1500</v>
      </c>
      <c r="BD52" s="18">
        <f t="shared" ref="BD52:BO52" si="99">-$B$52</f>
        <v>-1500</v>
      </c>
      <c r="BE52" s="18">
        <f t="shared" si="99"/>
        <v>-1500</v>
      </c>
      <c r="BF52" s="18">
        <f t="shared" si="99"/>
        <v>-1500</v>
      </c>
      <c r="BG52" s="18">
        <f t="shared" si="99"/>
        <v>-1500</v>
      </c>
      <c r="BH52" s="18">
        <f t="shared" si="99"/>
        <v>-1500</v>
      </c>
      <c r="BI52" s="18">
        <f t="shared" si="99"/>
        <v>-1500</v>
      </c>
      <c r="BJ52" s="18">
        <f t="shared" si="99"/>
        <v>-1500</v>
      </c>
      <c r="BK52" s="18">
        <f t="shared" si="99"/>
        <v>-1500</v>
      </c>
      <c r="BL52" s="18">
        <f t="shared" si="99"/>
        <v>-1500</v>
      </c>
      <c r="BM52" s="18">
        <f t="shared" si="99"/>
        <v>-1500</v>
      </c>
      <c r="BN52" s="18">
        <f t="shared" si="99"/>
        <v>-1500</v>
      </c>
      <c r="BO52" s="18">
        <f t="shared" si="99"/>
        <v>-1500</v>
      </c>
      <c r="BR52" s="18">
        <f t="shared" ref="BR52:CC52" si="100">-$B$52</f>
        <v>-1500</v>
      </c>
      <c r="BS52" s="18">
        <f t="shared" si="100"/>
        <v>-1500</v>
      </c>
      <c r="BT52" s="18">
        <f t="shared" si="100"/>
        <v>-1500</v>
      </c>
      <c r="BU52" s="18">
        <f t="shared" si="100"/>
        <v>-1500</v>
      </c>
      <c r="BV52" s="18">
        <f t="shared" si="100"/>
        <v>-1500</v>
      </c>
      <c r="BW52" s="18">
        <f t="shared" si="100"/>
        <v>-1500</v>
      </c>
      <c r="BX52" s="18">
        <f t="shared" si="100"/>
        <v>-1500</v>
      </c>
      <c r="BY52" s="18">
        <f t="shared" si="100"/>
        <v>-1500</v>
      </c>
      <c r="BZ52" s="18">
        <f t="shared" si="100"/>
        <v>-1500</v>
      </c>
      <c r="CA52" s="18">
        <f t="shared" si="100"/>
        <v>-1500</v>
      </c>
      <c r="CB52" s="18">
        <f t="shared" si="100"/>
        <v>-1500</v>
      </c>
      <c r="CC52" s="18">
        <f t="shared" si="100"/>
        <v>-1500</v>
      </c>
    </row>
    <row r="53" spans="1:81" ht="14.25" customHeight="1">
      <c r="A53" s="143" t="s">
        <v>41</v>
      </c>
      <c r="B53" s="146">
        <v>3000</v>
      </c>
      <c r="C53" s="147">
        <f t="shared" si="85"/>
        <v>36000</v>
      </c>
      <c r="D53" s="155"/>
      <c r="E53" s="145"/>
      <c r="F53" s="144">
        <f t="shared" si="86"/>
        <v>-36000</v>
      </c>
      <c r="G53" s="144">
        <f t="shared" si="87"/>
        <v>-36000</v>
      </c>
      <c r="H53" s="144">
        <f t="shared" si="88"/>
        <v>-36000</v>
      </c>
      <c r="I53" s="144">
        <f t="shared" si="89"/>
        <v>-36000</v>
      </c>
      <c r="J53" s="144">
        <f t="shared" si="90"/>
        <v>-36000</v>
      </c>
      <c r="N53" s="18">
        <f t="shared" ref="N53:Y53" si="101">-$B$53</f>
        <v>-3000</v>
      </c>
      <c r="O53" s="18">
        <f t="shared" si="101"/>
        <v>-3000</v>
      </c>
      <c r="P53" s="18">
        <f t="shared" si="101"/>
        <v>-3000</v>
      </c>
      <c r="Q53" s="18">
        <f t="shared" si="101"/>
        <v>-3000</v>
      </c>
      <c r="R53" s="18">
        <f t="shared" si="101"/>
        <v>-3000</v>
      </c>
      <c r="S53" s="18">
        <f t="shared" si="101"/>
        <v>-3000</v>
      </c>
      <c r="T53" s="18">
        <f t="shared" si="101"/>
        <v>-3000</v>
      </c>
      <c r="U53" s="18">
        <f t="shared" si="101"/>
        <v>-3000</v>
      </c>
      <c r="V53" s="18">
        <f t="shared" si="101"/>
        <v>-3000</v>
      </c>
      <c r="W53" s="18">
        <f t="shared" si="101"/>
        <v>-3000</v>
      </c>
      <c r="X53" s="18">
        <f t="shared" si="101"/>
        <v>-3000</v>
      </c>
      <c r="Y53" s="18">
        <f t="shared" si="101"/>
        <v>-3000</v>
      </c>
      <c r="AB53" s="18">
        <f t="shared" ref="AB53:AM53" si="102">-$B$53</f>
        <v>-3000</v>
      </c>
      <c r="AC53" s="18">
        <f t="shared" si="102"/>
        <v>-3000</v>
      </c>
      <c r="AD53" s="18">
        <f t="shared" si="102"/>
        <v>-3000</v>
      </c>
      <c r="AE53" s="18">
        <f t="shared" si="102"/>
        <v>-3000</v>
      </c>
      <c r="AF53" s="18">
        <f t="shared" si="102"/>
        <v>-3000</v>
      </c>
      <c r="AG53" s="18">
        <f t="shared" si="102"/>
        <v>-3000</v>
      </c>
      <c r="AH53" s="18">
        <f t="shared" si="102"/>
        <v>-3000</v>
      </c>
      <c r="AI53" s="18">
        <f t="shared" si="102"/>
        <v>-3000</v>
      </c>
      <c r="AJ53" s="18">
        <f t="shared" si="102"/>
        <v>-3000</v>
      </c>
      <c r="AK53" s="18">
        <f t="shared" si="102"/>
        <v>-3000</v>
      </c>
      <c r="AL53" s="18">
        <f t="shared" si="102"/>
        <v>-3000</v>
      </c>
      <c r="AM53" s="18">
        <f t="shared" si="102"/>
        <v>-3000</v>
      </c>
      <c r="AP53" s="18">
        <f t="shared" ref="AP53:BA53" si="103">-$B$53</f>
        <v>-3000</v>
      </c>
      <c r="AQ53" s="18">
        <f t="shared" si="103"/>
        <v>-3000</v>
      </c>
      <c r="AR53" s="18">
        <f t="shared" si="103"/>
        <v>-3000</v>
      </c>
      <c r="AS53" s="18">
        <f t="shared" si="103"/>
        <v>-3000</v>
      </c>
      <c r="AT53" s="18">
        <f t="shared" si="103"/>
        <v>-3000</v>
      </c>
      <c r="AU53" s="18">
        <f t="shared" si="103"/>
        <v>-3000</v>
      </c>
      <c r="AV53" s="18">
        <f t="shared" si="103"/>
        <v>-3000</v>
      </c>
      <c r="AW53" s="18">
        <f t="shared" si="103"/>
        <v>-3000</v>
      </c>
      <c r="AX53" s="18">
        <f t="shared" si="103"/>
        <v>-3000</v>
      </c>
      <c r="AY53" s="18">
        <f t="shared" si="103"/>
        <v>-3000</v>
      </c>
      <c r="AZ53" s="18">
        <f t="shared" si="103"/>
        <v>-3000</v>
      </c>
      <c r="BA53" s="18">
        <f t="shared" si="103"/>
        <v>-3000</v>
      </c>
      <c r="BD53" s="18">
        <f t="shared" ref="BD53:BO53" si="104">-$B$53</f>
        <v>-3000</v>
      </c>
      <c r="BE53" s="18">
        <f t="shared" si="104"/>
        <v>-3000</v>
      </c>
      <c r="BF53" s="18">
        <f t="shared" si="104"/>
        <v>-3000</v>
      </c>
      <c r="BG53" s="18">
        <f t="shared" si="104"/>
        <v>-3000</v>
      </c>
      <c r="BH53" s="18">
        <f t="shared" si="104"/>
        <v>-3000</v>
      </c>
      <c r="BI53" s="18">
        <f t="shared" si="104"/>
        <v>-3000</v>
      </c>
      <c r="BJ53" s="18">
        <f t="shared" si="104"/>
        <v>-3000</v>
      </c>
      <c r="BK53" s="18">
        <f t="shared" si="104"/>
        <v>-3000</v>
      </c>
      <c r="BL53" s="18">
        <f t="shared" si="104"/>
        <v>-3000</v>
      </c>
      <c r="BM53" s="18">
        <f t="shared" si="104"/>
        <v>-3000</v>
      </c>
      <c r="BN53" s="18">
        <f t="shared" si="104"/>
        <v>-3000</v>
      </c>
      <c r="BO53" s="18">
        <f t="shared" si="104"/>
        <v>-3000</v>
      </c>
      <c r="BR53" s="18">
        <f t="shared" ref="BR53:CC53" si="105">-$B$53</f>
        <v>-3000</v>
      </c>
      <c r="BS53" s="18">
        <f t="shared" si="105"/>
        <v>-3000</v>
      </c>
      <c r="BT53" s="18">
        <f t="shared" si="105"/>
        <v>-3000</v>
      </c>
      <c r="BU53" s="18">
        <f t="shared" si="105"/>
        <v>-3000</v>
      </c>
      <c r="BV53" s="18">
        <f t="shared" si="105"/>
        <v>-3000</v>
      </c>
      <c r="BW53" s="18">
        <f t="shared" si="105"/>
        <v>-3000</v>
      </c>
      <c r="BX53" s="18">
        <f t="shared" si="105"/>
        <v>-3000</v>
      </c>
      <c r="BY53" s="18">
        <f t="shared" si="105"/>
        <v>-3000</v>
      </c>
      <c r="BZ53" s="18">
        <f t="shared" si="105"/>
        <v>-3000</v>
      </c>
      <c r="CA53" s="18">
        <f t="shared" si="105"/>
        <v>-3000</v>
      </c>
      <c r="CB53" s="18">
        <f t="shared" si="105"/>
        <v>-3000</v>
      </c>
      <c r="CC53" s="18">
        <f t="shared" si="105"/>
        <v>-3000</v>
      </c>
    </row>
    <row r="54" spans="1:81" ht="14.25" customHeight="1">
      <c r="A54" s="143" t="s">
        <v>42</v>
      </c>
      <c r="B54" s="146">
        <v>1500</v>
      </c>
      <c r="C54" s="147">
        <f t="shared" si="85"/>
        <v>18000</v>
      </c>
      <c r="D54" s="148"/>
      <c r="E54" s="145"/>
      <c r="F54" s="144">
        <f t="shared" si="86"/>
        <v>-18000</v>
      </c>
      <c r="G54" s="144">
        <f t="shared" si="87"/>
        <v>-18000</v>
      </c>
      <c r="H54" s="144">
        <f t="shared" si="88"/>
        <v>-18000</v>
      </c>
      <c r="I54" s="144">
        <f t="shared" si="89"/>
        <v>-18000</v>
      </c>
      <c r="J54" s="144">
        <f t="shared" si="90"/>
        <v>-18000</v>
      </c>
      <c r="N54" s="18">
        <f t="shared" ref="N54:Y54" si="106">-$B$54</f>
        <v>-1500</v>
      </c>
      <c r="O54" s="18">
        <f t="shared" si="106"/>
        <v>-1500</v>
      </c>
      <c r="P54" s="18">
        <f t="shared" si="106"/>
        <v>-1500</v>
      </c>
      <c r="Q54" s="18">
        <f t="shared" si="106"/>
        <v>-1500</v>
      </c>
      <c r="R54" s="18">
        <f t="shared" si="106"/>
        <v>-1500</v>
      </c>
      <c r="S54" s="18">
        <f t="shared" si="106"/>
        <v>-1500</v>
      </c>
      <c r="T54" s="18">
        <f t="shared" si="106"/>
        <v>-1500</v>
      </c>
      <c r="U54" s="18">
        <f t="shared" si="106"/>
        <v>-1500</v>
      </c>
      <c r="V54" s="18">
        <f t="shared" si="106"/>
        <v>-1500</v>
      </c>
      <c r="W54" s="18">
        <f t="shared" si="106"/>
        <v>-1500</v>
      </c>
      <c r="X54" s="18">
        <f t="shared" si="106"/>
        <v>-1500</v>
      </c>
      <c r="Y54" s="18">
        <f t="shared" si="106"/>
        <v>-1500</v>
      </c>
      <c r="AB54" s="18">
        <f t="shared" ref="AB54:AM54" si="107">-$B$54</f>
        <v>-1500</v>
      </c>
      <c r="AC54" s="18">
        <f t="shared" si="107"/>
        <v>-1500</v>
      </c>
      <c r="AD54" s="18">
        <f t="shared" si="107"/>
        <v>-1500</v>
      </c>
      <c r="AE54" s="18">
        <f t="shared" si="107"/>
        <v>-1500</v>
      </c>
      <c r="AF54" s="18">
        <f t="shared" si="107"/>
        <v>-1500</v>
      </c>
      <c r="AG54" s="18">
        <f t="shared" si="107"/>
        <v>-1500</v>
      </c>
      <c r="AH54" s="18">
        <f t="shared" si="107"/>
        <v>-1500</v>
      </c>
      <c r="AI54" s="18">
        <f t="shared" si="107"/>
        <v>-1500</v>
      </c>
      <c r="AJ54" s="18">
        <f t="shared" si="107"/>
        <v>-1500</v>
      </c>
      <c r="AK54" s="18">
        <f t="shared" si="107"/>
        <v>-1500</v>
      </c>
      <c r="AL54" s="18">
        <f t="shared" si="107"/>
        <v>-1500</v>
      </c>
      <c r="AM54" s="18">
        <f t="shared" si="107"/>
        <v>-1500</v>
      </c>
      <c r="AP54" s="18">
        <f t="shared" ref="AP54:BA54" si="108">-$B$54</f>
        <v>-1500</v>
      </c>
      <c r="AQ54" s="18">
        <f t="shared" si="108"/>
        <v>-1500</v>
      </c>
      <c r="AR54" s="18">
        <f t="shared" si="108"/>
        <v>-1500</v>
      </c>
      <c r="AS54" s="18">
        <f t="shared" si="108"/>
        <v>-1500</v>
      </c>
      <c r="AT54" s="18">
        <f t="shared" si="108"/>
        <v>-1500</v>
      </c>
      <c r="AU54" s="18">
        <f t="shared" si="108"/>
        <v>-1500</v>
      </c>
      <c r="AV54" s="18">
        <f t="shared" si="108"/>
        <v>-1500</v>
      </c>
      <c r="AW54" s="18">
        <f t="shared" si="108"/>
        <v>-1500</v>
      </c>
      <c r="AX54" s="18">
        <f t="shared" si="108"/>
        <v>-1500</v>
      </c>
      <c r="AY54" s="18">
        <f t="shared" si="108"/>
        <v>-1500</v>
      </c>
      <c r="AZ54" s="18">
        <f t="shared" si="108"/>
        <v>-1500</v>
      </c>
      <c r="BA54" s="18">
        <f t="shared" si="108"/>
        <v>-1500</v>
      </c>
      <c r="BD54" s="18">
        <f t="shared" ref="BD54:BO54" si="109">-$B$54</f>
        <v>-1500</v>
      </c>
      <c r="BE54" s="18">
        <f t="shared" si="109"/>
        <v>-1500</v>
      </c>
      <c r="BF54" s="18">
        <f t="shared" si="109"/>
        <v>-1500</v>
      </c>
      <c r="BG54" s="18">
        <f t="shared" si="109"/>
        <v>-1500</v>
      </c>
      <c r="BH54" s="18">
        <f t="shared" si="109"/>
        <v>-1500</v>
      </c>
      <c r="BI54" s="18">
        <f t="shared" si="109"/>
        <v>-1500</v>
      </c>
      <c r="BJ54" s="18">
        <f t="shared" si="109"/>
        <v>-1500</v>
      </c>
      <c r="BK54" s="18">
        <f t="shared" si="109"/>
        <v>-1500</v>
      </c>
      <c r="BL54" s="18">
        <f t="shared" si="109"/>
        <v>-1500</v>
      </c>
      <c r="BM54" s="18">
        <f t="shared" si="109"/>
        <v>-1500</v>
      </c>
      <c r="BN54" s="18">
        <f t="shared" si="109"/>
        <v>-1500</v>
      </c>
      <c r="BO54" s="18">
        <f t="shared" si="109"/>
        <v>-1500</v>
      </c>
      <c r="BR54" s="18">
        <f t="shared" ref="BR54:CC54" si="110">-$B$54</f>
        <v>-1500</v>
      </c>
      <c r="BS54" s="18">
        <f t="shared" si="110"/>
        <v>-1500</v>
      </c>
      <c r="BT54" s="18">
        <f t="shared" si="110"/>
        <v>-1500</v>
      </c>
      <c r="BU54" s="18">
        <f t="shared" si="110"/>
        <v>-1500</v>
      </c>
      <c r="BV54" s="18">
        <f t="shared" si="110"/>
        <v>-1500</v>
      </c>
      <c r="BW54" s="18">
        <f t="shared" si="110"/>
        <v>-1500</v>
      </c>
      <c r="BX54" s="18">
        <f t="shared" si="110"/>
        <v>-1500</v>
      </c>
      <c r="BY54" s="18">
        <f t="shared" si="110"/>
        <v>-1500</v>
      </c>
      <c r="BZ54" s="18">
        <f t="shared" si="110"/>
        <v>-1500</v>
      </c>
      <c r="CA54" s="18">
        <f t="shared" si="110"/>
        <v>-1500</v>
      </c>
      <c r="CB54" s="18">
        <f t="shared" si="110"/>
        <v>-1500</v>
      </c>
      <c r="CC54" s="18">
        <f t="shared" si="110"/>
        <v>-1500</v>
      </c>
    </row>
    <row r="55" spans="1:81" ht="14.25" customHeight="1">
      <c r="A55" s="143" t="s">
        <v>629</v>
      </c>
      <c r="B55" s="146">
        <f>5600/12</f>
        <v>466.66666666666669</v>
      </c>
      <c r="C55" s="147">
        <f t="shared" si="85"/>
        <v>5600</v>
      </c>
      <c r="D55" s="148"/>
      <c r="E55" s="145"/>
      <c r="F55" s="144">
        <f t="shared" si="86"/>
        <v>-5600.0000000000009</v>
      </c>
      <c r="G55" s="144">
        <f t="shared" si="87"/>
        <v>-5600.0000000000009</v>
      </c>
      <c r="H55" s="144">
        <f t="shared" si="88"/>
        <v>-5600.0000000000009</v>
      </c>
      <c r="I55" s="144">
        <f t="shared" si="89"/>
        <v>-5600.0000000000009</v>
      </c>
      <c r="J55" s="144">
        <f t="shared" si="90"/>
        <v>-5600.0000000000009</v>
      </c>
      <c r="N55" s="18">
        <f>-$B$55</f>
        <v>-466.66666666666669</v>
      </c>
      <c r="O55" s="18">
        <f t="shared" ref="O55:Y55" si="111">-$B$55</f>
        <v>-466.66666666666669</v>
      </c>
      <c r="P55" s="18">
        <f t="shared" si="111"/>
        <v>-466.66666666666669</v>
      </c>
      <c r="Q55" s="18">
        <f t="shared" si="111"/>
        <v>-466.66666666666669</v>
      </c>
      <c r="R55" s="18">
        <f t="shared" si="111"/>
        <v>-466.66666666666669</v>
      </c>
      <c r="S55" s="18">
        <f t="shared" si="111"/>
        <v>-466.66666666666669</v>
      </c>
      <c r="T55" s="18">
        <f t="shared" si="111"/>
        <v>-466.66666666666669</v>
      </c>
      <c r="U55" s="18">
        <f t="shared" si="111"/>
        <v>-466.66666666666669</v>
      </c>
      <c r="V55" s="18">
        <f t="shared" si="111"/>
        <v>-466.66666666666669</v>
      </c>
      <c r="W55" s="18">
        <f t="shared" si="111"/>
        <v>-466.66666666666669</v>
      </c>
      <c r="X55" s="18">
        <f t="shared" si="111"/>
        <v>-466.66666666666669</v>
      </c>
      <c r="Y55" s="18">
        <f t="shared" si="111"/>
        <v>-466.66666666666669</v>
      </c>
      <c r="AB55" s="18">
        <f>-$B$55</f>
        <v>-466.66666666666669</v>
      </c>
      <c r="AC55" s="18">
        <f t="shared" ref="AC55:AM55" si="112">-$B$55</f>
        <v>-466.66666666666669</v>
      </c>
      <c r="AD55" s="18">
        <f t="shared" si="112"/>
        <v>-466.66666666666669</v>
      </c>
      <c r="AE55" s="18">
        <f t="shared" si="112"/>
        <v>-466.66666666666669</v>
      </c>
      <c r="AF55" s="18">
        <f t="shared" si="112"/>
        <v>-466.66666666666669</v>
      </c>
      <c r="AG55" s="18">
        <f t="shared" si="112"/>
        <v>-466.66666666666669</v>
      </c>
      <c r="AH55" s="18">
        <f t="shared" si="112"/>
        <v>-466.66666666666669</v>
      </c>
      <c r="AI55" s="18">
        <f t="shared" si="112"/>
        <v>-466.66666666666669</v>
      </c>
      <c r="AJ55" s="18">
        <f t="shared" si="112"/>
        <v>-466.66666666666669</v>
      </c>
      <c r="AK55" s="18">
        <f t="shared" si="112"/>
        <v>-466.66666666666669</v>
      </c>
      <c r="AL55" s="18">
        <f t="shared" si="112"/>
        <v>-466.66666666666669</v>
      </c>
      <c r="AM55" s="18">
        <f t="shared" si="112"/>
        <v>-466.66666666666669</v>
      </c>
      <c r="AP55" s="18">
        <f>-$B$55</f>
        <v>-466.66666666666669</v>
      </c>
      <c r="AQ55" s="18">
        <f t="shared" ref="AQ55:BA55" si="113">-$B$55</f>
        <v>-466.66666666666669</v>
      </c>
      <c r="AR55" s="18">
        <f t="shared" si="113"/>
        <v>-466.66666666666669</v>
      </c>
      <c r="AS55" s="18">
        <f t="shared" si="113"/>
        <v>-466.66666666666669</v>
      </c>
      <c r="AT55" s="18">
        <f t="shared" si="113"/>
        <v>-466.66666666666669</v>
      </c>
      <c r="AU55" s="18">
        <f t="shared" si="113"/>
        <v>-466.66666666666669</v>
      </c>
      <c r="AV55" s="18">
        <f t="shared" si="113"/>
        <v>-466.66666666666669</v>
      </c>
      <c r="AW55" s="18">
        <f t="shared" si="113"/>
        <v>-466.66666666666669</v>
      </c>
      <c r="AX55" s="18">
        <f t="shared" si="113"/>
        <v>-466.66666666666669</v>
      </c>
      <c r="AY55" s="18">
        <f t="shared" si="113"/>
        <v>-466.66666666666669</v>
      </c>
      <c r="AZ55" s="18">
        <f t="shared" si="113"/>
        <v>-466.66666666666669</v>
      </c>
      <c r="BA55" s="18">
        <f t="shared" si="113"/>
        <v>-466.66666666666669</v>
      </c>
      <c r="BD55" s="18">
        <f>-$B$55</f>
        <v>-466.66666666666669</v>
      </c>
      <c r="BE55" s="18">
        <f t="shared" ref="BE55:BO55" si="114">-$B$55</f>
        <v>-466.66666666666669</v>
      </c>
      <c r="BF55" s="18">
        <f t="shared" si="114"/>
        <v>-466.66666666666669</v>
      </c>
      <c r="BG55" s="18">
        <f t="shared" si="114"/>
        <v>-466.66666666666669</v>
      </c>
      <c r="BH55" s="18">
        <f t="shared" si="114"/>
        <v>-466.66666666666669</v>
      </c>
      <c r="BI55" s="18">
        <f t="shared" si="114"/>
        <v>-466.66666666666669</v>
      </c>
      <c r="BJ55" s="18">
        <f t="shared" si="114"/>
        <v>-466.66666666666669</v>
      </c>
      <c r="BK55" s="18">
        <f t="shared" si="114"/>
        <v>-466.66666666666669</v>
      </c>
      <c r="BL55" s="18">
        <f t="shared" si="114"/>
        <v>-466.66666666666669</v>
      </c>
      <c r="BM55" s="18">
        <f t="shared" si="114"/>
        <v>-466.66666666666669</v>
      </c>
      <c r="BN55" s="18">
        <f t="shared" si="114"/>
        <v>-466.66666666666669</v>
      </c>
      <c r="BO55" s="18">
        <f t="shared" si="114"/>
        <v>-466.66666666666669</v>
      </c>
      <c r="BR55" s="18">
        <f>-$B$55</f>
        <v>-466.66666666666669</v>
      </c>
      <c r="BS55" s="18">
        <f t="shared" ref="BS55:CC55" si="115">-$B$55</f>
        <v>-466.66666666666669</v>
      </c>
      <c r="BT55" s="18">
        <f t="shared" si="115"/>
        <v>-466.66666666666669</v>
      </c>
      <c r="BU55" s="18">
        <f t="shared" si="115"/>
        <v>-466.66666666666669</v>
      </c>
      <c r="BV55" s="18">
        <f t="shared" si="115"/>
        <v>-466.66666666666669</v>
      </c>
      <c r="BW55" s="18">
        <f t="shared" si="115"/>
        <v>-466.66666666666669</v>
      </c>
      <c r="BX55" s="18">
        <f t="shared" si="115"/>
        <v>-466.66666666666669</v>
      </c>
      <c r="BY55" s="18">
        <f t="shared" si="115"/>
        <v>-466.66666666666669</v>
      </c>
      <c r="BZ55" s="18">
        <f t="shared" si="115"/>
        <v>-466.66666666666669</v>
      </c>
      <c r="CA55" s="18">
        <f t="shared" si="115"/>
        <v>-466.66666666666669</v>
      </c>
      <c r="CB55" s="18">
        <f t="shared" si="115"/>
        <v>-466.66666666666669</v>
      </c>
      <c r="CC55" s="18">
        <f t="shared" si="115"/>
        <v>-466.66666666666669</v>
      </c>
    </row>
    <row r="56" spans="1:81" ht="14.25" customHeight="1">
      <c r="A56" s="143" t="s">
        <v>43</v>
      </c>
      <c r="B56" s="146">
        <v>1800</v>
      </c>
      <c r="C56" s="147">
        <f t="shared" si="85"/>
        <v>21600</v>
      </c>
      <c r="D56" s="145"/>
      <c r="E56" s="145"/>
      <c r="F56" s="144">
        <f t="shared" si="86"/>
        <v>-21600</v>
      </c>
      <c r="G56" s="144">
        <f t="shared" si="87"/>
        <v>-21600</v>
      </c>
      <c r="H56" s="144">
        <f t="shared" si="88"/>
        <v>-21600</v>
      </c>
      <c r="I56" s="144">
        <f t="shared" si="89"/>
        <v>-21600</v>
      </c>
      <c r="J56" s="144">
        <f t="shared" si="90"/>
        <v>-21600</v>
      </c>
      <c r="N56" s="18">
        <f t="shared" ref="N56:Y56" si="116">-$B$56</f>
        <v>-1800</v>
      </c>
      <c r="O56" s="18">
        <f t="shared" si="116"/>
        <v>-1800</v>
      </c>
      <c r="P56" s="18">
        <f t="shared" si="116"/>
        <v>-1800</v>
      </c>
      <c r="Q56" s="18">
        <f t="shared" si="116"/>
        <v>-1800</v>
      </c>
      <c r="R56" s="18">
        <f t="shared" si="116"/>
        <v>-1800</v>
      </c>
      <c r="S56" s="18">
        <f t="shared" si="116"/>
        <v>-1800</v>
      </c>
      <c r="T56" s="18">
        <f t="shared" si="116"/>
        <v>-1800</v>
      </c>
      <c r="U56" s="18">
        <f t="shared" si="116"/>
        <v>-1800</v>
      </c>
      <c r="V56" s="18">
        <f t="shared" si="116"/>
        <v>-1800</v>
      </c>
      <c r="W56" s="18">
        <f t="shared" si="116"/>
        <v>-1800</v>
      </c>
      <c r="X56" s="18">
        <f t="shared" si="116"/>
        <v>-1800</v>
      </c>
      <c r="Y56" s="18">
        <f t="shared" si="116"/>
        <v>-1800</v>
      </c>
      <c r="AB56" s="18">
        <f t="shared" ref="AB56:AM56" si="117">-$B$56</f>
        <v>-1800</v>
      </c>
      <c r="AC56" s="18">
        <f t="shared" si="117"/>
        <v>-1800</v>
      </c>
      <c r="AD56" s="18">
        <f t="shared" si="117"/>
        <v>-1800</v>
      </c>
      <c r="AE56" s="18">
        <f t="shared" si="117"/>
        <v>-1800</v>
      </c>
      <c r="AF56" s="18">
        <f t="shared" si="117"/>
        <v>-1800</v>
      </c>
      <c r="AG56" s="18">
        <f t="shared" si="117"/>
        <v>-1800</v>
      </c>
      <c r="AH56" s="18">
        <f t="shared" si="117"/>
        <v>-1800</v>
      </c>
      <c r="AI56" s="18">
        <f t="shared" si="117"/>
        <v>-1800</v>
      </c>
      <c r="AJ56" s="18">
        <f t="shared" si="117"/>
        <v>-1800</v>
      </c>
      <c r="AK56" s="18">
        <f t="shared" si="117"/>
        <v>-1800</v>
      </c>
      <c r="AL56" s="18">
        <f t="shared" si="117"/>
        <v>-1800</v>
      </c>
      <c r="AM56" s="18">
        <f t="shared" si="117"/>
        <v>-1800</v>
      </c>
      <c r="AP56" s="18">
        <f t="shared" ref="AP56:BA56" si="118">-$B$56</f>
        <v>-1800</v>
      </c>
      <c r="AQ56" s="18">
        <f t="shared" si="118"/>
        <v>-1800</v>
      </c>
      <c r="AR56" s="18">
        <f t="shared" si="118"/>
        <v>-1800</v>
      </c>
      <c r="AS56" s="18">
        <f t="shared" si="118"/>
        <v>-1800</v>
      </c>
      <c r="AT56" s="18">
        <f t="shared" si="118"/>
        <v>-1800</v>
      </c>
      <c r="AU56" s="18">
        <f t="shared" si="118"/>
        <v>-1800</v>
      </c>
      <c r="AV56" s="18">
        <f t="shared" si="118"/>
        <v>-1800</v>
      </c>
      <c r="AW56" s="18">
        <f t="shared" si="118"/>
        <v>-1800</v>
      </c>
      <c r="AX56" s="18">
        <f t="shared" si="118"/>
        <v>-1800</v>
      </c>
      <c r="AY56" s="18">
        <f t="shared" si="118"/>
        <v>-1800</v>
      </c>
      <c r="AZ56" s="18">
        <f t="shared" si="118"/>
        <v>-1800</v>
      </c>
      <c r="BA56" s="18">
        <f t="shared" si="118"/>
        <v>-1800</v>
      </c>
      <c r="BD56" s="18">
        <f t="shared" ref="BD56:BO56" si="119">-$B$56</f>
        <v>-1800</v>
      </c>
      <c r="BE56" s="18">
        <f t="shared" si="119"/>
        <v>-1800</v>
      </c>
      <c r="BF56" s="18">
        <f t="shared" si="119"/>
        <v>-1800</v>
      </c>
      <c r="BG56" s="18">
        <f t="shared" si="119"/>
        <v>-1800</v>
      </c>
      <c r="BH56" s="18">
        <f t="shared" si="119"/>
        <v>-1800</v>
      </c>
      <c r="BI56" s="18">
        <f t="shared" si="119"/>
        <v>-1800</v>
      </c>
      <c r="BJ56" s="18">
        <f t="shared" si="119"/>
        <v>-1800</v>
      </c>
      <c r="BK56" s="18">
        <f t="shared" si="119"/>
        <v>-1800</v>
      </c>
      <c r="BL56" s="18">
        <f t="shared" si="119"/>
        <v>-1800</v>
      </c>
      <c r="BM56" s="18">
        <f t="shared" si="119"/>
        <v>-1800</v>
      </c>
      <c r="BN56" s="18">
        <f t="shared" si="119"/>
        <v>-1800</v>
      </c>
      <c r="BO56" s="18">
        <f t="shared" si="119"/>
        <v>-1800</v>
      </c>
      <c r="BR56" s="18">
        <f t="shared" ref="BR56:CC56" si="120">-$B$56</f>
        <v>-1800</v>
      </c>
      <c r="BS56" s="18">
        <f t="shared" si="120"/>
        <v>-1800</v>
      </c>
      <c r="BT56" s="18">
        <f t="shared" si="120"/>
        <v>-1800</v>
      </c>
      <c r="BU56" s="18">
        <f t="shared" si="120"/>
        <v>-1800</v>
      </c>
      <c r="BV56" s="18">
        <f t="shared" si="120"/>
        <v>-1800</v>
      </c>
      <c r="BW56" s="18">
        <f t="shared" si="120"/>
        <v>-1800</v>
      </c>
      <c r="BX56" s="18">
        <f t="shared" si="120"/>
        <v>-1800</v>
      </c>
      <c r="BY56" s="18">
        <f t="shared" si="120"/>
        <v>-1800</v>
      </c>
      <c r="BZ56" s="18">
        <f t="shared" si="120"/>
        <v>-1800</v>
      </c>
      <c r="CA56" s="18">
        <f t="shared" si="120"/>
        <v>-1800</v>
      </c>
      <c r="CB56" s="18">
        <f t="shared" si="120"/>
        <v>-1800</v>
      </c>
      <c r="CC56" s="18">
        <f t="shared" si="120"/>
        <v>-1800</v>
      </c>
    </row>
    <row r="57" spans="1:81" ht="14.25" customHeight="1">
      <c r="A57" s="7"/>
      <c r="B57" s="3"/>
      <c r="C57" s="8"/>
      <c r="F57" s="18"/>
      <c r="G57" s="18"/>
      <c r="H57" s="18"/>
      <c r="I57" s="18"/>
      <c r="J57" s="18"/>
      <c r="N57" s="18"/>
      <c r="O57" s="18"/>
      <c r="P57" s="18"/>
      <c r="Q57" s="18"/>
      <c r="R57" s="18"/>
      <c r="S57" s="18"/>
      <c r="T57" s="18"/>
      <c r="U57" s="18"/>
      <c r="V57" s="18"/>
      <c r="W57" s="18"/>
      <c r="X57" s="18"/>
      <c r="Y57" s="18"/>
      <c r="AB57" s="18"/>
      <c r="AC57" s="18"/>
      <c r="AD57" s="18"/>
      <c r="AE57" s="18"/>
      <c r="AF57" s="18"/>
      <c r="AG57" s="18"/>
      <c r="AH57" s="18"/>
      <c r="AI57" s="18"/>
      <c r="AJ57" s="18"/>
      <c r="AK57" s="18"/>
      <c r="AL57" s="18"/>
      <c r="AM57" s="18"/>
      <c r="AP57" s="18"/>
      <c r="AQ57" s="18"/>
      <c r="AR57" s="18"/>
      <c r="AS57" s="18"/>
      <c r="AT57" s="18"/>
      <c r="AU57" s="18"/>
      <c r="AV57" s="18"/>
      <c r="AW57" s="18"/>
      <c r="AX57" s="18"/>
      <c r="AY57" s="18"/>
      <c r="AZ57" s="18"/>
      <c r="BA57" s="18"/>
      <c r="BD57" s="18"/>
      <c r="BE57" s="18"/>
      <c r="BF57" s="18"/>
      <c r="BG57" s="18"/>
      <c r="BH57" s="18"/>
      <c r="BI57" s="18"/>
      <c r="BJ57" s="18"/>
      <c r="BK57" s="18"/>
      <c r="BL57" s="18"/>
      <c r="BM57" s="18"/>
      <c r="BN57" s="18"/>
      <c r="BO57" s="18"/>
      <c r="BR57" s="18"/>
      <c r="BS57" s="18"/>
      <c r="BT57" s="18"/>
      <c r="BU57" s="18"/>
      <c r="BV57" s="18"/>
      <c r="BW57" s="18"/>
      <c r="BX57" s="18"/>
      <c r="BY57" s="18"/>
      <c r="BZ57" s="18"/>
      <c r="CA57" s="18"/>
      <c r="CB57" s="18"/>
      <c r="CC57" s="18"/>
    </row>
    <row r="58" spans="1:81" ht="14.25" customHeight="1">
      <c r="A58" s="7"/>
      <c r="B58" s="13" t="s">
        <v>675</v>
      </c>
      <c r="C58" s="8"/>
      <c r="F58" s="18"/>
      <c r="G58" s="18"/>
      <c r="H58" s="18"/>
      <c r="I58" s="18"/>
      <c r="J58" s="18"/>
      <c r="N58" s="18"/>
      <c r="O58" s="18"/>
      <c r="P58" s="18"/>
      <c r="Q58" s="18"/>
      <c r="R58" s="18"/>
      <c r="S58" s="18"/>
      <c r="T58" s="18"/>
      <c r="U58" s="18"/>
      <c r="V58" s="18"/>
      <c r="W58" s="18"/>
      <c r="X58" s="18"/>
      <c r="Y58" s="18"/>
      <c r="AB58" s="18"/>
      <c r="AC58" s="18"/>
      <c r="AD58" s="18"/>
      <c r="AE58" s="18"/>
      <c r="AF58" s="18"/>
      <c r="AG58" s="18"/>
      <c r="AH58" s="18"/>
      <c r="AI58" s="18"/>
      <c r="AJ58" s="18"/>
      <c r="AK58" s="18"/>
      <c r="AL58" s="18"/>
      <c r="AM58" s="18"/>
      <c r="AP58" s="18"/>
      <c r="AQ58" s="18"/>
      <c r="AR58" s="18"/>
      <c r="AS58" s="18"/>
      <c r="AT58" s="18"/>
      <c r="AU58" s="18"/>
      <c r="AV58" s="18"/>
      <c r="AW58" s="18"/>
      <c r="AX58" s="18"/>
      <c r="AY58" s="18"/>
      <c r="AZ58" s="18"/>
      <c r="BA58" s="18"/>
      <c r="BD58" s="18"/>
      <c r="BE58" s="18"/>
      <c r="BF58" s="18"/>
      <c r="BG58" s="18"/>
      <c r="BH58" s="18"/>
      <c r="BI58" s="18"/>
      <c r="BJ58" s="18"/>
      <c r="BK58" s="18"/>
      <c r="BL58" s="18"/>
      <c r="BM58" s="18"/>
      <c r="BN58" s="18"/>
      <c r="BO58" s="18"/>
      <c r="BR58" s="18"/>
      <c r="BS58" s="18"/>
      <c r="BT58" s="18"/>
      <c r="BU58" s="18"/>
      <c r="BV58" s="18"/>
      <c r="BW58" s="18"/>
      <c r="BX58" s="18"/>
      <c r="BY58" s="18"/>
      <c r="BZ58" s="18"/>
      <c r="CA58" s="18"/>
      <c r="CB58" s="18"/>
      <c r="CC58" s="18"/>
    </row>
    <row r="59" spans="1:81" ht="14.25" customHeight="1">
      <c r="A59" s="201" t="s">
        <v>711</v>
      </c>
      <c r="B59" s="134">
        <v>0.3</v>
      </c>
      <c r="C59" s="8"/>
      <c r="F59" s="18"/>
      <c r="G59" s="18"/>
      <c r="H59" s="18"/>
      <c r="I59" s="18"/>
      <c r="J59" s="18"/>
      <c r="N59" s="18">
        <f>-$B59*SUM(N$24:N$26)</f>
        <v>-3759.406779661017</v>
      </c>
      <c r="O59" s="18">
        <f t="shared" ref="O59:Y61" si="121">-$B59*SUM(O$24:O$26)</f>
        <v>-3395.5932203389825</v>
      </c>
      <c r="P59" s="18">
        <f t="shared" si="121"/>
        <v>-3759.406779661017</v>
      </c>
      <c r="Q59" s="18">
        <f t="shared" si="121"/>
        <v>-4547.6694915254238</v>
      </c>
      <c r="R59" s="18">
        <f t="shared" si="121"/>
        <v>-4709.3644067796604</v>
      </c>
      <c r="S59" s="18">
        <f t="shared" si="121"/>
        <v>-4547.6694915254238</v>
      </c>
      <c r="T59" s="18">
        <f t="shared" si="121"/>
        <v>-5639.110169491526</v>
      </c>
      <c r="U59" s="18">
        <f t="shared" si="121"/>
        <v>-5639.110169491526</v>
      </c>
      <c r="V59" s="18">
        <f t="shared" si="121"/>
        <v>-5457.2033898305081</v>
      </c>
      <c r="W59" s="18">
        <f t="shared" si="121"/>
        <v>-7518.8135593220341</v>
      </c>
      <c r="X59" s="18">
        <f t="shared" si="121"/>
        <v>-7276.2711864406783</v>
      </c>
      <c r="Y59" s="18">
        <f t="shared" si="121"/>
        <v>-7518.8135593220341</v>
      </c>
      <c r="AB59" s="18">
        <f t="shared" ref="AB59:AM61" si="122">-$B59*SUM(AB$24:AB$26)</f>
        <v>-7518.8135593220341</v>
      </c>
      <c r="AC59" s="18">
        <f t="shared" si="122"/>
        <v>-6791.186440677965</v>
      </c>
      <c r="AD59" s="18">
        <f t="shared" si="122"/>
        <v>-7518.8135593220341</v>
      </c>
      <c r="AE59" s="18">
        <f t="shared" si="122"/>
        <v>-9095.3389830508477</v>
      </c>
      <c r="AF59" s="18">
        <f t="shared" si="122"/>
        <v>-9398.5169491525412</v>
      </c>
      <c r="AG59" s="18">
        <f t="shared" si="122"/>
        <v>-9095.3389830508477</v>
      </c>
      <c r="AH59" s="18">
        <f t="shared" si="122"/>
        <v>-10348.474576271186</v>
      </c>
      <c r="AI59" s="18">
        <f t="shared" si="122"/>
        <v>-10348.474576271186</v>
      </c>
      <c r="AJ59" s="18">
        <f t="shared" si="122"/>
        <v>-10004.87288135593</v>
      </c>
      <c r="AK59" s="18">
        <f t="shared" si="122"/>
        <v>-11278.220338983052</v>
      </c>
      <c r="AL59" s="18">
        <f t="shared" si="122"/>
        <v>-10914.406779661016</v>
      </c>
      <c r="AM59" s="18">
        <f t="shared" si="122"/>
        <v>-11278.220338983052</v>
      </c>
      <c r="AP59" s="18">
        <f t="shared" ref="AP59:BA61" si="123">-$B59*SUM(AP$24:AP$26)</f>
        <v>-11278.220338983052</v>
      </c>
      <c r="AQ59" s="18">
        <f t="shared" si="123"/>
        <v>-10186.77966101695</v>
      </c>
      <c r="AR59" s="18">
        <f t="shared" si="123"/>
        <v>-11278.220338983052</v>
      </c>
      <c r="AS59" s="18">
        <f t="shared" si="123"/>
        <v>-10914.406779661016</v>
      </c>
      <c r="AT59" s="18">
        <f t="shared" si="123"/>
        <v>-11278.220338983052</v>
      </c>
      <c r="AU59" s="18">
        <f t="shared" si="123"/>
        <v>-10914.406779661016</v>
      </c>
      <c r="AV59" s="18">
        <f t="shared" si="123"/>
        <v>-11278.220338983052</v>
      </c>
      <c r="AW59" s="18">
        <f t="shared" si="123"/>
        <v>-11278.220338983052</v>
      </c>
      <c r="AX59" s="18">
        <f t="shared" si="123"/>
        <v>-10914.406779661016</v>
      </c>
      <c r="AY59" s="18">
        <f t="shared" si="123"/>
        <v>-11278.220338983052</v>
      </c>
      <c r="AZ59" s="18">
        <f t="shared" si="123"/>
        <v>-10914.406779661016</v>
      </c>
      <c r="BA59" s="18">
        <f t="shared" si="123"/>
        <v>-11278.220338983052</v>
      </c>
      <c r="BD59" s="18">
        <f t="shared" ref="BD59:BO61" si="124">-$B59*SUM(BD$24:BD$26)</f>
        <v>-11278.220338983052</v>
      </c>
      <c r="BE59" s="18">
        <f t="shared" si="124"/>
        <v>-10186.77966101695</v>
      </c>
      <c r="BF59" s="18">
        <f t="shared" si="124"/>
        <v>-11278.220338983052</v>
      </c>
      <c r="BG59" s="18">
        <f t="shared" si="124"/>
        <v>-10914.406779661016</v>
      </c>
      <c r="BH59" s="18">
        <f t="shared" si="124"/>
        <v>-11278.220338983052</v>
      </c>
      <c r="BI59" s="18">
        <f t="shared" si="124"/>
        <v>-10914.406779661016</v>
      </c>
      <c r="BJ59" s="18">
        <f t="shared" si="124"/>
        <v>-11278.220338983052</v>
      </c>
      <c r="BK59" s="18">
        <f t="shared" si="124"/>
        <v>-11278.220338983052</v>
      </c>
      <c r="BL59" s="18">
        <f t="shared" si="124"/>
        <v>-10914.406779661016</v>
      </c>
      <c r="BM59" s="18">
        <f t="shared" si="124"/>
        <v>-11278.220338983052</v>
      </c>
      <c r="BN59" s="18">
        <f t="shared" si="124"/>
        <v>-10914.406779661016</v>
      </c>
      <c r="BO59" s="18">
        <f t="shared" si="124"/>
        <v>-11278.220338983052</v>
      </c>
      <c r="BR59" s="18">
        <f t="shared" ref="BR59:CC61" si="125">-$B59*SUM(BR$24:BR$26)</f>
        <v>-11278.220338983052</v>
      </c>
      <c r="BS59" s="18">
        <f t="shared" si="125"/>
        <v>-10186.77966101695</v>
      </c>
      <c r="BT59" s="18">
        <f t="shared" si="125"/>
        <v>-11278.220338983052</v>
      </c>
      <c r="BU59" s="18">
        <f t="shared" si="125"/>
        <v>-10914.406779661016</v>
      </c>
      <c r="BV59" s="18">
        <f t="shared" si="125"/>
        <v>-11278.220338983052</v>
      </c>
      <c r="BW59" s="18">
        <f t="shared" si="125"/>
        <v>-10914.406779661016</v>
      </c>
      <c r="BX59" s="18">
        <f t="shared" si="125"/>
        <v>-11278.220338983052</v>
      </c>
      <c r="BY59" s="18">
        <f t="shared" si="125"/>
        <v>-11278.220338983052</v>
      </c>
      <c r="BZ59" s="18">
        <f t="shared" si="125"/>
        <v>-10914.406779661016</v>
      </c>
      <c r="CA59" s="18">
        <f t="shared" si="125"/>
        <v>-11278.220338983052</v>
      </c>
      <c r="CB59" s="18">
        <f t="shared" si="125"/>
        <v>-10914.406779661016</v>
      </c>
      <c r="CC59" s="18">
        <f t="shared" si="125"/>
        <v>-11278.220338983052</v>
      </c>
    </row>
    <row r="60" spans="1:81" ht="14.25" customHeight="1">
      <c r="A60" s="201" t="s">
        <v>706</v>
      </c>
      <c r="B60" s="134">
        <v>0.3</v>
      </c>
      <c r="C60" s="8"/>
      <c r="F60" s="18"/>
      <c r="G60" s="18"/>
      <c r="H60" s="18"/>
      <c r="I60" s="18"/>
      <c r="J60" s="18"/>
      <c r="N60" s="18">
        <f>-$B60*SUM(N$24:N$26)</f>
        <v>-3759.406779661017</v>
      </c>
      <c r="O60" s="18">
        <f t="shared" si="121"/>
        <v>-3395.5932203389825</v>
      </c>
      <c r="P60" s="18">
        <f t="shared" si="121"/>
        <v>-3759.406779661017</v>
      </c>
      <c r="Q60" s="18">
        <f t="shared" si="121"/>
        <v>-4547.6694915254238</v>
      </c>
      <c r="R60" s="18">
        <f t="shared" si="121"/>
        <v>-4709.3644067796604</v>
      </c>
      <c r="S60" s="18">
        <f t="shared" si="121"/>
        <v>-4547.6694915254238</v>
      </c>
      <c r="T60" s="18">
        <f t="shared" si="121"/>
        <v>-5639.110169491526</v>
      </c>
      <c r="U60" s="18">
        <f t="shared" si="121"/>
        <v>-5639.110169491526</v>
      </c>
      <c r="V60" s="18">
        <f t="shared" si="121"/>
        <v>-5457.2033898305081</v>
      </c>
      <c r="W60" s="18">
        <f t="shared" si="121"/>
        <v>-7518.8135593220341</v>
      </c>
      <c r="X60" s="18">
        <f t="shared" si="121"/>
        <v>-7276.2711864406783</v>
      </c>
      <c r="Y60" s="18">
        <f t="shared" si="121"/>
        <v>-7518.8135593220341</v>
      </c>
      <c r="AB60" s="18">
        <f t="shared" si="122"/>
        <v>-7518.8135593220341</v>
      </c>
      <c r="AC60" s="18">
        <f t="shared" si="122"/>
        <v>-6791.186440677965</v>
      </c>
      <c r="AD60" s="18">
        <f t="shared" si="122"/>
        <v>-7518.8135593220341</v>
      </c>
      <c r="AE60" s="18">
        <f t="shared" si="122"/>
        <v>-9095.3389830508477</v>
      </c>
      <c r="AF60" s="18">
        <f t="shared" si="122"/>
        <v>-9398.5169491525412</v>
      </c>
      <c r="AG60" s="18">
        <f t="shared" si="122"/>
        <v>-9095.3389830508477</v>
      </c>
      <c r="AH60" s="18">
        <f t="shared" si="122"/>
        <v>-10348.474576271186</v>
      </c>
      <c r="AI60" s="18">
        <f t="shared" si="122"/>
        <v>-10348.474576271186</v>
      </c>
      <c r="AJ60" s="18">
        <f t="shared" si="122"/>
        <v>-10004.87288135593</v>
      </c>
      <c r="AK60" s="18">
        <f t="shared" si="122"/>
        <v>-11278.220338983052</v>
      </c>
      <c r="AL60" s="18">
        <f t="shared" si="122"/>
        <v>-10914.406779661016</v>
      </c>
      <c r="AM60" s="18">
        <f t="shared" si="122"/>
        <v>-11278.220338983052</v>
      </c>
      <c r="AP60" s="18">
        <f t="shared" si="123"/>
        <v>-11278.220338983052</v>
      </c>
      <c r="AQ60" s="18">
        <f t="shared" si="123"/>
        <v>-10186.77966101695</v>
      </c>
      <c r="AR60" s="18">
        <f t="shared" si="123"/>
        <v>-11278.220338983052</v>
      </c>
      <c r="AS60" s="18">
        <f t="shared" si="123"/>
        <v>-10914.406779661016</v>
      </c>
      <c r="AT60" s="18">
        <f t="shared" si="123"/>
        <v>-11278.220338983052</v>
      </c>
      <c r="AU60" s="18">
        <f t="shared" si="123"/>
        <v>-10914.406779661016</v>
      </c>
      <c r="AV60" s="18">
        <f t="shared" si="123"/>
        <v>-11278.220338983052</v>
      </c>
      <c r="AW60" s="18">
        <f t="shared" si="123"/>
        <v>-11278.220338983052</v>
      </c>
      <c r="AX60" s="18">
        <f t="shared" si="123"/>
        <v>-10914.406779661016</v>
      </c>
      <c r="AY60" s="18">
        <f t="shared" si="123"/>
        <v>-11278.220338983052</v>
      </c>
      <c r="AZ60" s="18">
        <f t="shared" si="123"/>
        <v>-10914.406779661016</v>
      </c>
      <c r="BA60" s="18">
        <f t="shared" si="123"/>
        <v>-11278.220338983052</v>
      </c>
      <c r="BD60" s="18">
        <f t="shared" si="124"/>
        <v>-11278.220338983052</v>
      </c>
      <c r="BE60" s="18">
        <f t="shared" si="124"/>
        <v>-10186.77966101695</v>
      </c>
      <c r="BF60" s="18">
        <f t="shared" si="124"/>
        <v>-11278.220338983052</v>
      </c>
      <c r="BG60" s="18">
        <f t="shared" si="124"/>
        <v>-10914.406779661016</v>
      </c>
      <c r="BH60" s="18">
        <f t="shared" si="124"/>
        <v>-11278.220338983052</v>
      </c>
      <c r="BI60" s="18">
        <f t="shared" si="124"/>
        <v>-10914.406779661016</v>
      </c>
      <c r="BJ60" s="18">
        <f t="shared" si="124"/>
        <v>-11278.220338983052</v>
      </c>
      <c r="BK60" s="18">
        <f t="shared" si="124"/>
        <v>-11278.220338983052</v>
      </c>
      <c r="BL60" s="18">
        <f t="shared" si="124"/>
        <v>-10914.406779661016</v>
      </c>
      <c r="BM60" s="18">
        <f t="shared" si="124"/>
        <v>-11278.220338983052</v>
      </c>
      <c r="BN60" s="18">
        <f t="shared" si="124"/>
        <v>-10914.406779661016</v>
      </c>
      <c r="BO60" s="18">
        <f t="shared" si="124"/>
        <v>-11278.220338983052</v>
      </c>
      <c r="BR60" s="18">
        <f t="shared" si="125"/>
        <v>-11278.220338983052</v>
      </c>
      <c r="BS60" s="18">
        <f t="shared" si="125"/>
        <v>-10186.77966101695</v>
      </c>
      <c r="BT60" s="18">
        <f t="shared" si="125"/>
        <v>-11278.220338983052</v>
      </c>
      <c r="BU60" s="18">
        <f t="shared" si="125"/>
        <v>-10914.406779661016</v>
      </c>
      <c r="BV60" s="18">
        <f t="shared" si="125"/>
        <v>-11278.220338983052</v>
      </c>
      <c r="BW60" s="18">
        <f t="shared" si="125"/>
        <v>-10914.406779661016</v>
      </c>
      <c r="BX60" s="18">
        <f t="shared" si="125"/>
        <v>-11278.220338983052</v>
      </c>
      <c r="BY60" s="18">
        <f t="shared" si="125"/>
        <v>-11278.220338983052</v>
      </c>
      <c r="BZ60" s="18">
        <f t="shared" si="125"/>
        <v>-10914.406779661016</v>
      </c>
      <c r="CA60" s="18">
        <f t="shared" si="125"/>
        <v>-11278.220338983052</v>
      </c>
      <c r="CB60" s="18">
        <f t="shared" si="125"/>
        <v>-10914.406779661016</v>
      </c>
      <c r="CC60" s="18">
        <f t="shared" si="125"/>
        <v>-11278.220338983052</v>
      </c>
    </row>
    <row r="61" spans="1:81" ht="14.25" customHeight="1">
      <c r="A61" s="201" t="s">
        <v>708</v>
      </c>
      <c r="B61" s="134">
        <v>0.3</v>
      </c>
      <c r="C61" s="8"/>
      <c r="F61" s="18"/>
      <c r="G61" s="18"/>
      <c r="H61" s="18"/>
      <c r="I61" s="18"/>
      <c r="J61" s="18"/>
      <c r="N61" s="18">
        <f>-$B61*SUM(N$24:N$26)</f>
        <v>-3759.406779661017</v>
      </c>
      <c r="O61" s="18">
        <f t="shared" si="121"/>
        <v>-3395.5932203389825</v>
      </c>
      <c r="P61" s="18">
        <f t="shared" si="121"/>
        <v>-3759.406779661017</v>
      </c>
      <c r="Q61" s="18">
        <f t="shared" si="121"/>
        <v>-4547.6694915254238</v>
      </c>
      <c r="R61" s="18">
        <f t="shared" si="121"/>
        <v>-4709.3644067796604</v>
      </c>
      <c r="S61" s="18">
        <f t="shared" si="121"/>
        <v>-4547.6694915254238</v>
      </c>
      <c r="T61" s="18">
        <f t="shared" si="121"/>
        <v>-5639.110169491526</v>
      </c>
      <c r="U61" s="18">
        <f t="shared" si="121"/>
        <v>-5639.110169491526</v>
      </c>
      <c r="V61" s="18">
        <f t="shared" si="121"/>
        <v>-5457.2033898305081</v>
      </c>
      <c r="W61" s="18">
        <f t="shared" si="121"/>
        <v>-7518.8135593220341</v>
      </c>
      <c r="X61" s="18">
        <f t="shared" si="121"/>
        <v>-7276.2711864406783</v>
      </c>
      <c r="Y61" s="18">
        <f t="shared" si="121"/>
        <v>-7518.8135593220341</v>
      </c>
      <c r="AB61" s="18">
        <f t="shared" si="122"/>
        <v>-7518.8135593220341</v>
      </c>
      <c r="AC61" s="18">
        <f t="shared" si="122"/>
        <v>-6791.186440677965</v>
      </c>
      <c r="AD61" s="18">
        <f t="shared" si="122"/>
        <v>-7518.8135593220341</v>
      </c>
      <c r="AE61" s="18">
        <f t="shared" si="122"/>
        <v>-9095.3389830508477</v>
      </c>
      <c r="AF61" s="18">
        <f t="shared" si="122"/>
        <v>-9398.5169491525412</v>
      </c>
      <c r="AG61" s="18">
        <f t="shared" si="122"/>
        <v>-9095.3389830508477</v>
      </c>
      <c r="AH61" s="18">
        <f t="shared" si="122"/>
        <v>-10348.474576271186</v>
      </c>
      <c r="AI61" s="18">
        <f t="shared" si="122"/>
        <v>-10348.474576271186</v>
      </c>
      <c r="AJ61" s="18">
        <f t="shared" si="122"/>
        <v>-10004.87288135593</v>
      </c>
      <c r="AK61" s="18">
        <f t="shared" si="122"/>
        <v>-11278.220338983052</v>
      </c>
      <c r="AL61" s="18">
        <f t="shared" si="122"/>
        <v>-10914.406779661016</v>
      </c>
      <c r="AM61" s="18">
        <f t="shared" si="122"/>
        <v>-11278.220338983052</v>
      </c>
      <c r="AP61" s="18">
        <f t="shared" si="123"/>
        <v>-11278.220338983052</v>
      </c>
      <c r="AQ61" s="18">
        <f t="shared" si="123"/>
        <v>-10186.77966101695</v>
      </c>
      <c r="AR61" s="18">
        <f t="shared" si="123"/>
        <v>-11278.220338983052</v>
      </c>
      <c r="AS61" s="18">
        <f t="shared" si="123"/>
        <v>-10914.406779661016</v>
      </c>
      <c r="AT61" s="18">
        <f t="shared" si="123"/>
        <v>-11278.220338983052</v>
      </c>
      <c r="AU61" s="18">
        <f t="shared" si="123"/>
        <v>-10914.406779661016</v>
      </c>
      <c r="AV61" s="18">
        <f t="shared" si="123"/>
        <v>-11278.220338983052</v>
      </c>
      <c r="AW61" s="18">
        <f t="shared" si="123"/>
        <v>-11278.220338983052</v>
      </c>
      <c r="AX61" s="18">
        <f t="shared" si="123"/>
        <v>-10914.406779661016</v>
      </c>
      <c r="AY61" s="18">
        <f t="shared" si="123"/>
        <v>-11278.220338983052</v>
      </c>
      <c r="AZ61" s="18">
        <f t="shared" si="123"/>
        <v>-10914.406779661016</v>
      </c>
      <c r="BA61" s="18">
        <f t="shared" si="123"/>
        <v>-11278.220338983052</v>
      </c>
      <c r="BD61" s="18">
        <f t="shared" si="124"/>
        <v>-11278.220338983052</v>
      </c>
      <c r="BE61" s="18">
        <f t="shared" si="124"/>
        <v>-10186.77966101695</v>
      </c>
      <c r="BF61" s="18">
        <f t="shared" si="124"/>
        <v>-11278.220338983052</v>
      </c>
      <c r="BG61" s="18">
        <f t="shared" si="124"/>
        <v>-10914.406779661016</v>
      </c>
      <c r="BH61" s="18">
        <f t="shared" si="124"/>
        <v>-11278.220338983052</v>
      </c>
      <c r="BI61" s="18">
        <f t="shared" si="124"/>
        <v>-10914.406779661016</v>
      </c>
      <c r="BJ61" s="18">
        <f t="shared" si="124"/>
        <v>-11278.220338983052</v>
      </c>
      <c r="BK61" s="18">
        <f t="shared" si="124"/>
        <v>-11278.220338983052</v>
      </c>
      <c r="BL61" s="18">
        <f t="shared" si="124"/>
        <v>-10914.406779661016</v>
      </c>
      <c r="BM61" s="18">
        <f t="shared" si="124"/>
        <v>-11278.220338983052</v>
      </c>
      <c r="BN61" s="18">
        <f t="shared" si="124"/>
        <v>-10914.406779661016</v>
      </c>
      <c r="BO61" s="18">
        <f t="shared" si="124"/>
        <v>-11278.220338983052</v>
      </c>
      <c r="BR61" s="18">
        <f t="shared" si="125"/>
        <v>-11278.220338983052</v>
      </c>
      <c r="BS61" s="18">
        <f t="shared" si="125"/>
        <v>-10186.77966101695</v>
      </c>
      <c r="BT61" s="18">
        <f t="shared" si="125"/>
        <v>-11278.220338983052</v>
      </c>
      <c r="BU61" s="18">
        <f t="shared" si="125"/>
        <v>-10914.406779661016</v>
      </c>
      <c r="BV61" s="18">
        <f t="shared" si="125"/>
        <v>-11278.220338983052</v>
      </c>
      <c r="BW61" s="18">
        <f t="shared" si="125"/>
        <v>-10914.406779661016</v>
      </c>
      <c r="BX61" s="18">
        <f t="shared" si="125"/>
        <v>-11278.220338983052</v>
      </c>
      <c r="BY61" s="18">
        <f t="shared" si="125"/>
        <v>-11278.220338983052</v>
      </c>
      <c r="BZ61" s="18">
        <f t="shared" si="125"/>
        <v>-10914.406779661016</v>
      </c>
      <c r="CA61" s="18">
        <f t="shared" si="125"/>
        <v>-11278.220338983052</v>
      </c>
      <c r="CB61" s="18">
        <f t="shared" si="125"/>
        <v>-10914.406779661016</v>
      </c>
      <c r="CC61" s="18">
        <f t="shared" si="125"/>
        <v>-11278.220338983052</v>
      </c>
    </row>
    <row r="62" spans="1:81" ht="14.25" customHeight="1">
      <c r="A62" s="143" t="s">
        <v>699</v>
      </c>
      <c r="B62" s="144"/>
      <c r="C62" s="145"/>
      <c r="D62" s="145"/>
      <c r="E62" s="145"/>
      <c r="F62" s="144">
        <f>SUM(N59:Y61)</f>
        <v>-191305.29661016949</v>
      </c>
      <c r="G62" s="144">
        <f>SUM(AB59:AM61)</f>
        <v>-340772.03389830509</v>
      </c>
      <c r="H62" s="144">
        <f>SUM(AP59:BA61)</f>
        <v>-398375.84745762718</v>
      </c>
      <c r="I62" s="144">
        <f>SUM(BD59:BO61)</f>
        <v>-398375.84745762718</v>
      </c>
      <c r="J62" s="144">
        <f>SUM(BR59:CC61)</f>
        <v>-398375.84745762718</v>
      </c>
      <c r="N62" s="18"/>
      <c r="O62" s="18"/>
      <c r="P62" s="18"/>
      <c r="Q62" s="18"/>
      <c r="R62" s="18"/>
      <c r="S62" s="18"/>
      <c r="T62" s="18"/>
      <c r="U62" s="18"/>
      <c r="V62" s="18"/>
      <c r="W62" s="18"/>
      <c r="X62" s="18"/>
      <c r="Y62" s="18"/>
      <c r="AB62" s="18"/>
      <c r="AC62" s="18"/>
      <c r="AD62" s="18"/>
      <c r="AE62" s="18"/>
      <c r="AF62" s="18"/>
      <c r="AG62" s="18"/>
      <c r="AH62" s="18"/>
      <c r="AI62" s="18"/>
      <c r="AJ62" s="18"/>
      <c r="AK62" s="18"/>
      <c r="AL62" s="18"/>
      <c r="AM62" s="18"/>
      <c r="AP62" s="18"/>
      <c r="AQ62" s="18"/>
      <c r="AR62" s="18"/>
      <c r="AS62" s="18"/>
      <c r="AT62" s="18"/>
      <c r="AU62" s="18"/>
      <c r="AV62" s="18"/>
      <c r="AW62" s="18"/>
      <c r="AX62" s="18"/>
      <c r="AY62" s="18"/>
      <c r="AZ62" s="18"/>
      <c r="BA62" s="18"/>
      <c r="BD62" s="18"/>
      <c r="BE62" s="18"/>
      <c r="BF62" s="18"/>
      <c r="BG62" s="18"/>
      <c r="BH62" s="18"/>
      <c r="BI62" s="18"/>
      <c r="BJ62" s="18"/>
      <c r="BK62" s="18"/>
      <c r="BL62" s="18"/>
      <c r="BM62" s="18"/>
      <c r="BN62" s="18"/>
      <c r="BO62" s="18"/>
      <c r="BR62" s="18"/>
      <c r="BS62" s="18"/>
      <c r="BT62" s="18"/>
      <c r="BU62" s="18"/>
      <c r="BV62" s="18"/>
      <c r="BW62" s="18"/>
      <c r="BX62" s="18"/>
      <c r="BY62" s="18"/>
      <c r="BZ62" s="18"/>
      <c r="CA62" s="18"/>
      <c r="CB62" s="18"/>
      <c r="CC62" s="18"/>
    </row>
    <row r="63" spans="1:81" ht="14.25" customHeight="1">
      <c r="A63" s="7"/>
      <c r="B63" s="3"/>
      <c r="C63" s="8"/>
      <c r="F63" s="18"/>
      <c r="G63" s="18"/>
      <c r="H63" s="18"/>
      <c r="I63" s="18"/>
      <c r="J63" s="18"/>
      <c r="N63" s="18"/>
      <c r="O63" s="18"/>
      <c r="P63" s="18"/>
      <c r="Q63" s="18"/>
      <c r="R63" s="18"/>
      <c r="S63" s="18"/>
      <c r="T63" s="18"/>
      <c r="U63" s="18"/>
      <c r="V63" s="18"/>
      <c r="W63" s="18"/>
      <c r="X63" s="18"/>
      <c r="Y63" s="18"/>
      <c r="AB63" s="18"/>
      <c r="AC63" s="18"/>
      <c r="AD63" s="18"/>
      <c r="AE63" s="18"/>
      <c r="AF63" s="18"/>
      <c r="AG63" s="18"/>
      <c r="AH63" s="18"/>
      <c r="AI63" s="18"/>
      <c r="AJ63" s="18"/>
      <c r="AK63" s="18"/>
      <c r="AL63" s="18"/>
      <c r="AM63" s="18"/>
      <c r="AP63" s="18"/>
      <c r="AQ63" s="18"/>
      <c r="AR63" s="18"/>
      <c r="AS63" s="18"/>
      <c r="AT63" s="18"/>
      <c r="AU63" s="18"/>
      <c r="AV63" s="18"/>
      <c r="AW63" s="18"/>
      <c r="AX63" s="18"/>
      <c r="AY63" s="18"/>
      <c r="AZ63" s="18"/>
      <c r="BA63" s="18"/>
      <c r="BD63" s="18"/>
      <c r="BE63" s="18"/>
      <c r="BF63" s="18"/>
      <c r="BG63" s="18"/>
      <c r="BH63" s="18"/>
      <c r="BI63" s="18"/>
      <c r="BJ63" s="18"/>
      <c r="BK63" s="18"/>
      <c r="BL63" s="18"/>
      <c r="BM63" s="18"/>
      <c r="BN63" s="18"/>
      <c r="BO63" s="18"/>
      <c r="BR63" s="18"/>
      <c r="BS63" s="18"/>
      <c r="BT63" s="18"/>
      <c r="BU63" s="18"/>
      <c r="BV63" s="18"/>
      <c r="BW63" s="18"/>
      <c r="BX63" s="18"/>
      <c r="BY63" s="18"/>
      <c r="BZ63" s="18"/>
      <c r="CA63" s="18"/>
      <c r="CB63" s="18"/>
      <c r="CC63" s="18"/>
    </row>
    <row r="64" spans="1:81" ht="14.25" customHeight="1">
      <c r="A64" s="7"/>
      <c r="B64" s="3"/>
      <c r="C64" s="8"/>
      <c r="F64" s="18"/>
      <c r="G64" s="18"/>
      <c r="H64" s="18"/>
      <c r="I64" s="18"/>
      <c r="J64" s="18"/>
      <c r="N64" s="18"/>
      <c r="O64" s="18"/>
      <c r="P64" s="18"/>
      <c r="Q64" s="18"/>
      <c r="R64" s="18"/>
      <c r="S64" s="18"/>
      <c r="T64" s="18"/>
      <c r="U64" s="18"/>
      <c r="V64" s="18"/>
      <c r="W64" s="18"/>
      <c r="X64" s="18"/>
      <c r="Y64" s="18"/>
      <c r="AB64" s="18"/>
      <c r="AC64" s="18"/>
      <c r="AD64" s="18"/>
      <c r="AE64" s="18"/>
      <c r="AF64" s="18"/>
      <c r="AG64" s="18"/>
      <c r="AH64" s="18"/>
      <c r="AI64" s="18"/>
      <c r="AJ64" s="18"/>
      <c r="AK64" s="18"/>
      <c r="AL64" s="18"/>
      <c r="AM64" s="18"/>
      <c r="AP64" s="18"/>
      <c r="AQ64" s="18"/>
      <c r="AR64" s="18"/>
      <c r="AS64" s="18"/>
      <c r="AT64" s="18"/>
      <c r="AU64" s="18"/>
      <c r="AV64" s="18"/>
      <c r="AW64" s="18"/>
      <c r="AX64" s="18"/>
      <c r="AY64" s="18"/>
      <c r="AZ64" s="18"/>
      <c r="BA64" s="18"/>
      <c r="BD64" s="18"/>
      <c r="BE64" s="18"/>
      <c r="BF64" s="18"/>
      <c r="BG64" s="18"/>
      <c r="BH64" s="18"/>
      <c r="BI64" s="18"/>
      <c r="BJ64" s="18"/>
      <c r="BK64" s="18"/>
      <c r="BL64" s="18"/>
      <c r="BM64" s="18"/>
      <c r="BN64" s="18"/>
      <c r="BO64" s="18"/>
      <c r="BR64" s="18"/>
      <c r="BS64" s="18"/>
      <c r="BT64" s="18"/>
      <c r="BU64" s="18"/>
      <c r="BV64" s="18"/>
      <c r="BW64" s="18"/>
      <c r="BX64" s="18"/>
      <c r="BY64" s="18"/>
      <c r="BZ64" s="18"/>
      <c r="CA64" s="18"/>
      <c r="CB64" s="18"/>
      <c r="CC64" s="18"/>
    </row>
    <row r="65" spans="1:81" ht="14.25" customHeight="1">
      <c r="A65" s="156" t="s">
        <v>625</v>
      </c>
      <c r="B65" s="146"/>
      <c r="C65" s="147"/>
      <c r="D65" s="145"/>
      <c r="E65" s="157">
        <f>-CAPEX!D34</f>
        <v>-459999.99999999977</v>
      </c>
      <c r="F65" s="157"/>
      <c r="G65" s="157"/>
      <c r="H65" s="157"/>
      <c r="I65" s="157"/>
      <c r="J65" s="157">
        <f>+CAPEX!H24</f>
        <v>8517.2280294231514</v>
      </c>
      <c r="N65" s="18"/>
      <c r="O65" s="18"/>
      <c r="P65" s="18"/>
      <c r="Q65" s="18"/>
      <c r="R65" s="18"/>
      <c r="S65" s="18"/>
      <c r="T65" s="18"/>
      <c r="U65" s="18"/>
      <c r="V65" s="18"/>
      <c r="W65" s="18"/>
      <c r="X65" s="18"/>
      <c r="Y65" s="18"/>
      <c r="AB65" s="18"/>
      <c r="AC65" s="18"/>
      <c r="AD65" s="18"/>
      <c r="AE65" s="18"/>
      <c r="AF65" s="18"/>
      <c r="AG65" s="18"/>
      <c r="AH65" s="18"/>
      <c r="AI65" s="18"/>
      <c r="AJ65" s="18"/>
      <c r="AK65" s="18"/>
      <c r="AL65" s="18"/>
      <c r="AM65" s="18"/>
      <c r="AP65" s="18"/>
      <c r="AQ65" s="18"/>
      <c r="AR65" s="18"/>
      <c r="AS65" s="18"/>
      <c r="AT65" s="18"/>
      <c r="AU65" s="18"/>
      <c r="AV65" s="18"/>
      <c r="AW65" s="18"/>
      <c r="AX65" s="18"/>
      <c r="AY65" s="18"/>
      <c r="AZ65" s="18"/>
      <c r="BA65" s="18"/>
      <c r="BD65" s="18"/>
      <c r="BE65" s="18"/>
      <c r="BF65" s="18"/>
      <c r="BG65" s="18"/>
      <c r="BH65" s="18"/>
      <c r="BI65" s="18"/>
      <c r="BJ65" s="18"/>
      <c r="BK65" s="18"/>
      <c r="BL65" s="18"/>
      <c r="BM65" s="18"/>
      <c r="BN65" s="18"/>
      <c r="BO65" s="18"/>
      <c r="BR65" s="18"/>
      <c r="BS65" s="18"/>
      <c r="BT65" s="18"/>
      <c r="BU65" s="18"/>
      <c r="BV65" s="18"/>
      <c r="BW65" s="18"/>
      <c r="BX65" s="18"/>
      <c r="BY65" s="18"/>
      <c r="BZ65" s="18"/>
      <c r="CA65" s="18"/>
      <c r="CB65" s="18"/>
      <c r="CC65" s="18"/>
    </row>
    <row r="66" spans="1:81" ht="14.25" customHeight="1">
      <c r="A66" s="156" t="s">
        <v>677</v>
      </c>
      <c r="B66" s="146"/>
      <c r="C66" s="147"/>
      <c r="D66" s="145"/>
      <c r="E66" s="144"/>
      <c r="F66" s="144">
        <f>SUM(N66:Y66)</f>
        <v>0</v>
      </c>
      <c r="G66" s="144"/>
      <c r="H66" s="144"/>
      <c r="I66" s="144"/>
      <c r="J66" s="144"/>
      <c r="N66" s="141">
        <v>40000</v>
      </c>
      <c r="O66" s="141"/>
      <c r="P66" s="141"/>
      <c r="Q66" s="141"/>
      <c r="R66" s="141"/>
      <c r="S66" s="141"/>
      <c r="T66" s="141"/>
      <c r="U66" s="141"/>
      <c r="V66" s="141"/>
      <c r="W66" s="141"/>
      <c r="X66" s="141"/>
      <c r="Y66" s="141">
        <f>-$N$66</f>
        <v>-40000</v>
      </c>
      <c r="AB66" s="18"/>
      <c r="AC66" s="18"/>
      <c r="AD66" s="18"/>
      <c r="AE66" s="18"/>
      <c r="AF66" s="18"/>
      <c r="AG66" s="18"/>
      <c r="AH66" s="18"/>
      <c r="AI66" s="18"/>
      <c r="AJ66" s="18"/>
      <c r="AK66" s="18"/>
      <c r="AL66" s="18"/>
      <c r="AM66" s="18"/>
      <c r="AP66" s="18"/>
      <c r="AQ66" s="18"/>
      <c r="AR66" s="18"/>
      <c r="AS66" s="18"/>
      <c r="AT66" s="18"/>
      <c r="AU66" s="18"/>
      <c r="AV66" s="18"/>
      <c r="AW66" s="18"/>
      <c r="AX66" s="18"/>
      <c r="AY66" s="18"/>
      <c r="AZ66" s="18"/>
      <c r="BA66" s="18"/>
      <c r="BD66" s="18"/>
      <c r="BE66" s="18"/>
      <c r="BF66" s="18"/>
      <c r="BG66" s="18"/>
      <c r="BH66" s="18"/>
      <c r="BI66" s="18"/>
      <c r="BJ66" s="18"/>
      <c r="BK66" s="18"/>
      <c r="BL66" s="18"/>
      <c r="BM66" s="18"/>
      <c r="BN66" s="18"/>
      <c r="BO66" s="18"/>
      <c r="BR66" s="18"/>
      <c r="BS66" s="18"/>
      <c r="BT66" s="18"/>
      <c r="BU66" s="18"/>
      <c r="BV66" s="18"/>
      <c r="BW66" s="18"/>
      <c r="BX66" s="18"/>
      <c r="BY66" s="18"/>
      <c r="BZ66" s="18"/>
      <c r="CA66" s="18"/>
      <c r="CB66" s="18"/>
      <c r="CC66" s="18"/>
    </row>
    <row r="67" spans="1:81" ht="14.25" customHeight="1">
      <c r="A67" s="156" t="s">
        <v>678</v>
      </c>
      <c r="B67" s="146"/>
      <c r="C67" s="147"/>
      <c r="D67" s="145"/>
      <c r="E67" s="144"/>
      <c r="F67" s="144">
        <f>SUM(N67:Y67)</f>
        <v>-7466.6666666666679</v>
      </c>
      <c r="G67" s="144"/>
      <c r="H67" s="144"/>
      <c r="I67" s="144"/>
      <c r="J67" s="144"/>
      <c r="N67" s="131"/>
      <c r="O67" s="18"/>
      <c r="P67" s="18">
        <f>-$N$66*$B$73/3</f>
        <v>-1866.666666666667</v>
      </c>
      <c r="Q67" s="18"/>
      <c r="R67" s="18"/>
      <c r="S67" s="18">
        <f>-$N$66*$B$73/3</f>
        <v>-1866.666666666667</v>
      </c>
      <c r="T67" s="18"/>
      <c r="U67" s="18"/>
      <c r="V67" s="18">
        <f>-$N$66*$B$73/3</f>
        <v>-1866.666666666667</v>
      </c>
      <c r="W67" s="18"/>
      <c r="X67" s="18"/>
      <c r="Y67" s="18">
        <f>-$N$66*$B$73/3</f>
        <v>-1866.666666666667</v>
      </c>
      <c r="AB67" s="18"/>
      <c r="AC67" s="18"/>
      <c r="AD67" s="18"/>
      <c r="AE67" s="18"/>
      <c r="AF67" s="18"/>
      <c r="AG67" s="18"/>
      <c r="AH67" s="18"/>
      <c r="AI67" s="18"/>
      <c r="AJ67" s="18"/>
      <c r="AK67" s="18"/>
      <c r="AL67" s="18"/>
      <c r="AM67" s="18"/>
      <c r="AP67" s="18"/>
      <c r="AQ67" s="18"/>
      <c r="AR67" s="18"/>
      <c r="AS67" s="18"/>
      <c r="AT67" s="18"/>
      <c r="AU67" s="18"/>
      <c r="AV67" s="18"/>
      <c r="AW67" s="18"/>
      <c r="AX67" s="18"/>
      <c r="AY67" s="18"/>
      <c r="AZ67" s="18"/>
      <c r="BA67" s="18"/>
      <c r="BD67" s="18"/>
      <c r="BE67" s="18"/>
      <c r="BF67" s="18"/>
      <c r="BG67" s="18"/>
      <c r="BH67" s="18"/>
      <c r="BI67" s="18"/>
      <c r="BJ67" s="18"/>
      <c r="BK67" s="18"/>
      <c r="BL67" s="18"/>
      <c r="BM67" s="18"/>
      <c r="BN67" s="18"/>
      <c r="BO67" s="18"/>
      <c r="BR67" s="18"/>
      <c r="BS67" s="18"/>
      <c r="BT67" s="18"/>
      <c r="BU67" s="18"/>
      <c r="BV67" s="18"/>
      <c r="BW67" s="18"/>
      <c r="BX67" s="18"/>
      <c r="BY67" s="18"/>
      <c r="BZ67" s="18"/>
      <c r="CA67" s="18"/>
      <c r="CB67" s="18"/>
      <c r="CC67" s="18"/>
    </row>
    <row r="68" spans="1:81" ht="14.25" customHeight="1">
      <c r="A68" s="156" t="s">
        <v>679</v>
      </c>
      <c r="B68" s="158"/>
      <c r="C68" s="151">
        <v>1550</v>
      </c>
      <c r="D68" s="147"/>
      <c r="E68" s="145"/>
      <c r="F68" s="159">
        <f>SUM(N68:Y68)</f>
        <v>-13950</v>
      </c>
      <c r="G68" s="159">
        <f>SUM(AB68:AM68)</f>
        <v>-23250</v>
      </c>
      <c r="H68" s="159">
        <f>SUM(AP68:BA68)</f>
        <v>-18600</v>
      </c>
      <c r="I68" s="159">
        <f>SUM(BD68:BO68)</f>
        <v>-18600</v>
      </c>
      <c r="J68" s="159">
        <f>SUM(BR68:CC68)</f>
        <v>-18600</v>
      </c>
      <c r="N68" s="18"/>
      <c r="O68" s="18"/>
      <c r="P68" s="18">
        <f>-$C68*3</f>
        <v>-4650</v>
      </c>
      <c r="Q68" s="18"/>
      <c r="R68" s="18"/>
      <c r="S68" s="18">
        <f>-$C68*3</f>
        <v>-4650</v>
      </c>
      <c r="T68" s="18"/>
      <c r="U68" s="18"/>
      <c r="V68" s="18">
        <f>-$C68*3</f>
        <v>-4650</v>
      </c>
      <c r="W68" s="18"/>
      <c r="X68" s="18"/>
      <c r="Y68" s="18"/>
      <c r="Z68" s="18"/>
      <c r="AA68" s="18"/>
      <c r="AB68" s="18">
        <f>-$C68*3</f>
        <v>-4650</v>
      </c>
      <c r="AC68" s="18"/>
      <c r="AD68" s="18">
        <f>-$C68*3</f>
        <v>-4650</v>
      </c>
      <c r="AE68" s="18"/>
      <c r="AF68" s="18"/>
      <c r="AG68" s="18">
        <f>-$C68*3</f>
        <v>-4650</v>
      </c>
      <c r="AH68" s="18"/>
      <c r="AI68" s="18"/>
      <c r="AJ68" s="18">
        <f>-$C68*3</f>
        <v>-4650</v>
      </c>
      <c r="AK68" s="18"/>
      <c r="AL68" s="18"/>
      <c r="AM68" s="18">
        <f>-$C68*3</f>
        <v>-4650</v>
      </c>
      <c r="AP68" s="18"/>
      <c r="AQ68" s="18"/>
      <c r="AR68" s="18">
        <f>-$C68*3</f>
        <v>-4650</v>
      </c>
      <c r="AS68" s="18"/>
      <c r="AT68" s="18"/>
      <c r="AU68" s="18">
        <f>-$C68*3</f>
        <v>-4650</v>
      </c>
      <c r="AV68" s="18"/>
      <c r="AW68" s="18"/>
      <c r="AX68" s="18">
        <f>-$C68*3</f>
        <v>-4650</v>
      </c>
      <c r="AY68" s="18"/>
      <c r="AZ68" s="18"/>
      <c r="BA68" s="18">
        <f>-$C68*3</f>
        <v>-4650</v>
      </c>
      <c r="BD68" s="18"/>
      <c r="BE68" s="18"/>
      <c r="BF68" s="18">
        <f>-$C68*3</f>
        <v>-4650</v>
      </c>
      <c r="BG68" s="18"/>
      <c r="BH68" s="18"/>
      <c r="BI68" s="18">
        <f>-$C68*3</f>
        <v>-4650</v>
      </c>
      <c r="BJ68" s="18"/>
      <c r="BK68" s="18"/>
      <c r="BL68" s="18">
        <f>-$C68*3</f>
        <v>-4650</v>
      </c>
      <c r="BM68" s="18"/>
      <c r="BN68" s="18"/>
      <c r="BO68" s="18">
        <f>-$C68*3</f>
        <v>-4650</v>
      </c>
      <c r="BR68" s="18"/>
      <c r="BS68" s="18"/>
      <c r="BT68" s="18">
        <f>-$C68*3</f>
        <v>-4650</v>
      </c>
      <c r="BU68" s="18"/>
      <c r="BV68" s="18"/>
      <c r="BW68" s="18">
        <f>-$C68*3</f>
        <v>-4650</v>
      </c>
      <c r="BX68" s="18"/>
      <c r="BY68" s="18"/>
      <c r="BZ68" s="18">
        <f>-$C68*3</f>
        <v>-4650</v>
      </c>
      <c r="CA68" s="18"/>
      <c r="CB68" s="18"/>
      <c r="CC68" s="18">
        <f>-$C68*3</f>
        <v>-4650</v>
      </c>
    </row>
    <row r="69" spans="1:81" ht="14.25" customHeight="1">
      <c r="A69" s="171" t="s">
        <v>683</v>
      </c>
      <c r="B69" s="146"/>
      <c r="C69" s="147"/>
      <c r="D69" s="145"/>
      <c r="E69" s="144"/>
      <c r="F69" s="144"/>
      <c r="G69" s="144"/>
      <c r="H69" s="144"/>
      <c r="I69" s="144"/>
      <c r="J69" s="170">
        <f>SUM(F68:J68)*1</f>
        <v>-93000</v>
      </c>
      <c r="N69" s="131"/>
      <c r="O69" s="18"/>
      <c r="P69" s="18"/>
      <c r="Q69" s="18"/>
      <c r="R69" s="18"/>
      <c r="S69" s="18"/>
      <c r="T69" s="18"/>
      <c r="U69" s="18"/>
      <c r="V69" s="18"/>
      <c r="W69" s="18"/>
      <c r="X69" s="18"/>
      <c r="Y69" s="18"/>
      <c r="AB69" s="18"/>
      <c r="AC69" s="18"/>
      <c r="AD69" s="18"/>
      <c r="AE69" s="18"/>
      <c r="AF69" s="18"/>
      <c r="AG69" s="18"/>
      <c r="AH69" s="18"/>
      <c r="AI69" s="18"/>
      <c r="AJ69" s="18"/>
      <c r="AK69" s="18"/>
      <c r="AL69" s="18"/>
      <c r="AM69" s="18"/>
      <c r="AP69" s="18"/>
      <c r="AQ69" s="18"/>
      <c r="AR69" s="18"/>
      <c r="AS69" s="18"/>
      <c r="AT69" s="18"/>
      <c r="AU69" s="18"/>
      <c r="AV69" s="18"/>
      <c r="AW69" s="18"/>
      <c r="AX69" s="18"/>
      <c r="AY69" s="18"/>
      <c r="AZ69" s="18"/>
      <c r="BA69" s="18"/>
      <c r="BD69" s="18"/>
      <c r="BE69" s="18"/>
      <c r="BF69" s="18"/>
      <c r="BG69" s="18"/>
      <c r="BH69" s="18"/>
      <c r="BI69" s="18"/>
      <c r="BJ69" s="18"/>
      <c r="BK69" s="18"/>
      <c r="BL69" s="18"/>
      <c r="BM69" s="18"/>
      <c r="BN69" s="18"/>
      <c r="BO69" s="18"/>
      <c r="BR69" s="18"/>
      <c r="BS69" s="18"/>
      <c r="BT69" s="18"/>
      <c r="BU69" s="18"/>
      <c r="BV69" s="18"/>
      <c r="BW69" s="18"/>
      <c r="BX69" s="18"/>
      <c r="BY69" s="18"/>
      <c r="BZ69" s="18"/>
      <c r="CA69" s="18"/>
      <c r="CB69" s="18"/>
      <c r="CC69" s="18"/>
    </row>
    <row r="70" spans="1:81" ht="14.25" customHeight="1">
      <c r="A70" s="162"/>
      <c r="B70" s="3"/>
      <c r="C70" s="8"/>
      <c r="E70" s="18"/>
      <c r="F70" s="18"/>
      <c r="G70" s="18"/>
      <c r="H70" s="18"/>
      <c r="I70" s="18"/>
      <c r="J70" s="163"/>
      <c r="N70" s="131"/>
      <c r="O70" s="18"/>
      <c r="P70" s="18"/>
      <c r="Q70" s="18"/>
      <c r="R70" s="18"/>
      <c r="S70" s="18"/>
      <c r="T70" s="18"/>
      <c r="U70" s="18"/>
      <c r="V70" s="18"/>
      <c r="W70" s="18"/>
      <c r="X70" s="18"/>
      <c r="Y70" s="18"/>
      <c r="AB70" s="18"/>
      <c r="AC70" s="18"/>
      <c r="AD70" s="18"/>
      <c r="AE70" s="18"/>
      <c r="AF70" s="18"/>
      <c r="AG70" s="18"/>
      <c r="AH70" s="18"/>
      <c r="AI70" s="18"/>
      <c r="AJ70" s="18"/>
      <c r="AK70" s="18"/>
      <c r="AL70" s="18"/>
      <c r="AM70" s="18"/>
      <c r="AP70" s="18"/>
      <c r="AQ70" s="18"/>
      <c r="AR70" s="18"/>
      <c r="AS70" s="18"/>
      <c r="AT70" s="18"/>
      <c r="AU70" s="18"/>
      <c r="AV70" s="18"/>
      <c r="AW70" s="18"/>
      <c r="AX70" s="18"/>
      <c r="AY70" s="18"/>
      <c r="AZ70" s="18"/>
      <c r="BA70" s="18"/>
      <c r="BD70" s="18"/>
      <c r="BE70" s="18"/>
      <c r="BF70" s="18"/>
      <c r="BG70" s="18"/>
      <c r="BH70" s="18"/>
      <c r="BI70" s="18"/>
      <c r="BJ70" s="18"/>
      <c r="BK70" s="18"/>
      <c r="BL70" s="18"/>
      <c r="BM70" s="18"/>
      <c r="BN70" s="18"/>
      <c r="BO70" s="18"/>
      <c r="BR70" s="18"/>
      <c r="BS70" s="18"/>
      <c r="BT70" s="18"/>
      <c r="BU70" s="18"/>
      <c r="BV70" s="18"/>
      <c r="BW70" s="18"/>
      <c r="BX70" s="18"/>
      <c r="BY70" s="18"/>
      <c r="BZ70" s="18"/>
      <c r="CA70" s="18"/>
      <c r="CB70" s="18"/>
      <c r="CC70" s="18"/>
    </row>
    <row r="71" spans="1:81" ht="14.25" customHeight="1">
      <c r="A71" s="168" t="s">
        <v>700</v>
      </c>
      <c r="B71" s="3"/>
      <c r="C71" s="8"/>
      <c r="E71" s="18"/>
      <c r="F71" s="18">
        <f>-F29</f>
        <v>-87984.533898305075</v>
      </c>
      <c r="G71" s="18">
        <f t="shared" ref="G71:J71" si="126">-G29</f>
        <v>-156725.08474576272</v>
      </c>
      <c r="H71" s="18">
        <f t="shared" si="126"/>
        <v>-183236.18644067796</v>
      </c>
      <c r="I71" s="18">
        <f t="shared" si="126"/>
        <v>-183236.18644067796</v>
      </c>
      <c r="J71" s="18">
        <f t="shared" si="126"/>
        <v>-183236.18644067796</v>
      </c>
      <c r="N71" s="18">
        <f t="shared" ref="N71:Y71" si="127">-N29</f>
        <v>-5187.5084745762715</v>
      </c>
      <c r="O71" s="18">
        <f t="shared" si="127"/>
        <v>-4685.4915254237285</v>
      </c>
      <c r="P71" s="18">
        <f t="shared" si="127"/>
        <v>-5187.5084745762715</v>
      </c>
      <c r="Q71" s="18">
        <f t="shared" si="127"/>
        <v>-6275.2118644067796</v>
      </c>
      <c r="R71" s="18">
        <f t="shared" si="127"/>
        <v>-6490.4491525423728</v>
      </c>
      <c r="S71" s="18">
        <f t="shared" si="127"/>
        <v>-6275.2118644067796</v>
      </c>
      <c r="T71" s="18">
        <f t="shared" si="127"/>
        <v>-7781.2627118644059</v>
      </c>
      <c r="U71" s="18">
        <f t="shared" si="127"/>
        <v>-7781.2627118644059</v>
      </c>
      <c r="V71" s="18">
        <f t="shared" si="127"/>
        <v>-7530.2542372881353</v>
      </c>
      <c r="W71" s="18">
        <f t="shared" si="127"/>
        <v>-10375.016949152543</v>
      </c>
      <c r="X71" s="18">
        <f t="shared" si="127"/>
        <v>-10040.338983050849</v>
      </c>
      <c r="Y71" s="18">
        <f t="shared" si="127"/>
        <v>-10375.016949152543</v>
      </c>
      <c r="AB71" s="18">
        <f>-AB29</f>
        <v>-10375.016949152543</v>
      </c>
      <c r="AC71" s="18">
        <f t="shared" ref="AC71:AM71" si="128">-AC29</f>
        <v>-9370.983050847457</v>
      </c>
      <c r="AD71" s="18">
        <f t="shared" si="128"/>
        <v>-10375.016949152543</v>
      </c>
      <c r="AE71" s="18">
        <f t="shared" si="128"/>
        <v>-12550.423728813559</v>
      </c>
      <c r="AF71" s="18">
        <f t="shared" si="128"/>
        <v>-12968.771186440677</v>
      </c>
      <c r="AG71" s="18">
        <f t="shared" si="128"/>
        <v>-12550.423728813559</v>
      </c>
      <c r="AH71" s="18">
        <f t="shared" si="128"/>
        <v>-14271.71186440678</v>
      </c>
      <c r="AI71" s="18">
        <f t="shared" si="128"/>
        <v>-14271.71186440678</v>
      </c>
      <c r="AJ71" s="18">
        <f t="shared" si="128"/>
        <v>-13805.466101694916</v>
      </c>
      <c r="AK71" s="18">
        <f t="shared" si="128"/>
        <v>-15562.525423728812</v>
      </c>
      <c r="AL71" s="18">
        <f t="shared" si="128"/>
        <v>-15060.508474576271</v>
      </c>
      <c r="AM71" s="18">
        <f t="shared" si="128"/>
        <v>-15562.525423728812</v>
      </c>
      <c r="AP71" s="18">
        <f>-AP29</f>
        <v>-15562.525423728812</v>
      </c>
      <c r="AQ71" s="18">
        <f t="shared" ref="AQ71:BA71" si="129">-AQ29</f>
        <v>-14056.474576271185</v>
      </c>
      <c r="AR71" s="18">
        <f t="shared" si="129"/>
        <v>-15562.525423728812</v>
      </c>
      <c r="AS71" s="18">
        <f t="shared" si="129"/>
        <v>-15060.508474576271</v>
      </c>
      <c r="AT71" s="18">
        <f t="shared" si="129"/>
        <v>-15562.525423728812</v>
      </c>
      <c r="AU71" s="18">
        <f t="shared" si="129"/>
        <v>-15060.508474576271</v>
      </c>
      <c r="AV71" s="18">
        <f t="shared" si="129"/>
        <v>-15562.525423728812</v>
      </c>
      <c r="AW71" s="18">
        <f t="shared" si="129"/>
        <v>-15562.525423728812</v>
      </c>
      <c r="AX71" s="18">
        <f t="shared" si="129"/>
        <v>-15060.508474576271</v>
      </c>
      <c r="AY71" s="18">
        <f t="shared" si="129"/>
        <v>-15562.525423728812</v>
      </c>
      <c r="AZ71" s="18">
        <f t="shared" si="129"/>
        <v>-15060.508474576271</v>
      </c>
      <c r="BA71" s="18">
        <f t="shared" si="129"/>
        <v>-15562.525423728812</v>
      </c>
      <c r="BD71" s="18">
        <f>-BD29</f>
        <v>-15562.525423728812</v>
      </c>
      <c r="BE71" s="18">
        <f t="shared" ref="BE71:BO71" si="130">-BE29</f>
        <v>-14056.474576271185</v>
      </c>
      <c r="BF71" s="18">
        <f t="shared" si="130"/>
        <v>-15562.525423728812</v>
      </c>
      <c r="BG71" s="18">
        <f t="shared" si="130"/>
        <v>-15060.508474576271</v>
      </c>
      <c r="BH71" s="18">
        <f t="shared" si="130"/>
        <v>-15562.525423728812</v>
      </c>
      <c r="BI71" s="18">
        <f t="shared" si="130"/>
        <v>-15060.508474576271</v>
      </c>
      <c r="BJ71" s="18">
        <f t="shared" si="130"/>
        <v>-15562.525423728812</v>
      </c>
      <c r="BK71" s="18">
        <f t="shared" si="130"/>
        <v>-15562.525423728812</v>
      </c>
      <c r="BL71" s="18">
        <f t="shared" si="130"/>
        <v>-15060.508474576271</v>
      </c>
      <c r="BM71" s="18">
        <f t="shared" si="130"/>
        <v>-15562.525423728812</v>
      </c>
      <c r="BN71" s="18">
        <f t="shared" si="130"/>
        <v>-15060.508474576271</v>
      </c>
      <c r="BO71" s="18">
        <f t="shared" si="130"/>
        <v>-15562.525423728812</v>
      </c>
      <c r="BR71" s="18">
        <f>-BR29</f>
        <v>-15562.525423728812</v>
      </c>
      <c r="BS71" s="18">
        <f t="shared" ref="BS71:CC71" si="131">-BS29</f>
        <v>-14056.474576271185</v>
      </c>
      <c r="BT71" s="18">
        <f t="shared" si="131"/>
        <v>-15562.525423728812</v>
      </c>
      <c r="BU71" s="18">
        <f t="shared" si="131"/>
        <v>-15060.508474576271</v>
      </c>
      <c r="BV71" s="18">
        <f t="shared" si="131"/>
        <v>-15562.525423728812</v>
      </c>
      <c r="BW71" s="18">
        <f t="shared" si="131"/>
        <v>-15060.508474576271</v>
      </c>
      <c r="BX71" s="18">
        <f t="shared" si="131"/>
        <v>-15562.525423728812</v>
      </c>
      <c r="BY71" s="18">
        <f t="shared" si="131"/>
        <v>-15562.525423728812</v>
      </c>
      <c r="BZ71" s="18">
        <f t="shared" si="131"/>
        <v>-15060.508474576271</v>
      </c>
      <c r="CA71" s="18">
        <f t="shared" si="131"/>
        <v>-15562.525423728812</v>
      </c>
      <c r="CB71" s="18">
        <f t="shared" si="131"/>
        <v>-15060.508474576271</v>
      </c>
      <c r="CC71" s="18">
        <f t="shared" si="131"/>
        <v>-15562.525423728812</v>
      </c>
    </row>
    <row r="72" spans="1:81" ht="14.25" customHeight="1">
      <c r="A72" s="162"/>
      <c r="B72" s="3"/>
      <c r="C72" s="8"/>
      <c r="E72" s="18"/>
      <c r="F72" s="18"/>
      <c r="G72" s="18"/>
      <c r="H72" s="18"/>
      <c r="I72" s="18"/>
      <c r="J72" s="163"/>
      <c r="N72" s="131"/>
      <c r="O72" s="18"/>
      <c r="P72" s="18"/>
      <c r="Q72" s="18"/>
      <c r="R72" s="18"/>
      <c r="S72" s="18"/>
      <c r="T72" s="18"/>
      <c r="U72" s="18"/>
      <c r="V72" s="18"/>
      <c r="W72" s="18"/>
      <c r="X72" s="18"/>
      <c r="Y72" s="18"/>
      <c r="AB72" s="18"/>
      <c r="AC72" s="18"/>
      <c r="AD72" s="18"/>
      <c r="AE72" s="18"/>
      <c r="AF72" s="18"/>
      <c r="AG72" s="18"/>
      <c r="AH72" s="18"/>
      <c r="AI72" s="18"/>
      <c r="AJ72" s="18"/>
      <c r="AK72" s="18"/>
      <c r="AL72" s="18"/>
      <c r="AM72" s="18"/>
      <c r="AP72" s="18"/>
      <c r="AQ72" s="18"/>
      <c r="AR72" s="18"/>
      <c r="AS72" s="18"/>
      <c r="AT72" s="18"/>
      <c r="AU72" s="18"/>
      <c r="AV72" s="18"/>
      <c r="AW72" s="18"/>
      <c r="AX72" s="18"/>
      <c r="AY72" s="18"/>
      <c r="AZ72" s="18"/>
      <c r="BA72" s="18"/>
      <c r="BD72" s="18"/>
      <c r="BE72" s="18"/>
      <c r="BF72" s="18"/>
      <c r="BG72" s="18"/>
      <c r="BH72" s="18"/>
      <c r="BI72" s="18"/>
      <c r="BJ72" s="18"/>
      <c r="BK72" s="18"/>
      <c r="BL72" s="18"/>
      <c r="BM72" s="18"/>
      <c r="BN72" s="18"/>
      <c r="BO72" s="18"/>
      <c r="BR72" s="18"/>
      <c r="BS72" s="18"/>
      <c r="BT72" s="18"/>
      <c r="BU72" s="18"/>
      <c r="BV72" s="18"/>
      <c r="BW72" s="18"/>
      <c r="BX72" s="18"/>
      <c r="BY72" s="18"/>
      <c r="BZ72" s="18"/>
      <c r="CA72" s="18"/>
      <c r="CB72" s="18"/>
      <c r="CC72" s="18"/>
    </row>
    <row r="73" spans="1:81" ht="14.25" customHeight="1">
      <c r="A73" s="124" t="s">
        <v>626</v>
      </c>
      <c r="B73" s="17">
        <v>0.14000000000000001</v>
      </c>
      <c r="C73" s="8"/>
      <c r="E73" s="18"/>
      <c r="F73" s="18"/>
      <c r="G73" s="18"/>
      <c r="H73" s="18"/>
      <c r="I73" s="18"/>
      <c r="J73" s="18"/>
      <c r="N73" s="18"/>
      <c r="O73" s="18"/>
      <c r="P73" s="18"/>
      <c r="Q73" s="18"/>
      <c r="R73" s="18"/>
      <c r="S73" s="18"/>
      <c r="T73" s="18"/>
      <c r="U73" s="18"/>
      <c r="V73" s="18"/>
      <c r="W73" s="18"/>
      <c r="X73" s="18"/>
      <c r="Y73" s="18"/>
      <c r="AB73" s="18"/>
      <c r="AC73" s="18"/>
      <c r="AD73" s="18"/>
      <c r="AE73" s="18"/>
      <c r="AF73" s="18"/>
      <c r="AG73" s="18"/>
      <c r="AH73" s="18"/>
      <c r="AI73" s="18"/>
      <c r="AJ73" s="18"/>
      <c r="AK73" s="18"/>
      <c r="AL73" s="18"/>
      <c r="AM73" s="18"/>
      <c r="AP73" s="18"/>
      <c r="AQ73" s="18"/>
      <c r="AR73" s="18"/>
      <c r="AS73" s="18"/>
      <c r="AT73" s="18"/>
      <c r="AU73" s="18"/>
      <c r="AV73" s="18"/>
      <c r="AW73" s="18"/>
      <c r="AX73" s="18"/>
      <c r="AY73" s="18"/>
      <c r="AZ73" s="18"/>
      <c r="BA73" s="18"/>
      <c r="BD73" s="18"/>
      <c r="BE73" s="18"/>
      <c r="BF73" s="18"/>
      <c r="BG73" s="18"/>
      <c r="BH73" s="18"/>
      <c r="BI73" s="18"/>
      <c r="BJ73" s="18"/>
      <c r="BK73" s="18"/>
      <c r="BL73" s="18"/>
      <c r="BM73" s="18"/>
      <c r="BN73" s="18"/>
      <c r="BO73" s="18"/>
      <c r="BR73" s="18"/>
      <c r="BS73" s="18"/>
      <c r="BT73" s="18"/>
      <c r="BU73" s="18"/>
      <c r="BV73" s="18"/>
      <c r="BW73" s="18"/>
      <c r="BX73" s="18"/>
      <c r="BY73" s="18"/>
      <c r="BZ73" s="18"/>
      <c r="CA73" s="18"/>
      <c r="CB73" s="18"/>
      <c r="CC73" s="18"/>
    </row>
    <row r="74" spans="1:81" ht="14.25" customHeight="1"/>
    <row r="75" spans="1:81" ht="14.25" customHeight="1">
      <c r="A75" s="175" t="s">
        <v>701</v>
      </c>
      <c r="B75" s="175"/>
      <c r="C75" s="175"/>
      <c r="D75" s="175"/>
      <c r="E75" s="176"/>
      <c r="F75" s="177">
        <f>$Z$18</f>
        <v>0.28808219178082195</v>
      </c>
      <c r="G75" s="177">
        <f>$AN$18</f>
        <v>0.51315068493150684</v>
      </c>
      <c r="H75" s="177">
        <f>$BB$18</f>
        <v>0.59999999999999987</v>
      </c>
      <c r="I75" s="178">
        <f>$BP$18</f>
        <v>0.59999999999999987</v>
      </c>
      <c r="J75" s="178">
        <f>$CD$18</f>
        <v>0.59999999999999987</v>
      </c>
    </row>
    <row r="76" spans="1:81" ht="14.25" customHeight="1">
      <c r="A76" s="123" t="s">
        <v>624</v>
      </c>
      <c r="B76" s="51"/>
      <c r="C76" s="51"/>
      <c r="D76" s="51"/>
      <c r="E76" s="179">
        <f>SUM(E19,E27:E74)</f>
        <v>-459999.99999999977</v>
      </c>
      <c r="F76" s="179">
        <f t="shared" ref="F76:J76" si="132">SUM(F19,F27:F74)</f>
        <v>-121.99717514123768</v>
      </c>
      <c r="G76" s="179">
        <f t="shared" si="132"/>
        <v>230469.8813559323</v>
      </c>
      <c r="H76" s="179">
        <f t="shared" si="132"/>
        <v>324799.96610169485</v>
      </c>
      <c r="I76" s="179">
        <f t="shared" si="132"/>
        <v>324799.96610169485</v>
      </c>
      <c r="J76" s="179">
        <f t="shared" si="132"/>
        <v>240317.19413111801</v>
      </c>
      <c r="N76" s="122">
        <f>SUM(N19,N24:N74)</f>
        <v>34524.35451977401</v>
      </c>
      <c r="O76" s="122">
        <f t="shared" ref="O76:Y76" si="133">SUM(O19,O24:O74)</f>
        <v>-7173.1878531073417</v>
      </c>
      <c r="P76" s="122">
        <f t="shared" si="133"/>
        <v>-11992.312146892655</v>
      </c>
      <c r="Q76" s="122">
        <f t="shared" si="133"/>
        <v>-1797.6370056497171</v>
      </c>
      <c r="R76" s="122">
        <f t="shared" si="133"/>
        <v>-1086.95903954802</v>
      </c>
      <c r="S76" s="122">
        <f t="shared" si="133"/>
        <v>-8314.3036723163841</v>
      </c>
      <c r="T76" s="122">
        <f t="shared" si="133"/>
        <v>3294.9901129943455</v>
      </c>
      <c r="U76" s="122">
        <f t="shared" si="133"/>
        <v>3294.9901129943455</v>
      </c>
      <c r="V76" s="122">
        <f t="shared" si="133"/>
        <v>-4070.4477401129971</v>
      </c>
      <c r="W76" s="122">
        <f t="shared" si="133"/>
        <v>12065.625706214685</v>
      </c>
      <c r="X76" s="122">
        <f t="shared" si="133"/>
        <v>10933.930790960465</v>
      </c>
      <c r="Y76" s="122">
        <f t="shared" si="133"/>
        <v>-29801.040960451981</v>
      </c>
      <c r="AB76" s="122">
        <f t="shared" ref="AB76:AM76" si="134">SUM(AB19,AB24:AB74)</f>
        <v>7415.6257062146851</v>
      </c>
      <c r="AC76" s="122">
        <f t="shared" si="134"/>
        <v>8670.5409604519864</v>
      </c>
      <c r="AD76" s="122">
        <f t="shared" si="134"/>
        <v>7415.6257062146851</v>
      </c>
      <c r="AE76" s="122">
        <f t="shared" si="134"/>
        <v>19421.642655367239</v>
      </c>
      <c r="AF76" s="122">
        <f t="shared" si="134"/>
        <v>20836.261299435031</v>
      </c>
      <c r="AG76" s="122">
        <f t="shared" si="134"/>
        <v>14771.642655367239</v>
      </c>
      <c r="AH76" s="122">
        <f t="shared" si="134"/>
        <v>25224.947740112999</v>
      </c>
      <c r="AI76" s="122">
        <f t="shared" si="134"/>
        <v>25224.947740112999</v>
      </c>
      <c r="AJ76" s="122">
        <f t="shared" si="134"/>
        <v>19015.498587570626</v>
      </c>
      <c r="AK76" s="122">
        <f t="shared" si="134"/>
        <v>29606.896892655357</v>
      </c>
      <c r="AL76" s="122">
        <f t="shared" si="134"/>
        <v>27909.354519774002</v>
      </c>
      <c r="AM76" s="122">
        <f t="shared" si="134"/>
        <v>24956.896892655357</v>
      </c>
      <c r="AP76" s="122">
        <f t="shared" ref="AP76:BA76" si="135">SUM(AP19,AP24:AP74)</f>
        <v>29606.896892655357</v>
      </c>
      <c r="AQ76" s="122">
        <f t="shared" si="135"/>
        <v>24514.269774011293</v>
      </c>
      <c r="AR76" s="122">
        <f t="shared" si="135"/>
        <v>24956.896892655357</v>
      </c>
      <c r="AS76" s="122">
        <f t="shared" si="135"/>
        <v>27909.354519774002</v>
      </c>
      <c r="AT76" s="122">
        <f t="shared" si="135"/>
        <v>29606.896892655357</v>
      </c>
      <c r="AU76" s="122">
        <f t="shared" si="135"/>
        <v>23259.354519774002</v>
      </c>
      <c r="AV76" s="122">
        <f t="shared" si="135"/>
        <v>29606.896892655357</v>
      </c>
      <c r="AW76" s="122">
        <f t="shared" si="135"/>
        <v>29606.896892655357</v>
      </c>
      <c r="AX76" s="122">
        <f t="shared" si="135"/>
        <v>23259.354519774002</v>
      </c>
      <c r="AY76" s="122">
        <f t="shared" si="135"/>
        <v>29606.896892655357</v>
      </c>
      <c r="AZ76" s="122">
        <f t="shared" si="135"/>
        <v>27909.354519774002</v>
      </c>
      <c r="BA76" s="122">
        <f t="shared" si="135"/>
        <v>24956.896892655357</v>
      </c>
      <c r="BD76" s="122">
        <f t="shared" ref="BD76:BO76" si="136">SUM(BD19,BD24:BD74)</f>
        <v>29606.896892655357</v>
      </c>
      <c r="BE76" s="122">
        <f t="shared" si="136"/>
        <v>24514.269774011293</v>
      </c>
      <c r="BF76" s="122">
        <f t="shared" si="136"/>
        <v>24956.896892655357</v>
      </c>
      <c r="BG76" s="122">
        <f t="shared" si="136"/>
        <v>27909.354519774002</v>
      </c>
      <c r="BH76" s="122">
        <f t="shared" si="136"/>
        <v>29606.896892655357</v>
      </c>
      <c r="BI76" s="122">
        <f t="shared" si="136"/>
        <v>23259.354519774002</v>
      </c>
      <c r="BJ76" s="122">
        <f t="shared" si="136"/>
        <v>29606.896892655357</v>
      </c>
      <c r="BK76" s="122">
        <f t="shared" si="136"/>
        <v>29606.896892655357</v>
      </c>
      <c r="BL76" s="122">
        <f t="shared" si="136"/>
        <v>23259.354519774002</v>
      </c>
      <c r="BM76" s="122">
        <f t="shared" si="136"/>
        <v>29606.896892655357</v>
      </c>
      <c r="BN76" s="122">
        <f t="shared" si="136"/>
        <v>27909.354519774002</v>
      </c>
      <c r="BO76" s="122">
        <f t="shared" si="136"/>
        <v>24956.896892655357</v>
      </c>
      <c r="BR76" s="122">
        <f t="shared" ref="BR76:CC76" si="137">SUM(BR19,BR24:BR74)</f>
        <v>29606.896892655357</v>
      </c>
      <c r="BS76" s="122">
        <f t="shared" si="137"/>
        <v>24514.269774011293</v>
      </c>
      <c r="BT76" s="122">
        <f t="shared" si="137"/>
        <v>24956.896892655357</v>
      </c>
      <c r="BU76" s="122">
        <f t="shared" si="137"/>
        <v>27909.354519774002</v>
      </c>
      <c r="BV76" s="122">
        <f t="shared" si="137"/>
        <v>29606.896892655357</v>
      </c>
      <c r="BW76" s="122">
        <f t="shared" si="137"/>
        <v>23259.354519774002</v>
      </c>
      <c r="BX76" s="122">
        <f t="shared" si="137"/>
        <v>29606.896892655357</v>
      </c>
      <c r="BY76" s="122">
        <f t="shared" si="137"/>
        <v>29606.896892655357</v>
      </c>
      <c r="BZ76" s="122">
        <f t="shared" si="137"/>
        <v>23259.354519774002</v>
      </c>
      <c r="CA76" s="122">
        <f t="shared" si="137"/>
        <v>29606.896892655357</v>
      </c>
      <c r="CB76" s="122">
        <f t="shared" si="137"/>
        <v>27909.354519774002</v>
      </c>
      <c r="CC76" s="122">
        <f t="shared" si="137"/>
        <v>24956.896892655357</v>
      </c>
    </row>
    <row r="77" spans="1:81" ht="14.25" customHeight="1">
      <c r="M77" s="124" t="s">
        <v>627</v>
      </c>
      <c r="N77" s="18">
        <f>SUM($N$76:N76)</f>
        <v>34524.35451977401</v>
      </c>
      <c r="O77" s="18">
        <f>SUM($N$76:O76)</f>
        <v>27351.166666666668</v>
      </c>
      <c r="P77" s="18">
        <f>SUM($N$76:P76)</f>
        <v>15358.854519774013</v>
      </c>
      <c r="Q77" s="18">
        <f>SUM($N$76:Q76)</f>
        <v>13561.217514124295</v>
      </c>
      <c r="R77" s="18">
        <f>SUM($N$76:R76)</f>
        <v>12474.258474576276</v>
      </c>
      <c r="S77" s="18">
        <f>SUM($N$76:S76)</f>
        <v>4159.9548022598919</v>
      </c>
      <c r="T77" s="18">
        <f>SUM($N$76:T76)</f>
        <v>7454.9449152542375</v>
      </c>
      <c r="U77" s="18">
        <f>SUM($N$76:U76)</f>
        <v>10749.935028248583</v>
      </c>
      <c r="V77" s="18">
        <f>SUM($N$76:V76)</f>
        <v>6679.4872881355859</v>
      </c>
      <c r="W77" s="18">
        <f>SUM($N$76:W76)</f>
        <v>18745.112994350271</v>
      </c>
      <c r="X77" s="18">
        <f>SUM($N$76:X76)</f>
        <v>29679.043785310736</v>
      </c>
      <c r="Y77" s="18">
        <f>SUM($N$76:Y76)</f>
        <v>-121.99717514124495</v>
      </c>
    </row>
    <row r="78" spans="1:81" ht="14.25" customHeight="1">
      <c r="A78" s="180" t="s">
        <v>664</v>
      </c>
      <c r="B78" s="181"/>
      <c r="C78" s="181"/>
      <c r="D78" s="181"/>
      <c r="E78" s="182">
        <f>NPV(E81,E76:J76)</f>
        <v>202529.61704029317</v>
      </c>
      <c r="J78" s="18"/>
    </row>
    <row r="79" spans="1:81" ht="14.25" customHeight="1">
      <c r="A79" s="183" t="s">
        <v>663</v>
      </c>
      <c r="B79" s="7"/>
      <c r="C79" s="7"/>
      <c r="D79" s="7"/>
      <c r="E79" s="194">
        <f>IRR(E76:J76)</f>
        <v>0.30223767903150689</v>
      </c>
    </row>
    <row r="80" spans="1:81" ht="14.25" customHeight="1">
      <c r="A80" s="183" t="s">
        <v>682</v>
      </c>
      <c r="B80" s="7"/>
      <c r="C80" s="7"/>
      <c r="D80" s="7"/>
      <c r="E80" s="195">
        <f>-SUMIF(E76:J76,"&gt;=0",$E$76:$J$76)/SUMIF(E76:J76,"&lt;0",$E$76:$J$76)</f>
        <v>2.4349781461632127</v>
      </c>
    </row>
    <row r="81" spans="1:16" ht="14.25" customHeight="1">
      <c r="A81" s="184" t="s">
        <v>45</v>
      </c>
      <c r="B81" s="185"/>
      <c r="C81" s="185"/>
      <c r="D81" s="185"/>
      <c r="E81" s="186">
        <v>0.15</v>
      </c>
    </row>
    <row r="82" spans="1:16" ht="14.25" customHeight="1"/>
    <row r="83" spans="1:16" ht="14.25" customHeight="1">
      <c r="A83" s="133" t="s">
        <v>684</v>
      </c>
      <c r="E83" s="18">
        <f>-SUM(F68:J68,J69)</f>
        <v>186000</v>
      </c>
      <c r="F83" s="25">
        <f>E83/SUM($E$83:$E$84)</f>
        <v>0.21978930676425198</v>
      </c>
    </row>
    <row r="84" spans="1:16" ht="14.25" customHeight="1">
      <c r="A84" s="124" t="s">
        <v>628</v>
      </c>
      <c r="E84" s="18">
        <f>SUM(E76:J76)</f>
        <v>660265.01051529904</v>
      </c>
      <c r="F84" s="25">
        <f>E84/SUM($E$83:$E$84)</f>
        <v>0.78021069323574799</v>
      </c>
    </row>
    <row r="85" spans="1:16" ht="14.25" customHeight="1">
      <c r="E85" s="18"/>
    </row>
    <row r="86" spans="1:16" ht="14.25" hidden="1" customHeight="1" outlineLevel="1">
      <c r="D86" s="133"/>
      <c r="E86" s="136">
        <f>SUM(E76:J76)-SUM(N76:CC76)-SUM(E65:J65)-SUM(E69:J69)</f>
        <v>-3.4924596548080444E-10</v>
      </c>
      <c r="F86" s="137" t="s">
        <v>676</v>
      </c>
    </row>
    <row r="87" spans="1:16" ht="14.25" hidden="1" customHeight="1" outlineLevel="1">
      <c r="E87" s="46"/>
    </row>
    <row r="88" spans="1:16" ht="14.25" hidden="1" customHeight="1" outlineLevel="1">
      <c r="A88" s="133" t="s">
        <v>680</v>
      </c>
      <c r="B88" s="127">
        <v>0.25</v>
      </c>
      <c r="E88" s="18">
        <f>E76</f>
        <v>-459999.99999999977</v>
      </c>
      <c r="F88" s="18">
        <f>SUM($E$88:E88)*$B$88</f>
        <v>-114999.99999999994</v>
      </c>
      <c r="G88" s="18">
        <f>SUM($E$88:F88)*$B$88</f>
        <v>-143749.99999999994</v>
      </c>
      <c r="H88" s="18">
        <f>SUM($E$88:G88)*$B$88</f>
        <v>-179687.49999999994</v>
      </c>
      <c r="I88" s="18">
        <f>SUM($E$88:H88)*$B$88</f>
        <v>-224609.37499999994</v>
      </c>
      <c r="J88" s="18">
        <f>SUM($E$88:I88)*$B$88</f>
        <v>-280761.71874999994</v>
      </c>
      <c r="M88" s="136">
        <f>(SUM(F76:J76,-J69)-SUM(F89:J89))*B90</f>
        <v>134728.20838264946</v>
      </c>
      <c r="N88" s="132"/>
      <c r="O88" s="132"/>
      <c r="P88" s="173"/>
    </row>
    <row r="89" spans="1:16" ht="14.25" hidden="1" customHeight="1" outlineLevel="1">
      <c r="A89" s="133" t="s">
        <v>681</v>
      </c>
      <c r="B89" s="127">
        <f>IRR(E89:J89)</f>
        <v>0.25000000000000022</v>
      </c>
      <c r="E89" s="18">
        <f>E88</f>
        <v>-459999.99999999977</v>
      </c>
      <c r="F89" s="18">
        <f>-F88</f>
        <v>114999.99999999994</v>
      </c>
      <c r="G89" s="18">
        <f>-G88</f>
        <v>143749.99999999994</v>
      </c>
      <c r="H89" s="18">
        <f>-H88</f>
        <v>179687.49999999994</v>
      </c>
      <c r="I89" s="18">
        <f>-I88</f>
        <v>224609.37499999994</v>
      </c>
      <c r="J89" s="18">
        <f>-J88</f>
        <v>280761.71874999994</v>
      </c>
      <c r="M89" s="172" t="s">
        <v>703</v>
      </c>
      <c r="N89" s="50"/>
      <c r="O89" s="50"/>
      <c r="P89" s="165"/>
    </row>
    <row r="90" spans="1:16" ht="14.25" hidden="1" customHeight="1" outlineLevel="1">
      <c r="A90" s="167" t="s">
        <v>702</v>
      </c>
      <c r="B90" s="16">
        <f>50%</f>
        <v>0.5</v>
      </c>
    </row>
    <row r="91" spans="1:16" ht="14.25" hidden="1" customHeight="1" outlineLevel="1">
      <c r="A91" s="133"/>
      <c r="B91" s="127"/>
      <c r="E91" s="18"/>
      <c r="G91" s="18"/>
      <c r="H91" s="18"/>
      <c r="I91" s="18"/>
      <c r="J91" s="18"/>
    </row>
    <row r="92" spans="1:16" ht="14.25" customHeight="1" collapsed="1"/>
    <row r="93" spans="1:16" ht="14.25" customHeight="1">
      <c r="A93" s="167" t="s">
        <v>705</v>
      </c>
      <c r="B93" s="46"/>
    </row>
    <row r="94" spans="1:16" ht="14.25" customHeight="1">
      <c r="A94" s="187" t="s">
        <v>686</v>
      </c>
      <c r="B94" s="192" t="s">
        <v>687</v>
      </c>
      <c r="C94" s="192" t="s">
        <v>688</v>
      </c>
      <c r="D94" s="188" t="s">
        <v>689</v>
      </c>
    </row>
    <row r="95" spans="1:16" ht="14.25" customHeight="1">
      <c r="A95" s="189" t="s">
        <v>685</v>
      </c>
      <c r="B95" s="193">
        <v>0.16</v>
      </c>
      <c r="C95" s="190" t="s">
        <v>704</v>
      </c>
      <c r="D95" s="191" t="s">
        <v>690</v>
      </c>
    </row>
    <row r="96" spans="1:16" ht="14.25" customHeight="1">
      <c r="A96" s="189" t="s">
        <v>691</v>
      </c>
      <c r="B96" s="193">
        <v>0.02</v>
      </c>
      <c r="C96" s="190" t="s">
        <v>692</v>
      </c>
      <c r="D96" s="191" t="s">
        <v>693</v>
      </c>
    </row>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row r="1027" ht="14.25" customHeight="1"/>
    <row r="1028" ht="14.25" customHeight="1"/>
    <row r="1029" ht="14.25" customHeight="1"/>
    <row r="1030" ht="14.25" customHeight="1"/>
  </sheetData>
  <mergeCells count="6">
    <mergeCell ref="BR12:CC12"/>
    <mergeCell ref="E12:J12"/>
    <mergeCell ref="N12:Y12"/>
    <mergeCell ref="AB12:AM12"/>
    <mergeCell ref="AP12:BA12"/>
    <mergeCell ref="BD12:BO12"/>
  </mergeCells>
  <hyperlinks>
    <hyperlink ref="B3" r:id="rId1" xr:uid="{5BE26BF3-B4FE-4838-A746-9C03E07379F7}"/>
  </hyperlinks>
  <pageMargins left="0.7" right="0.7" top="0.75" bottom="0.75" header="0" footer="0"/>
  <pageSetup scale="54" orientation="landscape" r:id="rId2"/>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AB283-4E5F-4083-8207-75F719B36353}">
  <dimension ref="A1:K956"/>
  <sheetViews>
    <sheetView showGridLines="0" zoomScale="80" zoomScaleNormal="80" workbookViewId="0"/>
  </sheetViews>
  <sheetFormatPr defaultColWidth="12.6640625" defaultRowHeight="15" customHeight="1"/>
  <cols>
    <col min="1" max="1" width="56.6640625" customWidth="1"/>
    <col min="2" max="3" width="17.33203125" customWidth="1"/>
    <col min="4" max="6" width="20.21875" customWidth="1"/>
    <col min="7" max="7" width="54.77734375" customWidth="1"/>
    <col min="8" max="8" width="10.6640625" customWidth="1"/>
    <col min="9" max="10" width="12.88671875" customWidth="1"/>
    <col min="11" max="11" width="10.6640625" customWidth="1"/>
    <col min="12" max="12" width="10" bestFit="1" customWidth="1"/>
    <col min="13" max="13" width="13.44140625" customWidth="1"/>
    <col min="14" max="14" width="8.6640625" customWidth="1"/>
    <col min="15" max="15" width="26.109375" customWidth="1"/>
    <col min="16" max="24" width="8.6640625" customWidth="1"/>
    <col min="25" max="25" width="9.33203125" bestFit="1" customWidth="1"/>
    <col min="26" max="27" width="8.6640625" customWidth="1"/>
    <col min="28" max="28" width="10.109375" customWidth="1"/>
    <col min="29" max="34" width="8.6640625" customWidth="1"/>
  </cols>
  <sheetData>
    <row r="1" spans="1:11" ht="18">
      <c r="A1" s="63" t="s">
        <v>1</v>
      </c>
      <c r="B1" s="63" t="s">
        <v>2</v>
      </c>
      <c r="C1" s="7"/>
    </row>
    <row r="2" spans="1:11" ht="18">
      <c r="A2" s="63" t="s">
        <v>3</v>
      </c>
      <c r="B2" s="63" t="s">
        <v>4</v>
      </c>
      <c r="C2" s="7"/>
    </row>
    <row r="3" spans="1:11" ht="14.25" customHeight="1">
      <c r="A3" t="s">
        <v>8</v>
      </c>
      <c r="B3" s="2" t="s">
        <v>7</v>
      </c>
      <c r="C3" s="2"/>
    </row>
    <row r="4" spans="1:11" ht="14.25" customHeight="1">
      <c r="A4" s="4" t="s">
        <v>10</v>
      </c>
      <c r="B4" s="21">
        <f>B6*D6</f>
        <v>12000</v>
      </c>
      <c r="C4" s="21"/>
      <c r="D4">
        <f>B4/10000</f>
        <v>1.2</v>
      </c>
      <c r="E4" s="24" t="s">
        <v>58</v>
      </c>
    </row>
    <row r="5" spans="1:11" ht="14.25" customHeight="1">
      <c r="A5" s="4" t="s">
        <v>16</v>
      </c>
      <c r="B5" s="11">
        <f>B6*2+D6*2</f>
        <v>440</v>
      </c>
      <c r="C5" s="11"/>
    </row>
    <row r="6" spans="1:11" ht="14.25" customHeight="1">
      <c r="A6" s="24" t="s">
        <v>59</v>
      </c>
      <c r="B6" s="11">
        <f>Summary!$B$6</f>
        <v>120</v>
      </c>
      <c r="C6" s="11"/>
      <c r="D6" s="11">
        <f>Summary!$C$6</f>
        <v>100</v>
      </c>
    </row>
    <row r="7" spans="1:11" ht="14.25" customHeight="1">
      <c r="A7" s="4"/>
      <c r="B7" s="10"/>
      <c r="C7" s="10"/>
      <c r="D7" s="10"/>
    </row>
    <row r="8" spans="1:11" ht="14.25" customHeight="1">
      <c r="A8" s="4" t="s">
        <v>14</v>
      </c>
      <c r="B8" s="55">
        <f>Summary!$B$8</f>
        <v>129.15</v>
      </c>
      <c r="C8" s="54" t="s">
        <v>253</v>
      </c>
      <c r="D8" s="4"/>
    </row>
    <row r="9" spans="1:11" ht="14.25" customHeight="1">
      <c r="A9" s="54" t="s">
        <v>14</v>
      </c>
      <c r="B9" s="55">
        <v>16.829999999999998</v>
      </c>
      <c r="C9" s="54" t="s">
        <v>252</v>
      </c>
      <c r="D9" s="4"/>
    </row>
    <row r="10" spans="1:11" ht="14.25" customHeight="1"/>
    <row r="11" spans="1:11" ht="14.25" customHeight="1">
      <c r="A11" s="7"/>
      <c r="B11" s="7"/>
      <c r="C11" s="7"/>
      <c r="D11" s="7"/>
      <c r="E11" s="7"/>
      <c r="F11" s="7"/>
      <c r="G11" s="1"/>
    </row>
    <row r="12" spans="1:11" ht="14.25" customHeight="1">
      <c r="A12" s="7" t="s">
        <v>245</v>
      </c>
      <c r="B12" s="7"/>
      <c r="C12" s="7"/>
      <c r="D12" s="7" t="s">
        <v>6</v>
      </c>
      <c r="E12" s="7" t="s">
        <v>51</v>
      </c>
      <c r="F12" s="7" t="s">
        <v>52</v>
      </c>
      <c r="G12" s="7" t="s">
        <v>244</v>
      </c>
      <c r="I12" s="7" t="s">
        <v>249</v>
      </c>
      <c r="J12" s="7" t="s">
        <v>251</v>
      </c>
      <c r="K12" s="7" t="s">
        <v>288</v>
      </c>
    </row>
    <row r="13" spans="1:11" ht="14.25" customHeight="1">
      <c r="A13" s="54" t="s">
        <v>246</v>
      </c>
      <c r="B13" s="4"/>
      <c r="C13" s="4"/>
      <c r="D13" s="6">
        <f>9.7*3.8</f>
        <v>36.859999999999992</v>
      </c>
      <c r="E13" s="6">
        <v>150</v>
      </c>
      <c r="F13" s="6">
        <v>150</v>
      </c>
    </row>
    <row r="14" spans="1:11" ht="14.25" customHeight="1">
      <c r="A14" s="4" t="s">
        <v>9</v>
      </c>
      <c r="B14" s="4"/>
      <c r="C14" s="4"/>
      <c r="D14" s="5">
        <v>20</v>
      </c>
      <c r="E14" s="5">
        <v>1</v>
      </c>
      <c r="F14" s="5">
        <v>1</v>
      </c>
    </row>
    <row r="15" spans="1:11" ht="14.25" customHeight="1">
      <c r="A15" s="72" t="s">
        <v>247</v>
      </c>
      <c r="B15" s="4"/>
      <c r="C15" s="4"/>
      <c r="D15" s="69">
        <f>58190/B9</f>
        <v>3457.5163398692812</v>
      </c>
      <c r="E15" s="69">
        <f>(18000+30000)/2</f>
        <v>24000</v>
      </c>
      <c r="F15" s="69">
        <f>(18000+30000)/2</f>
        <v>24000</v>
      </c>
      <c r="G15" s="54" t="s">
        <v>292</v>
      </c>
      <c r="I15" s="2" t="s">
        <v>250</v>
      </c>
      <c r="J15" s="2" t="s">
        <v>289</v>
      </c>
      <c r="K15" s="2" t="s">
        <v>248</v>
      </c>
    </row>
    <row r="16" spans="1:11" ht="28.8">
      <c r="A16" s="72" t="s">
        <v>55</v>
      </c>
      <c r="B16" s="44"/>
      <c r="C16" s="44"/>
      <c r="D16" s="69">
        <f>1370</f>
        <v>1370</v>
      </c>
      <c r="E16" s="69">
        <f>$D$16*E15/$D$15</f>
        <v>9509.716446124763</v>
      </c>
      <c r="F16" s="69">
        <f>$D$16*F15/$D$15</f>
        <v>9509.716446124763</v>
      </c>
      <c r="G16" s="85" t="s">
        <v>331</v>
      </c>
      <c r="I16" s="2"/>
      <c r="J16" s="2"/>
      <c r="K16" s="2"/>
    </row>
    <row r="17" spans="1:10" ht="14.25" customHeight="1">
      <c r="A17" s="72" t="s">
        <v>332</v>
      </c>
      <c r="B17" s="28">
        <v>0.2</v>
      </c>
      <c r="C17" s="54" t="s">
        <v>291</v>
      </c>
      <c r="D17" s="69">
        <f>$B$17*SUM(D$15:D$16)</f>
        <v>965.50326797385628</v>
      </c>
      <c r="E17" s="69">
        <f>$B$17*SUM(E$15:E$16)</f>
        <v>6701.9432892249524</v>
      </c>
      <c r="F17" s="69">
        <f>$B$17*SUM(F$15:F$16)</f>
        <v>6701.9432892249524</v>
      </c>
      <c r="G17" s="44"/>
    </row>
    <row r="18" spans="1:10" ht="14.25" customHeight="1">
      <c r="A18" s="72" t="s">
        <v>11</v>
      </c>
      <c r="B18" s="4"/>
      <c r="C18" s="4"/>
      <c r="D18" s="69">
        <v>2900</v>
      </c>
      <c r="E18" s="69">
        <f>D18*2</f>
        <v>5800</v>
      </c>
      <c r="F18" s="69">
        <f>E18</f>
        <v>5800</v>
      </c>
      <c r="G18" s="72"/>
    </row>
    <row r="19" spans="1:10" ht="28.8">
      <c r="A19" s="52" t="s">
        <v>242</v>
      </c>
      <c r="B19" s="52"/>
      <c r="C19" s="52"/>
      <c r="D19" s="69">
        <f>(10000+15000)*3/B8</f>
        <v>580.72009291521488</v>
      </c>
      <c r="E19" s="69">
        <f>D19*E13/D13</f>
        <v>2363.2125322105871</v>
      </c>
      <c r="F19" s="69">
        <f>D19*F13/D13</f>
        <v>2363.2125322105871</v>
      </c>
      <c r="G19" s="72" t="s">
        <v>412</v>
      </c>
    </row>
    <row r="20" spans="1:10" ht="14.25" customHeight="1">
      <c r="A20" s="72" t="s">
        <v>243</v>
      </c>
      <c r="B20" s="44"/>
      <c r="C20" s="44"/>
      <c r="D20" s="69">
        <f>900*(1+$B$17)</f>
        <v>1080</v>
      </c>
      <c r="E20" s="69">
        <f>3800*(1+$B$17)</f>
        <v>4560</v>
      </c>
      <c r="F20" s="69">
        <f>3100*(1+$B$17)</f>
        <v>3720</v>
      </c>
      <c r="G20" s="72" t="s">
        <v>362</v>
      </c>
    </row>
    <row r="21" spans="1:10" ht="27.6" customHeight="1">
      <c r="A21" s="20" t="s">
        <v>53</v>
      </c>
      <c r="B21" s="20"/>
      <c r="C21" s="20"/>
      <c r="D21" s="69"/>
      <c r="E21" s="69">
        <f>31000*3/B8*2+500</f>
        <v>1940.1858304297327</v>
      </c>
      <c r="F21" s="69"/>
      <c r="G21" s="72" t="s">
        <v>412</v>
      </c>
    </row>
    <row r="22" spans="1:10" ht="14.25" customHeight="1">
      <c r="A22" s="4" t="s">
        <v>12</v>
      </c>
      <c r="B22" s="4"/>
      <c r="C22" s="4"/>
      <c r="D22" s="69">
        <f>300*(1+$B$17)</f>
        <v>360</v>
      </c>
      <c r="E22" s="69">
        <f>900*(1+$B$17)</f>
        <v>1080</v>
      </c>
      <c r="F22" s="69">
        <f>900*(1+$B$17)</f>
        <v>1080</v>
      </c>
    </row>
    <row r="23" spans="1:10" ht="14.25" customHeight="1">
      <c r="A23" s="4"/>
      <c r="B23" s="4"/>
      <c r="C23" s="4"/>
      <c r="D23" s="3"/>
      <c r="F23" s="3"/>
    </row>
    <row r="24" spans="1:10" ht="40.799999999999997" customHeight="1">
      <c r="A24" s="14" t="s">
        <v>17</v>
      </c>
      <c r="B24" s="14"/>
      <c r="C24" s="14"/>
      <c r="D24" s="69">
        <f>2400000/B8*(1+$B$17)</f>
        <v>22299.651567944249</v>
      </c>
      <c r="G24" s="86">
        <f>H24/D24</f>
        <v>0.38194444444444448</v>
      </c>
      <c r="H24" s="87">
        <f>1100000/$B$8</f>
        <v>8517.2280294231514</v>
      </c>
      <c r="I24" s="2" t="s">
        <v>455</v>
      </c>
      <c r="J24" s="2" t="s">
        <v>454</v>
      </c>
    </row>
    <row r="25" spans="1:10" ht="14.4">
      <c r="A25" s="88" t="s">
        <v>493</v>
      </c>
      <c r="B25" s="52"/>
      <c r="C25" s="52"/>
      <c r="D25" s="92" t="str">
        <f>'CAPEX backup'!D412</f>
        <v>$11,700</v>
      </c>
      <c r="E25" s="69"/>
      <c r="F25" s="1"/>
      <c r="G25" s="44"/>
    </row>
    <row r="26" spans="1:10" ht="55.2" customHeight="1">
      <c r="A26" s="88" t="s">
        <v>547</v>
      </c>
      <c r="B26" s="52"/>
      <c r="C26" s="52"/>
      <c r="D26" s="92">
        <f>'CAPEX backup'!D469</f>
        <v>23000</v>
      </c>
      <c r="E26" s="3"/>
      <c r="F26" s="1"/>
      <c r="G26" s="44"/>
    </row>
    <row r="27" spans="1:10" ht="28.8">
      <c r="A27" s="4" t="s">
        <v>13</v>
      </c>
      <c r="B27" s="4"/>
      <c r="C27" s="4"/>
      <c r="D27" s="69">
        <f>E27*B5</f>
        <v>7920</v>
      </c>
      <c r="E27" s="12">
        <f>30*60%</f>
        <v>18</v>
      </c>
      <c r="F27" s="1"/>
      <c r="G27" s="88" t="s">
        <v>587</v>
      </c>
    </row>
    <row r="28" spans="1:10" ht="40.799999999999997" customHeight="1">
      <c r="A28" s="88" t="s">
        <v>614</v>
      </c>
      <c r="B28" s="20"/>
      <c r="C28" s="20"/>
      <c r="D28" s="69">
        <v>5600</v>
      </c>
      <c r="E28" s="12"/>
      <c r="F28" s="1"/>
    </row>
    <row r="29" spans="1:10" ht="26.4" customHeight="1">
      <c r="A29" s="88" t="s">
        <v>494</v>
      </c>
      <c r="B29" s="93">
        <v>6</v>
      </c>
      <c r="C29" s="88" t="s">
        <v>495</v>
      </c>
      <c r="D29" s="69">
        <f>(SUM(D24:D28)+$D$14*SUM(D15:D22)+$E$14*SUM(E15:E22)+$F$14*SUM(F15:F22))*E29</f>
        <v>38222.437594866162</v>
      </c>
      <c r="E29" s="17">
        <v>0.1</v>
      </c>
      <c r="F29" s="1"/>
      <c r="G29" s="84" t="s">
        <v>496</v>
      </c>
      <c r="H29" s="87">
        <f>D29/B29</f>
        <v>6370.406265811027</v>
      </c>
      <c r="J29" s="19"/>
    </row>
    <row r="30" spans="1:10" ht="26.4" customHeight="1">
      <c r="A30" s="88" t="s">
        <v>543</v>
      </c>
      <c r="B30" s="93"/>
      <c r="C30" s="88"/>
      <c r="D30" s="69">
        <f>'CAPEX backup'!E572</f>
        <v>9790</v>
      </c>
      <c r="E30" s="17"/>
      <c r="F30" s="1"/>
      <c r="G30" s="84"/>
      <c r="H30" s="87"/>
      <c r="J30" s="19"/>
    </row>
    <row r="31" spans="1:10" ht="26.4" customHeight="1">
      <c r="A31" s="88" t="s">
        <v>546</v>
      </c>
      <c r="B31" s="93"/>
      <c r="C31" s="88"/>
      <c r="D31" s="69">
        <f>(SUM(D24:D28)+$D$14*SUM(D15:D22)+$E$14*SUM(E15:E22)+$F$14*SUM(F15:F22))*E31</f>
        <v>11466.731278459847</v>
      </c>
      <c r="E31" s="17">
        <v>0.03</v>
      </c>
      <c r="F31" s="1"/>
      <c r="G31" s="84"/>
      <c r="H31" s="87"/>
      <c r="J31" s="19"/>
    </row>
    <row r="32" spans="1:10" ht="26.4" customHeight="1">
      <c r="A32" s="52" t="s">
        <v>43</v>
      </c>
      <c r="B32" s="52"/>
      <c r="C32" s="52"/>
      <c r="D32" s="69">
        <f>(SUM(D24:D28)+$D$14*SUM(D15:D22)+$E$14*SUM(E15:E22)+$F$14*SUM(F15:F22))*E32</f>
        <v>18296.455178012169</v>
      </c>
      <c r="E32" s="17">
        <v>4.7868363006941382E-2</v>
      </c>
      <c r="F32" s="1"/>
      <c r="G32" s="44"/>
      <c r="H32" s="111"/>
      <c r="J32" s="19"/>
    </row>
    <row r="33" spans="1:9" ht="14.25" customHeight="1">
      <c r="A33" s="125"/>
      <c r="D33" s="126"/>
      <c r="E33" s="1"/>
      <c r="F33" s="1"/>
    </row>
    <row r="34" spans="1:9" ht="17.399999999999999" customHeight="1" thickBot="1">
      <c r="A34" s="9" t="s">
        <v>545</v>
      </c>
      <c r="B34" s="9"/>
      <c r="C34" s="9"/>
      <c r="D34" s="70">
        <f>$D$14*SUM(D15:D22)+$E$14*SUM($E$15:$E$22)+$F$14*SUM(F15:F22)+SUM(D24:D32)+D33</f>
        <v>459999.99999999977</v>
      </c>
      <c r="E34" s="1"/>
      <c r="F34" s="8"/>
      <c r="G34" s="53"/>
    </row>
    <row r="35" spans="1:9" ht="14.25" customHeight="1" thickTop="1">
      <c r="G35" s="1"/>
      <c r="I35" s="1"/>
    </row>
    <row r="36" spans="1:9" ht="14.25" customHeight="1">
      <c r="G36" s="1"/>
      <c r="I36" s="1"/>
    </row>
    <row r="37" spans="1:9" ht="14.25" customHeight="1">
      <c r="D37" s="71"/>
      <c r="E37" s="71"/>
    </row>
    <row r="38" spans="1:9" ht="14.25" customHeight="1"/>
    <row r="39" spans="1:9" ht="14.25" customHeight="1"/>
    <row r="40" spans="1:9" ht="14.25" customHeight="1"/>
    <row r="41" spans="1:9" ht="14.25" customHeight="1"/>
    <row r="42" spans="1:9" ht="14.25" customHeight="1"/>
    <row r="43" spans="1:9" ht="14.25" customHeight="1"/>
    <row r="44" spans="1:9" ht="14.25" customHeight="1"/>
    <row r="45" spans="1:9" ht="14.25" customHeight="1"/>
    <row r="46" spans="1:9" ht="14.25" customHeight="1"/>
    <row r="47" spans="1:9" ht="14.25" customHeight="1"/>
    <row r="48" spans="1: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sheetData>
  <hyperlinks>
    <hyperlink ref="B3" r:id="rId1" xr:uid="{A9214650-E34D-4A62-B1ED-CB2631ADA1BD}"/>
    <hyperlink ref="I15" r:id="rId2" xr:uid="{A430340D-F0C7-4045-ADD1-522E119989A1}"/>
    <hyperlink ref="K15" r:id="rId3" location=":~:text=The%20Classic%20safari%20tent,your%20campsite%20or%20holiday%20park." xr:uid="{EA95DF1D-D52C-412D-B02E-1F37E49B644E}"/>
    <hyperlink ref="J15" r:id="rId4" xr:uid="{4AF9D8FF-55C0-4AE2-806E-4C1108CCC599}"/>
    <hyperlink ref="J24" r:id="rId5" xr:uid="{43AD8762-F5FD-4494-A303-4E4E1FCFB2A8}"/>
    <hyperlink ref="I24" r:id="rId6" xr:uid="{9A085CB7-7C20-4395-A0F1-ADA495742D65}"/>
  </hyperlinks>
  <pageMargins left="0.7" right="0.7" top="0.75" bottom="0.75" header="0" footer="0"/>
  <pageSetup scale="58" orientation="landscape"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C11D1-1FFA-4FAA-AA11-B2BD2240F776}">
  <dimension ref="A1:Q592"/>
  <sheetViews>
    <sheetView showGridLines="0" zoomScale="80" zoomScaleNormal="80" workbookViewId="0">
      <pane ySplit="1" topLeftCell="A2" activePane="bottomLeft" state="frozen"/>
      <selection pane="bottomLeft"/>
    </sheetView>
  </sheetViews>
  <sheetFormatPr defaultRowHeight="14.4"/>
  <cols>
    <col min="2" max="2" width="62.33203125" customWidth="1"/>
    <col min="3" max="3" width="21.77734375" customWidth="1"/>
    <col min="4" max="4" width="18.5546875" customWidth="1"/>
    <col min="5" max="5" width="22.5546875" customWidth="1"/>
    <col min="6" max="6" width="10.44140625" customWidth="1"/>
  </cols>
  <sheetData>
    <row r="1" spans="1:17">
      <c r="A1" s="7" t="s">
        <v>290</v>
      </c>
      <c r="B1" s="7"/>
    </row>
    <row r="2" spans="1:17">
      <c r="A2" s="47"/>
      <c r="B2" s="47" t="s">
        <v>239</v>
      </c>
      <c r="C2" s="48"/>
      <c r="D2" s="48"/>
      <c r="E2" s="48"/>
      <c r="F2" s="48"/>
      <c r="G2" s="48"/>
      <c r="H2" s="48"/>
      <c r="I2" s="48"/>
      <c r="J2" s="48"/>
      <c r="K2" s="48"/>
      <c r="L2" s="48"/>
      <c r="M2" s="48"/>
      <c r="N2" s="48"/>
      <c r="O2" s="48"/>
      <c r="P2" s="48"/>
      <c r="Q2" s="48"/>
    </row>
    <row r="4" spans="1:17" ht="15" thickBot="1"/>
    <row r="5" spans="1:17" ht="15" thickBot="1">
      <c r="B5" s="56" t="s">
        <v>177</v>
      </c>
      <c r="C5" s="56" t="s">
        <v>274</v>
      </c>
      <c r="D5" s="57" t="s">
        <v>275</v>
      </c>
    </row>
    <row r="6" spans="1:17" ht="42" thickBot="1">
      <c r="B6" s="56" t="s">
        <v>276</v>
      </c>
      <c r="C6" s="58" t="s">
        <v>277</v>
      </c>
      <c r="D6" s="59" t="s">
        <v>278</v>
      </c>
    </row>
    <row r="7" spans="1:17" ht="42" thickBot="1">
      <c r="B7" s="56" t="s">
        <v>279</v>
      </c>
      <c r="C7" s="58" t="s">
        <v>280</v>
      </c>
      <c r="D7" s="59" t="s">
        <v>281</v>
      </c>
    </row>
    <row r="8" spans="1:17" ht="42" thickBot="1">
      <c r="B8" s="56" t="s">
        <v>282</v>
      </c>
      <c r="C8" s="58" t="s">
        <v>283</v>
      </c>
      <c r="D8" s="59" t="s">
        <v>284</v>
      </c>
    </row>
    <row r="9" spans="1:17" ht="28.2" thickBot="1">
      <c r="B9" s="56" t="s">
        <v>285</v>
      </c>
      <c r="C9" s="58" t="s">
        <v>286</v>
      </c>
      <c r="D9" s="59" t="s">
        <v>287</v>
      </c>
    </row>
    <row r="11" spans="1:17" ht="15" thickBot="1"/>
    <row r="12" spans="1:17" ht="28.2" thickBot="1">
      <c r="B12" s="56" t="s">
        <v>254</v>
      </c>
      <c r="C12" s="56" t="s">
        <v>255</v>
      </c>
      <c r="D12" s="56" t="s">
        <v>256</v>
      </c>
      <c r="E12" s="57" t="s">
        <v>257</v>
      </c>
    </row>
    <row r="13" spans="1:17" ht="28.2" thickBot="1">
      <c r="B13" s="56" t="s">
        <v>258</v>
      </c>
      <c r="C13" s="58" t="s">
        <v>259</v>
      </c>
      <c r="D13" s="58" t="s">
        <v>260</v>
      </c>
      <c r="E13" s="57" t="s">
        <v>261</v>
      </c>
    </row>
    <row r="14" spans="1:17" ht="15" thickBot="1">
      <c r="B14" s="56" t="s">
        <v>262</v>
      </c>
      <c r="C14" s="58" t="s">
        <v>263</v>
      </c>
      <c r="D14" s="58" t="s">
        <v>264</v>
      </c>
      <c r="E14" s="57" t="s">
        <v>265</v>
      </c>
    </row>
    <row r="15" spans="1:17" ht="28.2" thickBot="1">
      <c r="B15" s="60" t="s">
        <v>266</v>
      </c>
      <c r="C15" s="61" t="s">
        <v>267</v>
      </c>
      <c r="D15" s="61" t="s">
        <v>268</v>
      </c>
      <c r="E15" s="62" t="s">
        <v>269</v>
      </c>
    </row>
    <row r="16" spans="1:17" ht="15" thickBot="1">
      <c r="B16" s="56" t="s">
        <v>270</v>
      </c>
      <c r="C16" s="58" t="s">
        <v>271</v>
      </c>
      <c r="D16" s="58" t="s">
        <v>272</v>
      </c>
      <c r="E16" s="57" t="s">
        <v>273</v>
      </c>
    </row>
    <row r="18" spans="1:17">
      <c r="B18" s="41"/>
      <c r="C18" s="45"/>
      <c r="D18" s="46"/>
    </row>
    <row r="19" spans="1:17">
      <c r="A19" s="47"/>
      <c r="B19" s="47" t="s">
        <v>240</v>
      </c>
      <c r="C19" s="48"/>
      <c r="D19" s="48"/>
      <c r="E19" s="48"/>
      <c r="F19" s="48"/>
      <c r="G19" s="48"/>
      <c r="H19" s="48"/>
      <c r="I19" s="48"/>
      <c r="J19" s="48"/>
      <c r="K19" s="48"/>
      <c r="L19" s="48"/>
      <c r="M19" s="48"/>
      <c r="N19" s="48"/>
      <c r="O19" s="48"/>
      <c r="P19" s="48"/>
      <c r="Q19" s="48"/>
    </row>
    <row r="20" spans="1:17">
      <c r="B20" s="38" t="s">
        <v>63</v>
      </c>
    </row>
    <row r="21" spans="1:17" ht="26.4">
      <c r="B21" s="31" t="s">
        <v>64</v>
      </c>
    </row>
    <row r="22" spans="1:17">
      <c r="B22" s="32" t="s">
        <v>65</v>
      </c>
    </row>
    <row r="23" spans="1:17" ht="26.4">
      <c r="B23" s="31" t="s">
        <v>66</v>
      </c>
    </row>
    <row r="24" spans="1:17" ht="16.8">
      <c r="B24" s="33" t="s">
        <v>67</v>
      </c>
    </row>
    <row r="25" spans="1:17" ht="26.4">
      <c r="B25" s="33" t="s">
        <v>68</v>
      </c>
    </row>
    <row r="26" spans="1:17" ht="26.4">
      <c r="B26" s="33" t="s">
        <v>69</v>
      </c>
    </row>
    <row r="27" spans="1:17">
      <c r="B27" s="33" t="s">
        <v>70</v>
      </c>
    </row>
    <row r="28" spans="1:17" ht="26.4">
      <c r="B28" s="33" t="s">
        <v>71</v>
      </c>
    </row>
    <row r="30" spans="1:17">
      <c r="B30" s="30"/>
    </row>
    <row r="31" spans="1:17">
      <c r="B31" s="32" t="s">
        <v>72</v>
      </c>
    </row>
    <row r="32" spans="1:17" ht="16.8">
      <c r="B32" s="34" t="s">
        <v>73</v>
      </c>
    </row>
    <row r="33" spans="2:4" ht="27" thickBot="1">
      <c r="B33" s="35" t="s">
        <v>74</v>
      </c>
      <c r="C33" s="35" t="s">
        <v>75</v>
      </c>
      <c r="D33" s="35" t="s">
        <v>76</v>
      </c>
    </row>
    <row r="34" spans="2:4" ht="15" thickBot="1">
      <c r="B34" s="36" t="s">
        <v>77</v>
      </c>
      <c r="C34" s="37" t="s">
        <v>78</v>
      </c>
      <c r="D34" s="37" t="s">
        <v>79</v>
      </c>
    </row>
    <row r="35" spans="2:4" ht="15" thickBot="1">
      <c r="B35" s="36" t="s">
        <v>80</v>
      </c>
      <c r="C35" s="37" t="s">
        <v>81</v>
      </c>
      <c r="D35" s="37" t="s">
        <v>82</v>
      </c>
    </row>
    <row r="36" spans="2:4" ht="15" thickBot="1">
      <c r="B36" s="36" t="s">
        <v>83</v>
      </c>
      <c r="C36" s="37" t="s">
        <v>84</v>
      </c>
      <c r="D36" s="37" t="s">
        <v>85</v>
      </c>
    </row>
    <row r="37" spans="2:4" ht="15" thickBot="1">
      <c r="B37" s="36" t="s">
        <v>86</v>
      </c>
      <c r="C37" s="37" t="s">
        <v>87</v>
      </c>
      <c r="D37" s="37" t="s">
        <v>88</v>
      </c>
    </row>
    <row r="38" spans="2:4" ht="15" thickBot="1">
      <c r="B38" s="36" t="s">
        <v>89</v>
      </c>
      <c r="C38" s="37" t="s">
        <v>90</v>
      </c>
      <c r="D38" s="37" t="s">
        <v>91</v>
      </c>
    </row>
    <row r="39" spans="2:4" ht="15" thickBot="1">
      <c r="B39" s="36" t="s">
        <v>92</v>
      </c>
      <c r="C39" s="37" t="s">
        <v>93</v>
      </c>
      <c r="D39" s="37" t="s">
        <v>94</v>
      </c>
    </row>
    <row r="40" spans="2:4">
      <c r="B40" s="73" t="s">
        <v>95</v>
      </c>
      <c r="C40" s="73" t="s">
        <v>96</v>
      </c>
      <c r="D40" s="73" t="s">
        <v>97</v>
      </c>
    </row>
    <row r="41" spans="2:4">
      <c r="B41" s="41"/>
      <c r="C41" s="41"/>
      <c r="D41" s="41"/>
    </row>
    <row r="42" spans="2:4">
      <c r="B42" s="41"/>
      <c r="C42" s="41"/>
      <c r="D42" s="41"/>
    </row>
    <row r="43" spans="2:4">
      <c r="B43" s="41"/>
      <c r="C43" s="41"/>
      <c r="D43" s="41"/>
    </row>
    <row r="44" spans="2:4">
      <c r="B44" s="40" t="s">
        <v>98</v>
      </c>
      <c r="C44" s="41"/>
      <c r="D44" s="41"/>
    </row>
    <row r="45" spans="2:4">
      <c r="B45" s="40" t="s">
        <v>99</v>
      </c>
      <c r="C45" s="41"/>
      <c r="D45" s="41"/>
    </row>
    <row r="46" spans="2:4">
      <c r="B46" s="40" t="s">
        <v>100</v>
      </c>
      <c r="C46" s="41"/>
      <c r="D46" s="41"/>
    </row>
    <row r="47" spans="2:4">
      <c r="B47" s="40" t="s">
        <v>101</v>
      </c>
      <c r="C47" s="41"/>
      <c r="D47" s="41"/>
    </row>
    <row r="48" spans="2:4">
      <c r="B48" s="39" t="s">
        <v>102</v>
      </c>
      <c r="C48" s="41"/>
      <c r="D48" s="41"/>
    </row>
    <row r="49" spans="2:4">
      <c r="B49" s="40" t="s">
        <v>103</v>
      </c>
      <c r="C49" s="41"/>
      <c r="D49" s="41"/>
    </row>
    <row r="50" spans="2:4">
      <c r="B50" s="121" t="s">
        <v>621</v>
      </c>
      <c r="C50" s="41"/>
      <c r="D50" s="41"/>
    </row>
    <row r="51" spans="2:4">
      <c r="B51" s="121" t="s">
        <v>622</v>
      </c>
      <c r="C51" s="41"/>
      <c r="D51" s="41"/>
    </row>
    <row r="52" spans="2:4">
      <c r="B52" s="49" t="s">
        <v>241</v>
      </c>
      <c r="C52" s="41"/>
      <c r="D52" s="41"/>
    </row>
    <row r="53" spans="2:4">
      <c r="B53" s="41"/>
      <c r="C53" s="41"/>
      <c r="D53" s="41"/>
    </row>
    <row r="54" spans="2:4">
      <c r="B54" s="41"/>
      <c r="C54" s="41"/>
      <c r="D54" s="41"/>
    </row>
    <row r="55" spans="2:4">
      <c r="B55" s="54" t="s">
        <v>293</v>
      </c>
      <c r="C55" s="41"/>
      <c r="D55" s="41"/>
    </row>
    <row r="56" spans="2:4">
      <c r="B56" s="41"/>
      <c r="C56" s="41"/>
      <c r="D56" s="41"/>
    </row>
    <row r="57" spans="2:4">
      <c r="B57" s="64" t="s">
        <v>294</v>
      </c>
      <c r="C57" s="41"/>
      <c r="D57" s="41"/>
    </row>
    <row r="58" spans="2:4">
      <c r="C58" s="41"/>
      <c r="D58" s="41"/>
    </row>
    <row r="59" spans="2:4" ht="17.399999999999999">
      <c r="B59" s="65" t="s">
        <v>295</v>
      </c>
      <c r="C59" s="41"/>
      <c r="D59" s="41"/>
    </row>
    <row r="60" spans="2:4">
      <c r="C60" s="41"/>
      <c r="D60" s="41"/>
    </row>
    <row r="61" spans="2:4">
      <c r="B61" s="64" t="s">
        <v>296</v>
      </c>
      <c r="C61" s="41"/>
      <c r="D61" s="41"/>
    </row>
    <row r="62" spans="2:4">
      <c r="B62" s="66"/>
      <c r="C62" s="41"/>
      <c r="D62" s="41"/>
    </row>
    <row r="63" spans="2:4">
      <c r="B63" s="67" t="s">
        <v>297</v>
      </c>
      <c r="C63" s="41"/>
      <c r="D63" s="41"/>
    </row>
    <row r="64" spans="2:4">
      <c r="B64" s="66"/>
      <c r="C64" s="41"/>
      <c r="D64" s="41"/>
    </row>
    <row r="65" spans="2:4">
      <c r="B65" s="67" t="s">
        <v>298</v>
      </c>
      <c r="C65" s="41"/>
      <c r="D65" s="41"/>
    </row>
    <row r="66" spans="2:4">
      <c r="B66" s="66"/>
      <c r="C66" s="41"/>
      <c r="D66" s="41"/>
    </row>
    <row r="67" spans="2:4">
      <c r="B67" s="67" t="s">
        <v>299</v>
      </c>
      <c r="C67" s="41"/>
      <c r="D67" s="41"/>
    </row>
    <row r="68" spans="2:4">
      <c r="B68" s="66"/>
      <c r="C68" s="41"/>
      <c r="D68" s="41"/>
    </row>
    <row r="69" spans="2:4">
      <c r="B69" s="67" t="s">
        <v>300</v>
      </c>
      <c r="C69" s="41"/>
      <c r="D69" s="41"/>
    </row>
    <row r="70" spans="2:4">
      <c r="C70" s="41"/>
      <c r="D70" s="41"/>
    </row>
    <row r="71" spans="2:4" ht="17.399999999999999">
      <c r="B71" s="65" t="s">
        <v>301</v>
      </c>
      <c r="C71" s="41"/>
      <c r="D71" s="41"/>
    </row>
    <row r="72" spans="2:4">
      <c r="C72" s="41"/>
      <c r="D72" s="41"/>
    </row>
    <row r="73" spans="2:4">
      <c r="B73" s="64" t="s">
        <v>302</v>
      </c>
      <c r="C73" s="41"/>
      <c r="D73" s="41"/>
    </row>
    <row r="74" spans="2:4">
      <c r="B74" s="66"/>
      <c r="C74" s="41"/>
      <c r="D74" s="41"/>
    </row>
    <row r="75" spans="2:4">
      <c r="B75" s="67" t="s">
        <v>303</v>
      </c>
      <c r="C75" s="41"/>
      <c r="D75" s="41"/>
    </row>
    <row r="76" spans="2:4">
      <c r="B76" s="66"/>
      <c r="C76" s="41"/>
      <c r="D76" s="41"/>
    </row>
    <row r="77" spans="2:4">
      <c r="B77" s="67" t="s">
        <v>304</v>
      </c>
      <c r="C77" s="41"/>
      <c r="D77" s="41"/>
    </row>
    <row r="78" spans="2:4">
      <c r="B78" s="66"/>
      <c r="C78" s="41"/>
      <c r="D78" s="41"/>
    </row>
    <row r="79" spans="2:4">
      <c r="B79" s="67" t="s">
        <v>305</v>
      </c>
      <c r="C79" s="41"/>
      <c r="D79" s="41"/>
    </row>
    <row r="80" spans="2:4">
      <c r="B80" s="66"/>
      <c r="C80" s="41"/>
      <c r="D80" s="41"/>
    </row>
    <row r="81" spans="2:5">
      <c r="B81" s="67" t="s">
        <v>306</v>
      </c>
      <c r="C81" s="41"/>
      <c r="D81" s="41"/>
    </row>
    <row r="82" spans="2:5">
      <c r="C82" s="41"/>
      <c r="D82" s="41"/>
    </row>
    <row r="83" spans="2:5" ht="17.399999999999999">
      <c r="B83" s="65" t="s">
        <v>307</v>
      </c>
      <c r="C83" s="41"/>
      <c r="D83" s="41"/>
    </row>
    <row r="84" spans="2:5">
      <c r="C84" s="41"/>
      <c r="D84" s="41"/>
    </row>
    <row r="85" spans="2:5">
      <c r="B85" s="64" t="s">
        <v>308</v>
      </c>
      <c r="C85" s="41"/>
      <c r="D85" s="41"/>
    </row>
    <row r="86" spans="2:5">
      <c r="B86" s="66"/>
      <c r="C86" s="41"/>
      <c r="D86" s="41"/>
    </row>
    <row r="87" spans="2:5">
      <c r="B87" s="67" t="s">
        <v>309</v>
      </c>
      <c r="C87" s="41"/>
      <c r="D87" s="41"/>
    </row>
    <row r="88" spans="2:5">
      <c r="B88" s="66"/>
      <c r="C88" s="41"/>
      <c r="D88" s="41"/>
    </row>
    <row r="89" spans="2:5">
      <c r="B89" s="67" t="s">
        <v>310</v>
      </c>
      <c r="C89" s="41"/>
      <c r="D89" s="41"/>
    </row>
    <row r="90" spans="2:5">
      <c r="B90" s="66"/>
      <c r="C90" s="41"/>
      <c r="D90" s="41"/>
    </row>
    <row r="91" spans="2:5">
      <c r="B91" s="67" t="s">
        <v>311</v>
      </c>
      <c r="C91" s="41"/>
      <c r="D91" s="41"/>
    </row>
    <row r="92" spans="2:5">
      <c r="B92" s="41"/>
      <c r="C92" s="41"/>
      <c r="D92" s="41"/>
    </row>
    <row r="93" spans="2:5" ht="15" thickBot="1">
      <c r="B93" s="41"/>
      <c r="C93" s="41"/>
      <c r="D93" s="41"/>
    </row>
    <row r="94" spans="2:5" ht="15" thickBot="1">
      <c r="B94" s="56" t="s">
        <v>312</v>
      </c>
      <c r="C94" s="56" t="s">
        <v>181</v>
      </c>
      <c r="D94" s="56" t="s">
        <v>313</v>
      </c>
      <c r="E94" s="57" t="s">
        <v>314</v>
      </c>
    </row>
    <row r="95" spans="2:5" ht="28.2" thickBot="1">
      <c r="B95" s="58" t="s">
        <v>315</v>
      </c>
      <c r="C95" s="58" t="s">
        <v>316</v>
      </c>
      <c r="D95" s="58" t="s">
        <v>317</v>
      </c>
      <c r="E95" s="59" t="s">
        <v>318</v>
      </c>
    </row>
    <row r="96" spans="2:5" ht="28.2" thickBot="1">
      <c r="B96" s="60" t="s">
        <v>319</v>
      </c>
      <c r="C96" s="60" t="s">
        <v>320</v>
      </c>
      <c r="D96" s="60" t="s">
        <v>321</v>
      </c>
      <c r="E96" s="68" t="s">
        <v>322</v>
      </c>
    </row>
    <row r="97" spans="2:5" ht="28.2" thickBot="1">
      <c r="B97" s="58" t="s">
        <v>323</v>
      </c>
      <c r="C97" s="58" t="s">
        <v>324</v>
      </c>
      <c r="D97" s="58" t="s">
        <v>325</v>
      </c>
      <c r="E97" s="59" t="s">
        <v>326</v>
      </c>
    </row>
    <row r="98" spans="2:5" ht="28.2" thickBot="1">
      <c r="B98" s="58" t="s">
        <v>327</v>
      </c>
      <c r="C98" s="58" t="s">
        <v>328</v>
      </c>
      <c r="D98" s="58" t="s">
        <v>329</v>
      </c>
      <c r="E98" s="59" t="s">
        <v>330</v>
      </c>
    </row>
    <row r="99" spans="2:5">
      <c r="B99" s="41"/>
      <c r="C99" s="41"/>
      <c r="D99" s="41"/>
    </row>
    <row r="100" spans="2:5">
      <c r="B100" s="41"/>
      <c r="C100" s="41"/>
      <c r="D100" s="41"/>
    </row>
    <row r="101" spans="2:5">
      <c r="B101" s="41"/>
      <c r="C101" s="41"/>
      <c r="D101" s="41"/>
    </row>
    <row r="102" spans="2:5">
      <c r="B102" s="41"/>
      <c r="C102" s="41"/>
      <c r="D102" s="41"/>
    </row>
    <row r="103" spans="2:5">
      <c r="B103" s="41"/>
      <c r="C103" s="41"/>
      <c r="D103" s="41"/>
    </row>
    <row r="104" spans="2:5">
      <c r="B104" s="41"/>
      <c r="C104" s="41"/>
      <c r="D104" s="41"/>
    </row>
    <row r="105" spans="2:5">
      <c r="B105" s="41"/>
      <c r="C105" s="41"/>
      <c r="D105" s="41"/>
    </row>
    <row r="106" spans="2:5">
      <c r="B106" s="41"/>
      <c r="C106" s="41"/>
      <c r="D106" s="41"/>
    </row>
    <row r="107" spans="2:5">
      <c r="B107" s="41"/>
      <c r="C107" s="41"/>
      <c r="D107" s="41"/>
    </row>
    <row r="108" spans="2:5">
      <c r="B108" s="41"/>
      <c r="C108" s="41"/>
      <c r="D108" s="41"/>
    </row>
    <row r="109" spans="2:5">
      <c r="B109" s="41"/>
      <c r="C109" s="41"/>
      <c r="D109" s="41"/>
    </row>
    <row r="110" spans="2:5">
      <c r="B110" s="41"/>
      <c r="C110" s="41"/>
      <c r="D110" s="41"/>
    </row>
    <row r="111" spans="2:5">
      <c r="B111" s="41"/>
      <c r="C111" s="41"/>
      <c r="D111" s="41"/>
    </row>
    <row r="112" spans="2:5">
      <c r="B112" s="41"/>
      <c r="C112" s="41"/>
      <c r="D112" s="41"/>
    </row>
    <row r="113" spans="1:17">
      <c r="B113" s="41"/>
      <c r="C113" s="41"/>
      <c r="D113" s="41"/>
    </row>
    <row r="114" spans="1:17">
      <c r="B114" s="41"/>
      <c r="C114" s="41"/>
      <c r="D114" s="41"/>
    </row>
    <row r="115" spans="1:17">
      <c r="B115" s="41"/>
      <c r="C115" s="41"/>
      <c r="D115" s="41"/>
    </row>
    <row r="116" spans="1:17">
      <c r="B116" s="41"/>
      <c r="C116" s="41"/>
      <c r="D116" s="41"/>
    </row>
    <row r="117" spans="1:17">
      <c r="B117" s="41"/>
      <c r="C117" s="41"/>
      <c r="D117" s="41"/>
    </row>
    <row r="118" spans="1:17">
      <c r="B118" s="41"/>
      <c r="C118" s="41"/>
      <c r="D118" s="41"/>
    </row>
    <row r="119" spans="1:17">
      <c r="B119" s="41"/>
      <c r="C119" s="41"/>
      <c r="D119" s="41"/>
    </row>
    <row r="120" spans="1:17">
      <c r="A120" s="47"/>
      <c r="B120" s="47" t="s">
        <v>333</v>
      </c>
      <c r="C120" s="48"/>
      <c r="D120" s="48"/>
      <c r="E120" s="48"/>
      <c r="F120" s="48"/>
      <c r="G120" s="48"/>
      <c r="H120" s="48"/>
      <c r="I120" s="48"/>
      <c r="J120" s="48"/>
      <c r="K120" s="48"/>
      <c r="L120" s="48"/>
      <c r="M120" s="48"/>
      <c r="N120" s="48"/>
      <c r="O120" s="48"/>
      <c r="P120" s="48"/>
      <c r="Q120" s="48"/>
    </row>
    <row r="121" spans="1:17">
      <c r="B121" s="38" t="s">
        <v>104</v>
      </c>
    </row>
    <row r="122" spans="1:17" ht="22.8">
      <c r="B122" s="29"/>
    </row>
    <row r="123" spans="1:17" ht="39.6">
      <c r="B123" s="31" t="s">
        <v>105</v>
      </c>
    </row>
    <row r="124" spans="1:17" ht="26.4">
      <c r="B124" s="31" t="s">
        <v>106</v>
      </c>
    </row>
    <row r="125" spans="1:17">
      <c r="B125" s="32" t="s">
        <v>107</v>
      </c>
    </row>
    <row r="126" spans="1:17" ht="39.6">
      <c r="B126" s="31" t="s">
        <v>108</v>
      </c>
    </row>
    <row r="127" spans="1:17" ht="27" thickBot="1">
      <c r="B127" s="35" t="s">
        <v>74</v>
      </c>
      <c r="C127" s="35" t="s">
        <v>109</v>
      </c>
      <c r="D127" s="35" t="s">
        <v>110</v>
      </c>
    </row>
    <row r="128" spans="1:17" ht="15" thickBot="1">
      <c r="B128" s="36" t="s">
        <v>111</v>
      </c>
      <c r="C128" s="37" t="s">
        <v>112</v>
      </c>
      <c r="D128" s="37" t="s">
        <v>113</v>
      </c>
    </row>
    <row r="129" spans="2:4" ht="15" thickBot="1">
      <c r="B129" s="36" t="s">
        <v>114</v>
      </c>
      <c r="C129" s="37" t="s">
        <v>115</v>
      </c>
      <c r="D129" s="37" t="s">
        <v>116</v>
      </c>
    </row>
    <row r="130" spans="2:4" ht="15" thickBot="1">
      <c r="B130" s="36" t="s">
        <v>117</v>
      </c>
      <c r="C130" s="37" t="s">
        <v>118</v>
      </c>
      <c r="D130" s="37" t="s">
        <v>119</v>
      </c>
    </row>
    <row r="131" spans="2:4" ht="15" thickBot="1">
      <c r="B131" s="36" t="s">
        <v>120</v>
      </c>
      <c r="C131" s="37" t="s">
        <v>121</v>
      </c>
      <c r="D131" s="37" t="s">
        <v>122</v>
      </c>
    </row>
    <row r="132" spans="2:4" ht="15" thickBot="1">
      <c r="B132" s="36" t="s">
        <v>123</v>
      </c>
      <c r="C132" s="37" t="s">
        <v>124</v>
      </c>
      <c r="D132" s="37" t="s">
        <v>125</v>
      </c>
    </row>
    <row r="133" spans="2:4" ht="15" thickBot="1">
      <c r="B133" s="36" t="s">
        <v>126</v>
      </c>
      <c r="C133" s="37" t="s">
        <v>127</v>
      </c>
      <c r="D133" s="37" t="s">
        <v>128</v>
      </c>
    </row>
    <row r="134" spans="2:4" ht="15" thickBot="1">
      <c r="B134" s="36" t="s">
        <v>129</v>
      </c>
      <c r="C134" s="37" t="s">
        <v>130</v>
      </c>
      <c r="D134" s="37" t="s">
        <v>131</v>
      </c>
    </row>
    <row r="135" spans="2:4" ht="15" thickBot="1">
      <c r="B135" s="36" t="s">
        <v>132</v>
      </c>
      <c r="C135" s="36" t="s">
        <v>133</v>
      </c>
      <c r="D135" s="36" t="s">
        <v>134</v>
      </c>
    </row>
    <row r="137" spans="2:4">
      <c r="B137" s="30"/>
    </row>
    <row r="138" spans="2:4">
      <c r="B138" s="32" t="s">
        <v>135</v>
      </c>
    </row>
    <row r="139" spans="2:4" ht="26.4">
      <c r="B139" s="31" t="s">
        <v>136</v>
      </c>
    </row>
    <row r="140" spans="2:4">
      <c r="B140" s="33" t="s">
        <v>137</v>
      </c>
    </row>
    <row r="141" spans="2:4">
      <c r="B141" s="33" t="s">
        <v>138</v>
      </c>
    </row>
    <row r="142" spans="2:4" ht="26.4">
      <c r="B142" s="33" t="s">
        <v>139</v>
      </c>
    </row>
    <row r="144" spans="2:4">
      <c r="B144" s="30"/>
    </row>
    <row r="145" spans="2:3">
      <c r="B145" s="32" t="s">
        <v>140</v>
      </c>
    </row>
    <row r="146" spans="2:3" ht="26.4">
      <c r="B146" s="31" t="s">
        <v>141</v>
      </c>
    </row>
    <row r="147" spans="2:3">
      <c r="B147" s="33" t="s">
        <v>142</v>
      </c>
    </row>
    <row r="148" spans="2:3">
      <c r="B148" s="33" t="s">
        <v>143</v>
      </c>
    </row>
    <row r="150" spans="2:3">
      <c r="B150" s="30"/>
    </row>
    <row r="151" spans="2:3">
      <c r="B151" s="32" t="s">
        <v>144</v>
      </c>
    </row>
    <row r="152" spans="2:3" ht="15" thickBot="1">
      <c r="B152" s="35" t="s">
        <v>145</v>
      </c>
      <c r="C152" s="35" t="s">
        <v>146</v>
      </c>
    </row>
    <row r="153" spans="2:3" ht="15" thickBot="1">
      <c r="B153" s="36" t="s">
        <v>147</v>
      </c>
      <c r="C153" s="37" t="s">
        <v>133</v>
      </c>
    </row>
    <row r="154" spans="2:3" ht="15" thickBot="1">
      <c r="B154" s="36" t="s">
        <v>148</v>
      </c>
      <c r="C154" s="37" t="s">
        <v>149</v>
      </c>
    </row>
    <row r="155" spans="2:3" ht="15" thickBot="1">
      <c r="B155" s="36" t="s">
        <v>150</v>
      </c>
      <c r="C155" s="37" t="s">
        <v>151</v>
      </c>
    </row>
    <row r="156" spans="2:3" ht="15" thickBot="1">
      <c r="B156" s="36" t="s">
        <v>95</v>
      </c>
      <c r="C156" s="36" t="s">
        <v>152</v>
      </c>
    </row>
    <row r="157" spans="2:3">
      <c r="B157" s="32" t="s">
        <v>153</v>
      </c>
    </row>
    <row r="158" spans="2:3" ht="52.8">
      <c r="B158" s="33" t="s">
        <v>154</v>
      </c>
    </row>
    <row r="159" spans="2:3" ht="52.8">
      <c r="B159" s="33" t="s">
        <v>155</v>
      </c>
    </row>
    <row r="160" spans="2:3" ht="39.6">
      <c r="B160" s="33" t="s">
        <v>156</v>
      </c>
    </row>
    <row r="161" spans="2:2" ht="26.4">
      <c r="B161" s="31" t="s">
        <v>157</v>
      </c>
    </row>
    <row r="162" spans="2:2">
      <c r="B162" s="43" t="s">
        <v>158</v>
      </c>
    </row>
    <row r="163" spans="2:2">
      <c r="B163" s="31" t="s">
        <v>159</v>
      </c>
    </row>
    <row r="164" spans="2:2" ht="22.8">
      <c r="B164" s="29"/>
    </row>
    <row r="165" spans="2:2" ht="39.6">
      <c r="B165" s="31" t="s">
        <v>160</v>
      </c>
    </row>
    <row r="166" spans="2:2" ht="26.4">
      <c r="B166" s="31" t="s">
        <v>161</v>
      </c>
    </row>
    <row r="167" spans="2:2">
      <c r="B167" s="32" t="s">
        <v>162</v>
      </c>
    </row>
    <row r="168" spans="2:2" ht="39.6">
      <c r="B168" s="31" t="s">
        <v>163</v>
      </c>
    </row>
    <row r="169" spans="2:2">
      <c r="B169" s="42"/>
    </row>
    <row r="170" spans="2:2">
      <c r="B170" s="33" t="s">
        <v>164</v>
      </c>
    </row>
    <row r="171" spans="2:2" ht="26.4">
      <c r="B171" s="33" t="s">
        <v>165</v>
      </c>
    </row>
    <row r="172" spans="2:2" ht="26.4">
      <c r="B172" s="33" t="s">
        <v>166</v>
      </c>
    </row>
    <row r="173" spans="2:2">
      <c r="B173" s="30"/>
    </row>
    <row r="174" spans="2:2">
      <c r="B174" s="32" t="s">
        <v>167</v>
      </c>
    </row>
    <row r="175" spans="2:2" ht="26.4">
      <c r="B175" s="31" t="s">
        <v>168</v>
      </c>
    </row>
    <row r="176" spans="2:2">
      <c r="B176" s="42"/>
    </row>
    <row r="177" spans="2:5">
      <c r="B177" s="33" t="s">
        <v>169</v>
      </c>
    </row>
    <row r="178" spans="2:5" ht="26.4">
      <c r="B178" s="33" t="s">
        <v>170</v>
      </c>
    </row>
    <row r="179" spans="2:5">
      <c r="B179" s="33" t="s">
        <v>171</v>
      </c>
    </row>
    <row r="180" spans="2:5">
      <c r="B180" s="30"/>
    </row>
    <row r="181" spans="2:5">
      <c r="B181" s="32" t="s">
        <v>172</v>
      </c>
    </row>
    <row r="182" spans="2:5" ht="26.4">
      <c r="B182" s="31" t="s">
        <v>173</v>
      </c>
    </row>
    <row r="183" spans="2:5">
      <c r="B183" s="33" t="s">
        <v>174</v>
      </c>
    </row>
    <row r="184" spans="2:5" ht="26.4">
      <c r="B184" s="33" t="s">
        <v>175</v>
      </c>
    </row>
    <row r="186" spans="2:5">
      <c r="B186" s="30"/>
    </row>
    <row r="187" spans="2:5">
      <c r="B187" s="32" t="s">
        <v>176</v>
      </c>
    </row>
    <row r="188" spans="2:5" ht="15" thickBot="1">
      <c r="B188" s="35" t="s">
        <v>177</v>
      </c>
      <c r="C188" s="35" t="s">
        <v>178</v>
      </c>
      <c r="D188" s="35" t="s">
        <v>179</v>
      </c>
      <c r="E188" s="35" t="s">
        <v>180</v>
      </c>
    </row>
    <row r="189" spans="2:5" ht="15" thickBot="1">
      <c r="B189" s="36" t="s">
        <v>181</v>
      </c>
      <c r="C189" s="36" t="s">
        <v>182</v>
      </c>
      <c r="D189" s="36" t="s">
        <v>183</v>
      </c>
      <c r="E189" s="36" t="s">
        <v>184</v>
      </c>
    </row>
    <row r="190" spans="2:5" ht="15" thickBot="1">
      <c r="B190" s="36" t="s">
        <v>185</v>
      </c>
      <c r="C190" s="37" t="s">
        <v>186</v>
      </c>
      <c r="D190" s="37" t="s">
        <v>187</v>
      </c>
      <c r="E190" s="37" t="s">
        <v>188</v>
      </c>
    </row>
    <row r="191" spans="2:5" ht="27" thickBot="1">
      <c r="B191" s="36" t="s">
        <v>189</v>
      </c>
      <c r="C191" s="37" t="s">
        <v>190</v>
      </c>
      <c r="D191" s="37" t="s">
        <v>191</v>
      </c>
      <c r="E191" s="37" t="s">
        <v>192</v>
      </c>
    </row>
    <row r="192" spans="2:5" ht="15" thickBot="1">
      <c r="B192" s="36" t="s">
        <v>193</v>
      </c>
      <c r="C192" s="37" t="s">
        <v>194</v>
      </c>
      <c r="D192" s="37" t="s">
        <v>195</v>
      </c>
      <c r="E192" s="37" t="s">
        <v>194</v>
      </c>
    </row>
    <row r="193" spans="2:2">
      <c r="B193" s="32" t="s">
        <v>196</v>
      </c>
    </row>
    <row r="194" spans="2:2" ht="52.8">
      <c r="B194" s="31" t="s">
        <v>197</v>
      </c>
    </row>
    <row r="195" spans="2:2" ht="26.4">
      <c r="B195" s="31" t="s">
        <v>198</v>
      </c>
    </row>
    <row r="196" spans="2:2">
      <c r="B196" s="43" t="s">
        <v>158</v>
      </c>
    </row>
    <row r="197" spans="2:2" ht="39.6">
      <c r="B197" s="31" t="s">
        <v>199</v>
      </c>
    </row>
    <row r="198" spans="2:2" ht="22.8">
      <c r="B198" s="29"/>
    </row>
    <row r="199" spans="2:2" ht="39.6">
      <c r="B199" s="31" t="s">
        <v>200</v>
      </c>
    </row>
    <row r="200" spans="2:2" ht="26.4">
      <c r="B200" s="31" t="s">
        <v>201</v>
      </c>
    </row>
    <row r="201" spans="2:2">
      <c r="B201" s="32" t="s">
        <v>202</v>
      </c>
    </row>
    <row r="202" spans="2:2" ht="26.4">
      <c r="B202" s="31" t="s">
        <v>203</v>
      </c>
    </row>
    <row r="203" spans="2:2" ht="39.6">
      <c r="B203" s="33" t="s">
        <v>204</v>
      </c>
    </row>
    <row r="204" spans="2:2" ht="39.6">
      <c r="B204" s="33" t="s">
        <v>205</v>
      </c>
    </row>
    <row r="205" spans="2:2" ht="26.4">
      <c r="B205" s="33" t="s">
        <v>206</v>
      </c>
    </row>
    <row r="206" spans="2:2">
      <c r="B206" s="32" t="s">
        <v>207</v>
      </c>
    </row>
    <row r="207" spans="2:2" ht="39.6">
      <c r="B207" s="31" t="s">
        <v>208</v>
      </c>
    </row>
    <row r="208" spans="2:2">
      <c r="B208" s="32" t="s">
        <v>209</v>
      </c>
    </row>
    <row r="209" spans="2:2">
      <c r="B209" s="33" t="s">
        <v>210</v>
      </c>
    </row>
    <row r="210" spans="2:2">
      <c r="B210" s="33" t="s">
        <v>211</v>
      </c>
    </row>
    <row r="211" spans="2:2">
      <c r="B211" s="33" t="s">
        <v>212</v>
      </c>
    </row>
    <row r="212" spans="2:2">
      <c r="B212" s="33" t="s">
        <v>213</v>
      </c>
    </row>
    <row r="213" spans="2:2">
      <c r="B213" s="33" t="s">
        <v>214</v>
      </c>
    </row>
    <row r="214" spans="2:2">
      <c r="B214" s="33" t="s">
        <v>215</v>
      </c>
    </row>
    <row r="215" spans="2:2">
      <c r="B215" s="33" t="s">
        <v>216</v>
      </c>
    </row>
    <row r="217" spans="2:2">
      <c r="B217" s="30"/>
    </row>
    <row r="218" spans="2:2">
      <c r="B218" s="32" t="s">
        <v>217</v>
      </c>
    </row>
    <row r="219" spans="2:2" ht="26.4">
      <c r="B219" s="32" t="s">
        <v>218</v>
      </c>
    </row>
    <row r="220" spans="2:2" ht="26.4">
      <c r="B220" s="31" t="s">
        <v>219</v>
      </c>
    </row>
    <row r="221" spans="2:2">
      <c r="B221" s="33" t="s">
        <v>220</v>
      </c>
    </row>
    <row r="222" spans="2:2">
      <c r="B222" s="33" t="s">
        <v>221</v>
      </c>
    </row>
    <row r="223" spans="2:2">
      <c r="B223" s="33" t="s">
        <v>222</v>
      </c>
    </row>
    <row r="224" spans="2:2">
      <c r="B224" s="33" t="s">
        <v>223</v>
      </c>
    </row>
    <row r="225" spans="1:17">
      <c r="B225" s="32" t="s">
        <v>224</v>
      </c>
    </row>
    <row r="226" spans="1:17" ht="26.4">
      <c r="B226" s="31" t="s">
        <v>225</v>
      </c>
    </row>
    <row r="227" spans="1:17" ht="15" thickBot="1">
      <c r="B227" s="35" t="s">
        <v>74</v>
      </c>
      <c r="C227" s="35" t="s">
        <v>76</v>
      </c>
    </row>
    <row r="228" spans="1:17" ht="15" thickBot="1">
      <c r="B228" s="36" t="s">
        <v>226</v>
      </c>
      <c r="C228" s="37" t="s">
        <v>227</v>
      </c>
    </row>
    <row r="229" spans="1:17" ht="15" thickBot="1">
      <c r="B229" s="36" t="s">
        <v>228</v>
      </c>
      <c r="C229" s="37" t="s">
        <v>229</v>
      </c>
    </row>
    <row r="230" spans="1:17" ht="15" thickBot="1">
      <c r="B230" s="36" t="s">
        <v>230</v>
      </c>
      <c r="C230" s="37" t="s">
        <v>231</v>
      </c>
    </row>
    <row r="231" spans="1:17" ht="15" thickBot="1">
      <c r="B231" s="36" t="s">
        <v>232</v>
      </c>
      <c r="C231" s="37" t="s">
        <v>233</v>
      </c>
    </row>
    <row r="232" spans="1:17" ht="15" thickBot="1">
      <c r="B232" s="36" t="s">
        <v>234</v>
      </c>
      <c r="C232" s="37" t="s">
        <v>235</v>
      </c>
    </row>
    <row r="233" spans="1:17" ht="15" thickBot="1">
      <c r="B233" s="74" t="s">
        <v>236</v>
      </c>
      <c r="C233" s="74" t="s">
        <v>237</v>
      </c>
    </row>
    <row r="234" spans="1:17" ht="26.4">
      <c r="B234" s="32" t="s">
        <v>238</v>
      </c>
    </row>
    <row r="238" spans="1:17">
      <c r="A238" s="47"/>
      <c r="B238" s="47" t="s">
        <v>334</v>
      </c>
      <c r="C238" s="48"/>
      <c r="D238" s="48"/>
      <c r="E238" s="48"/>
      <c r="F238" s="48"/>
      <c r="G238" s="48"/>
      <c r="H238" s="48"/>
      <c r="I238" s="48"/>
      <c r="J238" s="48"/>
      <c r="K238" s="48"/>
      <c r="L238" s="48"/>
      <c r="M238" s="48"/>
      <c r="N238" s="48"/>
      <c r="O238" s="48"/>
      <c r="P238" s="48"/>
      <c r="Q238" s="48"/>
    </row>
    <row r="239" spans="1:17" ht="15" thickBot="1"/>
    <row r="240" spans="1:17" ht="28.2" thickBot="1">
      <c r="B240" s="56" t="s">
        <v>74</v>
      </c>
      <c r="C240" s="56" t="s">
        <v>10</v>
      </c>
      <c r="D240" s="56" t="s">
        <v>335</v>
      </c>
      <c r="E240" s="57" t="s">
        <v>336</v>
      </c>
    </row>
    <row r="241" spans="2:5" ht="15" thickBot="1">
      <c r="B241" s="60" t="s">
        <v>337</v>
      </c>
      <c r="C241" s="61" t="s">
        <v>338</v>
      </c>
      <c r="D241" s="60" t="s">
        <v>339</v>
      </c>
      <c r="E241" s="68" t="s">
        <v>340</v>
      </c>
    </row>
    <row r="242" spans="2:5" ht="28.2" thickBot="1">
      <c r="B242" s="60" t="s">
        <v>341</v>
      </c>
      <c r="C242" s="61" t="s">
        <v>342</v>
      </c>
      <c r="D242" s="60" t="s">
        <v>343</v>
      </c>
      <c r="E242" s="68" t="s">
        <v>344</v>
      </c>
    </row>
    <row r="243" spans="2:5" ht="28.2" thickBot="1">
      <c r="B243" s="60" t="s">
        <v>345</v>
      </c>
      <c r="C243" s="61" t="s">
        <v>342</v>
      </c>
      <c r="D243" s="60" t="s">
        <v>346</v>
      </c>
      <c r="E243" s="68" t="s">
        <v>347</v>
      </c>
    </row>
    <row r="247" spans="2:5" ht="17.399999999999999">
      <c r="B247" s="65" t="s">
        <v>348</v>
      </c>
    </row>
    <row r="249" spans="2:5" ht="15.6">
      <c r="B249" s="76" t="s">
        <v>349</v>
      </c>
    </row>
    <row r="250" spans="2:5">
      <c r="B250" s="66"/>
    </row>
    <row r="251" spans="2:5">
      <c r="B251" s="67" t="s">
        <v>350</v>
      </c>
    </row>
    <row r="252" spans="2:5">
      <c r="B252" s="66"/>
    </row>
    <row r="253" spans="2:5">
      <c r="B253" s="67" t="s">
        <v>351</v>
      </c>
    </row>
    <row r="255" spans="2:5" ht="15.6">
      <c r="B255" s="76" t="s">
        <v>352</v>
      </c>
    </row>
    <row r="256" spans="2:5">
      <c r="B256" s="66"/>
    </row>
    <row r="257" spans="2:2">
      <c r="B257" s="67" t="s">
        <v>353</v>
      </c>
    </row>
    <row r="258" spans="2:2">
      <c r="B258" s="66"/>
    </row>
    <row r="259" spans="2:2">
      <c r="B259" s="67" t="s">
        <v>354</v>
      </c>
    </row>
    <row r="261" spans="2:2" ht="15.6">
      <c r="B261" s="76" t="s">
        <v>355</v>
      </c>
    </row>
    <row r="262" spans="2:2">
      <c r="B262" s="66"/>
    </row>
    <row r="263" spans="2:2">
      <c r="B263" s="67" t="s">
        <v>356</v>
      </c>
    </row>
    <row r="265" spans="2:2" ht="17.399999999999999">
      <c r="B265" s="65" t="s">
        <v>357</v>
      </c>
    </row>
    <row r="266" spans="2:2">
      <c r="B266" s="66"/>
    </row>
    <row r="267" spans="2:2">
      <c r="B267" s="67" t="s">
        <v>358</v>
      </c>
    </row>
    <row r="268" spans="2:2">
      <c r="B268" s="66"/>
    </row>
    <row r="269" spans="2:2">
      <c r="B269" s="67" t="s">
        <v>359</v>
      </c>
    </row>
    <row r="270" spans="2:2">
      <c r="B270" s="66"/>
    </row>
    <row r="271" spans="2:2">
      <c r="B271" s="67" t="s">
        <v>360</v>
      </c>
    </row>
    <row r="273" spans="2:5">
      <c r="B273" s="77" t="s">
        <v>361</v>
      </c>
    </row>
    <row r="280" spans="2:5">
      <c r="B280" s="64" t="s">
        <v>371</v>
      </c>
    </row>
    <row r="282" spans="2:5">
      <c r="B282" s="64" t="s">
        <v>372</v>
      </c>
    </row>
    <row r="284" spans="2:5" ht="15" thickBot="1"/>
    <row r="285" spans="2:5" ht="28.2" thickBot="1">
      <c r="B285" s="56" t="s">
        <v>363</v>
      </c>
      <c r="C285" s="56" t="s">
        <v>10</v>
      </c>
      <c r="D285" s="56" t="s">
        <v>364</v>
      </c>
      <c r="E285" s="57" t="s">
        <v>365</v>
      </c>
    </row>
    <row r="286" spans="2:5" ht="28.2" thickBot="1">
      <c r="B286" s="56" t="s">
        <v>337</v>
      </c>
      <c r="C286" s="58" t="s">
        <v>338</v>
      </c>
      <c r="D286" s="56" t="s">
        <v>229</v>
      </c>
      <c r="E286" s="59" t="s">
        <v>366</v>
      </c>
    </row>
    <row r="287" spans="2:5" ht="55.8" thickBot="1">
      <c r="B287" s="56" t="s">
        <v>345</v>
      </c>
      <c r="C287" s="58" t="s">
        <v>342</v>
      </c>
      <c r="D287" s="56" t="s">
        <v>367</v>
      </c>
      <c r="E287" s="59" t="s">
        <v>368</v>
      </c>
    </row>
    <row r="288" spans="2:5" ht="69.599999999999994" thickBot="1">
      <c r="B288" s="56" t="s">
        <v>341</v>
      </c>
      <c r="C288" s="58" t="s">
        <v>342</v>
      </c>
      <c r="D288" s="56" t="s">
        <v>369</v>
      </c>
      <c r="E288" s="57" t="s">
        <v>370</v>
      </c>
    </row>
    <row r="291" spans="2:2" ht="22.8">
      <c r="B291" s="29"/>
    </row>
    <row r="292" spans="2:2">
      <c r="B292" s="75"/>
    </row>
    <row r="293" spans="2:2">
      <c r="B293" s="39" t="s">
        <v>373</v>
      </c>
    </row>
    <row r="294" spans="2:2" ht="16.8">
      <c r="B294" s="39" t="s">
        <v>374</v>
      </c>
    </row>
    <row r="295" spans="2:2">
      <c r="B295" s="79" t="s">
        <v>375</v>
      </c>
    </row>
    <row r="296" spans="2:2">
      <c r="B296" s="79" t="s">
        <v>376</v>
      </c>
    </row>
    <row r="297" spans="2:2">
      <c r="B297" s="79" t="s">
        <v>377</v>
      </c>
    </row>
    <row r="298" spans="2:2" ht="16.8">
      <c r="B298" s="39" t="s">
        <v>378</v>
      </c>
    </row>
    <row r="299" spans="2:2">
      <c r="B299" s="79" t="s">
        <v>379</v>
      </c>
    </row>
    <row r="300" spans="2:2">
      <c r="B300" s="79" t="s">
        <v>380</v>
      </c>
    </row>
    <row r="301" spans="2:2">
      <c r="B301" s="79" t="s">
        <v>381</v>
      </c>
    </row>
    <row r="302" spans="2:2">
      <c r="B302" s="79" t="s">
        <v>382</v>
      </c>
    </row>
    <row r="303" spans="2:2">
      <c r="B303" s="39" t="s">
        <v>383</v>
      </c>
    </row>
    <row r="304" spans="2:2">
      <c r="B304" s="38" t="s">
        <v>384</v>
      </c>
    </row>
    <row r="305" spans="2:2">
      <c r="B305" s="79" t="s">
        <v>385</v>
      </c>
    </row>
    <row r="306" spans="2:2">
      <c r="B306" s="79" t="s">
        <v>386</v>
      </c>
    </row>
    <row r="307" spans="2:2">
      <c r="B307" s="66"/>
    </row>
    <row r="308" spans="2:2">
      <c r="B308" s="79" t="s">
        <v>387</v>
      </c>
    </row>
    <row r="312" spans="2:2">
      <c r="B312" s="72" t="s">
        <v>393</v>
      </c>
    </row>
    <row r="313" spans="2:2">
      <c r="B313" s="66"/>
    </row>
    <row r="314" spans="2:2">
      <c r="B314" s="80" t="s">
        <v>388</v>
      </c>
    </row>
    <row r="315" spans="2:2">
      <c r="B315" s="66"/>
    </row>
    <row r="316" spans="2:2">
      <c r="B316" s="80" t="s">
        <v>389</v>
      </c>
    </row>
    <row r="317" spans="2:2">
      <c r="B317" s="66"/>
    </row>
    <row r="318" spans="2:2">
      <c r="B318" s="80" t="s">
        <v>390</v>
      </c>
    </row>
    <row r="320" spans="2:2">
      <c r="B320" s="72" t="s">
        <v>391</v>
      </c>
    </row>
    <row r="322" spans="2:6" ht="18">
      <c r="B322" s="81" t="s">
        <v>392</v>
      </c>
    </row>
    <row r="324" spans="2:6" ht="15" thickBot="1"/>
    <row r="325" spans="2:6" ht="42" thickBot="1">
      <c r="B325" s="56" t="s">
        <v>74</v>
      </c>
      <c r="C325" s="56" t="s">
        <v>10</v>
      </c>
      <c r="D325" s="56" t="s">
        <v>394</v>
      </c>
      <c r="E325" s="56" t="s">
        <v>395</v>
      </c>
      <c r="F325" s="57" t="s">
        <v>396</v>
      </c>
    </row>
    <row r="326" spans="2:6" ht="69.599999999999994" thickBot="1">
      <c r="B326" s="56" t="s">
        <v>337</v>
      </c>
      <c r="C326" s="58" t="s">
        <v>338</v>
      </c>
      <c r="D326" s="56" t="s">
        <v>339</v>
      </c>
      <c r="E326" s="58" t="s">
        <v>397</v>
      </c>
      <c r="F326" s="59" t="s">
        <v>398</v>
      </c>
    </row>
    <row r="327" spans="2:6" ht="97.2" thickBot="1">
      <c r="B327" s="56" t="s">
        <v>345</v>
      </c>
      <c r="C327" s="58" t="s">
        <v>342</v>
      </c>
      <c r="D327" s="56" t="s">
        <v>346</v>
      </c>
      <c r="E327" s="58" t="s">
        <v>399</v>
      </c>
      <c r="F327" s="59" t="s">
        <v>400</v>
      </c>
    </row>
    <row r="328" spans="2:6" ht="124.8" thickBot="1">
      <c r="B328" s="56" t="s">
        <v>341</v>
      </c>
      <c r="C328" s="58" t="s">
        <v>342</v>
      </c>
      <c r="D328" s="56" t="s">
        <v>343</v>
      </c>
      <c r="E328" s="58" t="s">
        <v>401</v>
      </c>
      <c r="F328" s="59" t="s">
        <v>402</v>
      </c>
    </row>
    <row r="331" spans="2:6" ht="17.399999999999999">
      <c r="B331" s="65" t="s">
        <v>403</v>
      </c>
    </row>
    <row r="332" spans="2:6">
      <c r="B332" s="66"/>
    </row>
    <row r="333" spans="2:6">
      <c r="B333" s="67" t="s">
        <v>404</v>
      </c>
    </row>
    <row r="334" spans="2:6">
      <c r="B334" s="66"/>
    </row>
    <row r="335" spans="2:6">
      <c r="B335" s="67" t="s">
        <v>405</v>
      </c>
    </row>
    <row r="336" spans="2:6">
      <c r="B336" s="66"/>
    </row>
    <row r="337" spans="1:17">
      <c r="B337" s="67" t="s">
        <v>406</v>
      </c>
    </row>
    <row r="339" spans="1:17" ht="17.399999999999999">
      <c r="B339" s="65" t="s">
        <v>407</v>
      </c>
    </row>
    <row r="341" spans="1:17">
      <c r="B341" s="64" t="s">
        <v>408</v>
      </c>
    </row>
    <row r="342" spans="1:17">
      <c r="B342" s="66"/>
    </row>
    <row r="343" spans="1:17">
      <c r="B343" s="67" t="s">
        <v>409</v>
      </c>
    </row>
    <row r="344" spans="1:17">
      <c r="B344" s="66"/>
    </row>
    <row r="345" spans="1:17">
      <c r="B345" s="67" t="s">
        <v>410</v>
      </c>
    </row>
    <row r="347" spans="1:17">
      <c r="B347" s="77" t="s">
        <v>411</v>
      </c>
    </row>
    <row r="350" spans="1:17">
      <c r="A350" s="47"/>
      <c r="B350" s="47" t="s">
        <v>413</v>
      </c>
      <c r="C350" s="48"/>
      <c r="D350" s="48"/>
      <c r="E350" s="48"/>
      <c r="F350" s="48"/>
      <c r="G350" s="48"/>
      <c r="H350" s="48"/>
      <c r="I350" s="48"/>
      <c r="J350" s="48"/>
      <c r="K350" s="48"/>
      <c r="L350" s="48"/>
      <c r="M350" s="48"/>
      <c r="N350" s="48"/>
      <c r="O350" s="48"/>
      <c r="P350" s="48"/>
      <c r="Q350" s="48"/>
    </row>
    <row r="352" spans="1:17">
      <c r="B352" s="64" t="s">
        <v>414</v>
      </c>
    </row>
    <row r="354" spans="2:5">
      <c r="B354" s="64" t="s">
        <v>415</v>
      </c>
    </row>
    <row r="356" spans="2:5" ht="17.399999999999999">
      <c r="B356" s="65" t="s">
        <v>416</v>
      </c>
    </row>
    <row r="358" spans="2:5">
      <c r="B358" s="64" t="s">
        <v>417</v>
      </c>
    </row>
    <row r="359" spans="2:5" ht="15" thickBot="1"/>
    <row r="360" spans="2:5" ht="28.2" thickBot="1">
      <c r="B360" s="82" t="s">
        <v>418</v>
      </c>
      <c r="C360" s="82" t="s">
        <v>419</v>
      </c>
      <c r="D360" s="82" t="s">
        <v>420</v>
      </c>
      <c r="E360" s="82" t="s">
        <v>421</v>
      </c>
    </row>
    <row r="361" spans="2:5" ht="28.2" thickBot="1">
      <c r="B361" s="82" t="s">
        <v>422</v>
      </c>
      <c r="C361" s="83" t="s">
        <v>423</v>
      </c>
      <c r="D361" s="82" t="s">
        <v>119</v>
      </c>
      <c r="E361" s="83" t="s">
        <v>424</v>
      </c>
    </row>
    <row r="362" spans="2:5" ht="28.2" thickBot="1">
      <c r="B362" s="82" t="s">
        <v>425</v>
      </c>
      <c r="C362" s="83" t="s">
        <v>426</v>
      </c>
      <c r="D362" s="82" t="s">
        <v>427</v>
      </c>
      <c r="E362" s="83" t="s">
        <v>428</v>
      </c>
    </row>
    <row r="363" spans="2:5">
      <c r="B363" s="67" t="s">
        <v>429</v>
      </c>
    </row>
    <row r="364" spans="2:5">
      <c r="B364" s="66"/>
    </row>
    <row r="365" spans="2:5">
      <c r="B365" s="67" t="s">
        <v>430</v>
      </c>
    </row>
    <row r="369" spans="2:5" ht="17.399999999999999">
      <c r="B369" s="65" t="s">
        <v>431</v>
      </c>
    </row>
    <row r="371" spans="2:5">
      <c r="B371" s="64" t="s">
        <v>432</v>
      </c>
    </row>
    <row r="372" spans="2:5" ht="15" thickBot="1"/>
    <row r="373" spans="2:5" ht="28.2" thickBot="1">
      <c r="B373" s="82" t="s">
        <v>418</v>
      </c>
      <c r="C373" s="82" t="s">
        <v>419</v>
      </c>
      <c r="D373" s="82" t="s">
        <v>420</v>
      </c>
      <c r="E373" s="82" t="s">
        <v>421</v>
      </c>
    </row>
    <row r="374" spans="2:5" ht="28.2" thickBot="1">
      <c r="B374" s="82" t="s">
        <v>422</v>
      </c>
      <c r="C374" s="83" t="s">
        <v>433</v>
      </c>
      <c r="D374" s="82" t="s">
        <v>434</v>
      </c>
      <c r="E374" s="83" t="s">
        <v>435</v>
      </c>
    </row>
    <row r="375" spans="2:5" ht="28.2" thickBot="1">
      <c r="B375" s="82" t="s">
        <v>425</v>
      </c>
      <c r="C375" s="83" t="s">
        <v>436</v>
      </c>
      <c r="D375" s="82" t="s">
        <v>437</v>
      </c>
      <c r="E375" s="83" t="s">
        <v>438</v>
      </c>
    </row>
    <row r="376" spans="2:5">
      <c r="B376" s="67" t="s">
        <v>439</v>
      </c>
    </row>
    <row r="377" spans="2:5">
      <c r="B377" s="66"/>
    </row>
    <row r="378" spans="2:5">
      <c r="B378" s="67" t="s">
        <v>440</v>
      </c>
    </row>
    <row r="382" spans="2:5" ht="17.399999999999999">
      <c r="B382" s="65" t="s">
        <v>441</v>
      </c>
    </row>
    <row r="384" spans="2:5">
      <c r="B384" s="64" t="s">
        <v>442</v>
      </c>
    </row>
    <row r="385" spans="2:5" ht="15" thickBot="1">
      <c r="B385" s="78"/>
    </row>
    <row r="386" spans="2:5" ht="28.2" thickBot="1">
      <c r="B386" s="82" t="s">
        <v>418</v>
      </c>
      <c r="C386" s="82" t="s">
        <v>443</v>
      </c>
      <c r="D386" s="82" t="s">
        <v>420</v>
      </c>
      <c r="E386" s="82" t="s">
        <v>421</v>
      </c>
    </row>
    <row r="387" spans="2:5" ht="15" thickBot="1">
      <c r="B387" s="82" t="s">
        <v>422</v>
      </c>
      <c r="C387" s="83" t="s">
        <v>444</v>
      </c>
      <c r="D387" s="82" t="s">
        <v>113</v>
      </c>
      <c r="E387" s="83" t="s">
        <v>445</v>
      </c>
    </row>
    <row r="388" spans="2:5" ht="28.2" thickBot="1">
      <c r="B388" s="82" t="s">
        <v>425</v>
      </c>
      <c r="C388" s="83" t="s">
        <v>446</v>
      </c>
      <c r="D388" s="82" t="s">
        <v>447</v>
      </c>
      <c r="E388" s="83" t="s">
        <v>448</v>
      </c>
    </row>
    <row r="389" spans="2:5">
      <c r="B389" s="67" t="s">
        <v>449</v>
      </c>
    </row>
    <row r="393" spans="2:5" ht="17.399999999999999">
      <c r="B393" s="65" t="s">
        <v>450</v>
      </c>
    </row>
    <row r="394" spans="2:5">
      <c r="B394" s="66"/>
    </row>
    <row r="395" spans="2:5">
      <c r="B395" s="67" t="s">
        <v>451</v>
      </c>
    </row>
    <row r="396" spans="2:5">
      <c r="B396" s="66"/>
    </row>
    <row r="397" spans="2:5">
      <c r="B397" s="67" t="s">
        <v>452</v>
      </c>
    </row>
    <row r="398" spans="2:5">
      <c r="B398" s="66"/>
    </row>
    <row r="399" spans="2:5">
      <c r="B399" s="67" t="s">
        <v>453</v>
      </c>
    </row>
    <row r="405" spans="1:17">
      <c r="A405" s="47"/>
      <c r="B405" s="47" t="s">
        <v>456</v>
      </c>
      <c r="C405" s="48"/>
      <c r="D405" s="48"/>
      <c r="E405" s="48"/>
      <c r="F405" s="48"/>
      <c r="G405" s="48"/>
      <c r="H405" s="48"/>
      <c r="I405" s="48"/>
      <c r="J405" s="48"/>
      <c r="K405" s="48"/>
      <c r="L405" s="48"/>
      <c r="M405" s="48"/>
      <c r="N405" s="48"/>
      <c r="O405" s="48"/>
      <c r="P405" s="48"/>
      <c r="Q405" s="48"/>
    </row>
    <row r="406" spans="1:17" ht="15" thickBot="1"/>
    <row r="407" spans="1:17" ht="28.2" thickBot="1">
      <c r="B407" s="56" t="s">
        <v>74</v>
      </c>
      <c r="C407" s="56" t="s">
        <v>457</v>
      </c>
      <c r="D407" s="57" t="s">
        <v>458</v>
      </c>
    </row>
    <row r="408" spans="1:17" ht="15" thickBot="1">
      <c r="B408" s="56" t="s">
        <v>459</v>
      </c>
      <c r="C408" s="58" t="s">
        <v>460</v>
      </c>
      <c r="D408" s="59" t="s">
        <v>461</v>
      </c>
    </row>
    <row r="409" spans="1:17" ht="15" thickBot="1">
      <c r="B409" s="56" t="s">
        <v>462</v>
      </c>
      <c r="C409" s="58" t="s">
        <v>463</v>
      </c>
      <c r="D409" s="59" t="s">
        <v>464</v>
      </c>
    </row>
    <row r="410" spans="1:17" ht="15" thickBot="1">
      <c r="B410" s="56" t="s">
        <v>465</v>
      </c>
      <c r="C410" s="58" t="s">
        <v>464</v>
      </c>
      <c r="D410" s="59" t="s">
        <v>466</v>
      </c>
    </row>
    <row r="411" spans="1:17" ht="15" thickBot="1">
      <c r="B411" s="56" t="s">
        <v>467</v>
      </c>
      <c r="C411" s="58" t="s">
        <v>229</v>
      </c>
      <c r="D411" s="59" t="s">
        <v>463</v>
      </c>
    </row>
    <row r="412" spans="1:17" ht="15" thickBot="1">
      <c r="B412" s="60" t="s">
        <v>468</v>
      </c>
      <c r="C412" s="60" t="s">
        <v>469</v>
      </c>
      <c r="D412" s="62" t="s">
        <v>470</v>
      </c>
    </row>
    <row r="415" spans="1:17" ht="17.399999999999999">
      <c r="B415" s="65" t="s">
        <v>471</v>
      </c>
    </row>
    <row r="417" spans="2:2">
      <c r="B417" s="64" t="s">
        <v>472</v>
      </c>
    </row>
    <row r="418" spans="2:2">
      <c r="B418" s="66"/>
    </row>
    <row r="419" spans="2:2">
      <c r="B419" s="67" t="s">
        <v>473</v>
      </c>
    </row>
    <row r="420" spans="2:2">
      <c r="B420" s="66"/>
    </row>
    <row r="421" spans="2:2">
      <c r="B421" s="67" t="s">
        <v>474</v>
      </c>
    </row>
    <row r="422" spans="2:2">
      <c r="B422" s="66"/>
    </row>
    <row r="423" spans="2:2">
      <c r="B423" s="67" t="s">
        <v>475</v>
      </c>
    </row>
    <row r="425" spans="2:2" ht="17.399999999999999">
      <c r="B425" s="65" t="s">
        <v>476</v>
      </c>
    </row>
    <row r="427" spans="2:2">
      <c r="B427" s="64" t="s">
        <v>477</v>
      </c>
    </row>
    <row r="428" spans="2:2">
      <c r="B428" s="66"/>
    </row>
    <row r="429" spans="2:2">
      <c r="B429" s="67" t="s">
        <v>478</v>
      </c>
    </row>
    <row r="430" spans="2:2">
      <c r="B430" s="66"/>
    </row>
    <row r="431" spans="2:2">
      <c r="B431" s="67" t="s">
        <v>479</v>
      </c>
    </row>
    <row r="432" spans="2:2">
      <c r="B432" s="66"/>
    </row>
    <row r="433" spans="2:2">
      <c r="B433" s="67" t="s">
        <v>480</v>
      </c>
    </row>
    <row r="435" spans="2:2" ht="17.399999999999999">
      <c r="B435" s="65" t="s">
        <v>481</v>
      </c>
    </row>
    <row r="437" spans="2:2">
      <c r="B437" s="64" t="s">
        <v>482</v>
      </c>
    </row>
    <row r="438" spans="2:2">
      <c r="B438" s="66"/>
    </row>
    <row r="439" spans="2:2">
      <c r="B439" s="67" t="s">
        <v>483</v>
      </c>
    </row>
    <row r="440" spans="2:2">
      <c r="B440" s="66"/>
    </row>
    <row r="441" spans="2:2">
      <c r="B441" s="89"/>
    </row>
    <row r="442" spans="2:2">
      <c r="B442" s="91" t="s">
        <v>484</v>
      </c>
    </row>
    <row r="443" spans="2:2">
      <c r="B443" s="90"/>
    </row>
    <row r="444" spans="2:2">
      <c r="B444" s="91" t="s">
        <v>485</v>
      </c>
    </row>
    <row r="445" spans="2:2">
      <c r="B445" s="90"/>
    </row>
    <row r="446" spans="2:2">
      <c r="B446" s="91" t="s">
        <v>486</v>
      </c>
    </row>
    <row r="447" spans="2:2">
      <c r="B447" s="66"/>
    </row>
    <row r="448" spans="2:2">
      <c r="B448" s="67" t="s">
        <v>487</v>
      </c>
    </row>
    <row r="450" spans="1:17" ht="17.399999999999999">
      <c r="B450" s="65" t="s">
        <v>488</v>
      </c>
    </row>
    <row r="452" spans="1:17">
      <c r="B452" s="64" t="s">
        <v>489</v>
      </c>
    </row>
    <row r="453" spans="1:17">
      <c r="B453" s="66"/>
    </row>
    <row r="454" spans="1:17">
      <c r="B454" s="67" t="s">
        <v>490</v>
      </c>
    </row>
    <row r="455" spans="1:17">
      <c r="B455" s="66"/>
    </row>
    <row r="456" spans="1:17">
      <c r="B456" s="67" t="s">
        <v>491</v>
      </c>
    </row>
    <row r="457" spans="1:17">
      <c r="B457" s="66"/>
    </row>
    <row r="458" spans="1:17">
      <c r="B458" s="67" t="s">
        <v>492</v>
      </c>
    </row>
    <row r="459" spans="1:17">
      <c r="A459" s="84"/>
    </row>
    <row r="460" spans="1:17">
      <c r="A460" s="47"/>
      <c r="B460" s="47" t="s">
        <v>562</v>
      </c>
      <c r="C460" s="48"/>
      <c r="D460" s="48"/>
      <c r="E460" s="48"/>
      <c r="F460" s="48"/>
      <c r="G460" s="48"/>
      <c r="H460" s="48"/>
      <c r="I460" s="48"/>
      <c r="J460" s="48"/>
      <c r="K460" s="48"/>
      <c r="L460" s="48"/>
      <c r="M460" s="48"/>
      <c r="N460" s="48"/>
      <c r="O460" s="48"/>
      <c r="P460" s="48"/>
      <c r="Q460" s="48"/>
    </row>
    <row r="462" spans="1:17" ht="27.6">
      <c r="B462" s="96" t="s">
        <v>145</v>
      </c>
      <c r="C462" s="96" t="s">
        <v>548</v>
      </c>
      <c r="D462" s="97" t="s">
        <v>520</v>
      </c>
    </row>
    <row r="463" spans="1:17" ht="27.6">
      <c r="B463" s="96" t="s">
        <v>549</v>
      </c>
      <c r="C463" s="112">
        <v>650000</v>
      </c>
      <c r="D463" s="99" t="s">
        <v>550</v>
      </c>
    </row>
    <row r="464" spans="1:17" ht="27.6">
      <c r="B464" s="96" t="s">
        <v>551</v>
      </c>
      <c r="C464" s="112">
        <v>1200000</v>
      </c>
      <c r="D464" s="99" t="s">
        <v>552</v>
      </c>
    </row>
    <row r="465" spans="2:4" ht="27.6">
      <c r="B465" s="96" t="s">
        <v>553</v>
      </c>
      <c r="C465" s="112">
        <v>350000</v>
      </c>
      <c r="D465" s="99" t="s">
        <v>554</v>
      </c>
    </row>
    <row r="466" spans="2:4" ht="27.6">
      <c r="B466" s="96" t="s">
        <v>555</v>
      </c>
      <c r="C466" s="112">
        <v>400000</v>
      </c>
      <c r="D466" s="99" t="s">
        <v>556</v>
      </c>
    </row>
    <row r="467" spans="2:4" ht="27.6">
      <c r="B467" s="96" t="s">
        <v>557</v>
      </c>
      <c r="C467" s="112">
        <v>250000</v>
      </c>
      <c r="D467" s="99" t="s">
        <v>558</v>
      </c>
    </row>
    <row r="468" spans="2:4" ht="28.2" thickBot="1">
      <c r="B468" s="113" t="s">
        <v>559</v>
      </c>
      <c r="C468" s="114">
        <v>150000</v>
      </c>
      <c r="D468" s="115" t="s">
        <v>560</v>
      </c>
    </row>
    <row r="469" spans="2:4" ht="15" thickBot="1">
      <c r="B469" s="116" t="s">
        <v>95</v>
      </c>
      <c r="C469" s="117" t="s">
        <v>561</v>
      </c>
      <c r="D469" s="119">
        <v>23000</v>
      </c>
    </row>
    <row r="472" spans="2:4" ht="23.4">
      <c r="B472" s="118" t="s">
        <v>563</v>
      </c>
    </row>
    <row r="474" spans="2:4" ht="18">
      <c r="B474" s="81" t="s">
        <v>564</v>
      </c>
    </row>
    <row r="476" spans="2:4">
      <c r="B476" s="84" t="s">
        <v>565</v>
      </c>
    </row>
    <row r="477" spans="2:4">
      <c r="B477" s="66"/>
    </row>
    <row r="478" spans="2:4">
      <c r="B478" s="80" t="s">
        <v>566</v>
      </c>
    </row>
    <row r="479" spans="2:4">
      <c r="B479" s="66"/>
    </row>
    <row r="480" spans="2:4">
      <c r="B480" s="80" t="s">
        <v>567</v>
      </c>
    </row>
    <row r="482" spans="2:2" ht="18">
      <c r="B482" s="81" t="s">
        <v>568</v>
      </c>
    </row>
    <row r="484" spans="2:2">
      <c r="B484" s="84" t="s">
        <v>569</v>
      </c>
    </row>
    <row r="485" spans="2:2">
      <c r="B485" s="66"/>
    </row>
    <row r="486" spans="2:2">
      <c r="B486" s="80" t="s">
        <v>570</v>
      </c>
    </row>
    <row r="487" spans="2:2">
      <c r="B487" s="66"/>
    </row>
    <row r="488" spans="2:2">
      <c r="B488" s="80" t="s">
        <v>571</v>
      </c>
    </row>
    <row r="489" spans="2:2">
      <c r="B489" s="66"/>
    </row>
    <row r="490" spans="2:2">
      <c r="B490" s="80" t="s">
        <v>572</v>
      </c>
    </row>
    <row r="492" spans="2:2" ht="18">
      <c r="B492" s="81" t="s">
        <v>573</v>
      </c>
    </row>
    <row r="494" spans="2:2">
      <c r="B494" s="84" t="s">
        <v>574</v>
      </c>
    </row>
    <row r="495" spans="2:2">
      <c r="B495" s="66"/>
    </row>
    <row r="496" spans="2:2">
      <c r="B496" s="80" t="s">
        <v>575</v>
      </c>
    </row>
    <row r="497" spans="2:2">
      <c r="B497" s="66"/>
    </row>
    <row r="498" spans="2:2">
      <c r="B498" s="80" t="s">
        <v>576</v>
      </c>
    </row>
    <row r="499" spans="2:2">
      <c r="B499" s="66"/>
    </row>
    <row r="500" spans="2:2">
      <c r="B500" s="80" t="s">
        <v>577</v>
      </c>
    </row>
    <row r="502" spans="2:2" ht="18">
      <c r="B502" s="81" t="s">
        <v>578</v>
      </c>
    </row>
    <row r="504" spans="2:2">
      <c r="B504" s="84" t="s">
        <v>579</v>
      </c>
    </row>
    <row r="505" spans="2:2">
      <c r="B505" s="66"/>
    </row>
    <row r="506" spans="2:2">
      <c r="B506" s="80" t="s">
        <v>580</v>
      </c>
    </row>
    <row r="507" spans="2:2">
      <c r="B507" s="66"/>
    </row>
    <row r="508" spans="2:2">
      <c r="B508" s="80" t="s">
        <v>581</v>
      </c>
    </row>
    <row r="510" spans="2:2" ht="23.4">
      <c r="B510" s="118" t="s">
        <v>582</v>
      </c>
    </row>
    <row r="511" spans="2:2">
      <c r="B511" s="66"/>
    </row>
    <row r="512" spans="2:2">
      <c r="B512" s="80" t="s">
        <v>583</v>
      </c>
    </row>
    <row r="513" spans="1:17">
      <c r="B513" s="66"/>
    </row>
    <row r="514" spans="1:17">
      <c r="B514" s="80" t="s">
        <v>584</v>
      </c>
    </row>
    <row r="515" spans="1:17">
      <c r="B515" s="66"/>
    </row>
    <row r="516" spans="1:17">
      <c r="B516" s="80" t="s">
        <v>585</v>
      </c>
    </row>
    <row r="517" spans="1:17">
      <c r="B517" s="66"/>
    </row>
    <row r="518" spans="1:17">
      <c r="B518" s="80" t="s">
        <v>586</v>
      </c>
    </row>
    <row r="519" spans="1:17">
      <c r="B519" s="80"/>
    </row>
    <row r="520" spans="1:17">
      <c r="A520" s="47"/>
      <c r="B520" s="47" t="s">
        <v>588</v>
      </c>
      <c r="C520" s="48"/>
      <c r="D520" s="48"/>
      <c r="E520" s="48"/>
      <c r="F520" s="48"/>
      <c r="G520" s="48"/>
      <c r="H520" s="48"/>
      <c r="I520" s="48"/>
      <c r="J520" s="48"/>
      <c r="K520" s="48"/>
      <c r="L520" s="48"/>
      <c r="M520" s="48"/>
      <c r="N520" s="48"/>
      <c r="O520" s="48"/>
      <c r="P520" s="48"/>
      <c r="Q520" s="48"/>
    </row>
    <row r="521" spans="1:17">
      <c r="B521" s="80"/>
    </row>
    <row r="522" spans="1:17" ht="27.6">
      <c r="B522" s="96" t="s">
        <v>74</v>
      </c>
      <c r="C522" s="97" t="s">
        <v>76</v>
      </c>
    </row>
    <row r="523" spans="1:17">
      <c r="B523" s="96" t="s">
        <v>589</v>
      </c>
      <c r="C523" s="97" t="s">
        <v>590</v>
      </c>
    </row>
    <row r="524" spans="1:17">
      <c r="B524" s="96" t="s">
        <v>591</v>
      </c>
      <c r="C524" s="97" t="s">
        <v>592</v>
      </c>
    </row>
    <row r="525" spans="1:17">
      <c r="B525" s="96" t="s">
        <v>593</v>
      </c>
      <c r="C525" s="97" t="s">
        <v>594</v>
      </c>
    </row>
    <row r="526" spans="1:17">
      <c r="B526" s="96" t="s">
        <v>595</v>
      </c>
      <c r="C526" s="97" t="s">
        <v>463</v>
      </c>
    </row>
    <row r="527" spans="1:17">
      <c r="B527" s="96" t="s">
        <v>596</v>
      </c>
      <c r="C527" s="97" t="s">
        <v>597</v>
      </c>
    </row>
    <row r="528" spans="1:17">
      <c r="B528" s="80"/>
    </row>
    <row r="529" spans="2:2">
      <c r="B529" s="84" t="s">
        <v>598</v>
      </c>
    </row>
    <row r="531" spans="2:2">
      <c r="B531" s="84" t="s">
        <v>599</v>
      </c>
    </row>
    <row r="533" spans="2:2" ht="18">
      <c r="B533" s="81" t="s">
        <v>600</v>
      </c>
    </row>
    <row r="534" spans="2:2">
      <c r="B534" s="66"/>
    </row>
    <row r="535" spans="2:2">
      <c r="B535" s="80" t="s">
        <v>601</v>
      </c>
    </row>
    <row r="536" spans="2:2">
      <c r="B536" s="66"/>
    </row>
    <row r="537" spans="2:2">
      <c r="B537" s="80" t="s">
        <v>602</v>
      </c>
    </row>
    <row r="538" spans="2:2">
      <c r="B538" s="66"/>
    </row>
    <row r="539" spans="2:2">
      <c r="B539" s="80" t="s">
        <v>603</v>
      </c>
    </row>
    <row r="541" spans="2:2" ht="18">
      <c r="B541" s="81" t="s">
        <v>604</v>
      </c>
    </row>
    <row r="543" spans="2:2">
      <c r="B543" s="84" t="s">
        <v>605</v>
      </c>
    </row>
    <row r="544" spans="2:2">
      <c r="B544" s="80"/>
    </row>
    <row r="545" spans="2:2" ht="23.4">
      <c r="B545" s="118" t="s">
        <v>606</v>
      </c>
    </row>
    <row r="547" spans="2:2">
      <c r="B547" s="84" t="s">
        <v>607</v>
      </c>
    </row>
    <row r="548" spans="2:2">
      <c r="B548" s="66"/>
    </row>
    <row r="549" spans="2:2">
      <c r="B549" s="80" t="s">
        <v>608</v>
      </c>
    </row>
    <row r="550" spans="2:2">
      <c r="B550" s="66"/>
    </row>
    <row r="551" spans="2:2">
      <c r="B551" s="80" t="s">
        <v>609</v>
      </c>
    </row>
    <row r="552" spans="2:2">
      <c r="B552" s="66"/>
    </row>
    <row r="553" spans="2:2">
      <c r="B553" s="80" t="s">
        <v>610</v>
      </c>
    </row>
    <row r="555" spans="2:2" ht="18">
      <c r="B555" s="81" t="s">
        <v>611</v>
      </c>
    </row>
    <row r="557" spans="2:2">
      <c r="B557" s="84" t="s">
        <v>612</v>
      </c>
    </row>
    <row r="558" spans="2:2">
      <c r="B558" s="66"/>
    </row>
    <row r="559" spans="2:2">
      <c r="B559" s="80" t="s">
        <v>613</v>
      </c>
    </row>
    <row r="560" spans="2:2">
      <c r="B560" s="80"/>
    </row>
    <row r="562" spans="1:17">
      <c r="A562" s="47"/>
      <c r="B562" s="47" t="s">
        <v>544</v>
      </c>
      <c r="C562" s="48"/>
      <c r="D562" s="48"/>
      <c r="E562" s="48"/>
      <c r="F562" s="48"/>
      <c r="G562" s="48"/>
      <c r="H562" s="48"/>
      <c r="I562" s="48"/>
      <c r="J562" s="48"/>
      <c r="K562" s="48"/>
      <c r="L562" s="48"/>
      <c r="M562" s="48"/>
      <c r="N562" s="48"/>
      <c r="O562" s="48"/>
      <c r="P562" s="48"/>
      <c r="Q562" s="48"/>
    </row>
    <row r="564" spans="1:17">
      <c r="B564" s="96" t="s">
        <v>145</v>
      </c>
      <c r="C564" s="96" t="s">
        <v>497</v>
      </c>
      <c r="D564" s="97" t="s">
        <v>498</v>
      </c>
      <c r="E564" s="94" t="s">
        <v>515</v>
      </c>
    </row>
    <row r="565" spans="1:17" ht="27.6">
      <c r="B565" s="96" t="s">
        <v>499</v>
      </c>
      <c r="C565" s="98" t="s">
        <v>500</v>
      </c>
      <c r="D565" s="99" t="s">
        <v>501</v>
      </c>
      <c r="E565" s="100">
        <v>85</v>
      </c>
    </row>
    <row r="566" spans="1:17" ht="41.4">
      <c r="B566" s="96" t="s">
        <v>502</v>
      </c>
      <c r="C566" s="98" t="s">
        <v>503</v>
      </c>
      <c r="D566" s="99" t="s">
        <v>504</v>
      </c>
      <c r="E566" s="100">
        <v>2500</v>
      </c>
    </row>
    <row r="567" spans="1:17" ht="27.6">
      <c r="B567" s="96" t="s">
        <v>505</v>
      </c>
      <c r="C567" s="98" t="s">
        <v>506</v>
      </c>
      <c r="D567" s="99" t="s">
        <v>507</v>
      </c>
      <c r="E567" s="100">
        <v>350</v>
      </c>
    </row>
    <row r="568" spans="1:17" ht="27.6">
      <c r="B568" s="96" t="s">
        <v>508</v>
      </c>
      <c r="C568" s="98" t="s">
        <v>509</v>
      </c>
      <c r="D568" s="99" t="s">
        <v>510</v>
      </c>
      <c r="E568" s="100">
        <v>200</v>
      </c>
    </row>
    <row r="569" spans="1:17" ht="27.6">
      <c r="B569" s="96" t="s">
        <v>511</v>
      </c>
      <c r="C569" s="98" t="s">
        <v>512</v>
      </c>
      <c r="D569" s="99" t="s">
        <v>513</v>
      </c>
      <c r="E569" s="100">
        <v>500</v>
      </c>
    </row>
    <row r="570" spans="1:17">
      <c r="B570" s="96" t="s">
        <v>540</v>
      </c>
      <c r="C570" s="96" t="s">
        <v>514</v>
      </c>
      <c r="D570" s="99"/>
      <c r="E570" s="101">
        <f>SUM(E565:E569)</f>
        <v>3635</v>
      </c>
    </row>
    <row r="571" spans="1:17">
      <c r="B571" s="96" t="s">
        <v>516</v>
      </c>
      <c r="C571" s="95"/>
      <c r="D571" s="95"/>
      <c r="E571" s="100">
        <f>SUM(F578:F580)+E574</f>
        <v>6155</v>
      </c>
    </row>
    <row r="572" spans="1:17">
      <c r="B572" s="108" t="s">
        <v>236</v>
      </c>
      <c r="C572" s="108"/>
      <c r="D572" s="109"/>
      <c r="E572" s="110">
        <f>SUM(E570:E571)</f>
        <v>9790</v>
      </c>
    </row>
    <row r="573" spans="1:17">
      <c r="B573" s="102"/>
    </row>
    <row r="574" spans="1:17">
      <c r="B574" s="102" t="s">
        <v>542</v>
      </c>
      <c r="D574" s="53">
        <v>1.4999999999999999E-2</v>
      </c>
      <c r="E574" s="100">
        <f>Summary!C34*5*D574</f>
        <v>5400</v>
      </c>
    </row>
    <row r="575" spans="1:17">
      <c r="B575" s="102"/>
      <c r="D575" s="46"/>
      <c r="E575" s="71"/>
    </row>
    <row r="576" spans="1:17">
      <c r="B576" s="102" t="s">
        <v>517</v>
      </c>
    </row>
    <row r="577" spans="1:17">
      <c r="B577" s="96" t="s">
        <v>74</v>
      </c>
      <c r="C577" s="96" t="s">
        <v>518</v>
      </c>
      <c r="D577" s="96" t="s">
        <v>519</v>
      </c>
      <c r="E577" s="97" t="s">
        <v>520</v>
      </c>
      <c r="F577" s="107" t="s">
        <v>515</v>
      </c>
    </row>
    <row r="578" spans="1:17" ht="27.6">
      <c r="B578" s="96" t="s">
        <v>521</v>
      </c>
      <c r="C578" s="98" t="s">
        <v>522</v>
      </c>
      <c r="D578" s="96" t="s">
        <v>523</v>
      </c>
      <c r="E578" s="99" t="s">
        <v>524</v>
      </c>
      <c r="F578" s="100">
        <v>40</v>
      </c>
    </row>
    <row r="579" spans="1:17" ht="27.6">
      <c r="B579" s="96" t="s">
        <v>525</v>
      </c>
      <c r="C579" s="98" t="s">
        <v>526</v>
      </c>
      <c r="D579" s="96" t="s">
        <v>527</v>
      </c>
      <c r="E579" s="99" t="s">
        <v>528</v>
      </c>
      <c r="F579" s="100">
        <v>600</v>
      </c>
    </row>
    <row r="580" spans="1:17" ht="27.6">
      <c r="B580" s="96" t="s">
        <v>529</v>
      </c>
      <c r="C580" s="98" t="s">
        <v>530</v>
      </c>
      <c r="D580" s="96" t="s">
        <v>531</v>
      </c>
      <c r="E580" s="99" t="s">
        <v>532</v>
      </c>
      <c r="F580" s="100">
        <v>115</v>
      </c>
    </row>
    <row r="581" spans="1:17" ht="41.4">
      <c r="B581" s="103" t="s">
        <v>533</v>
      </c>
      <c r="C581" s="104" t="s">
        <v>534</v>
      </c>
      <c r="D581" s="103" t="s">
        <v>535</v>
      </c>
      <c r="E581" s="105" t="s">
        <v>536</v>
      </c>
      <c r="F581" s="106" t="s">
        <v>541</v>
      </c>
    </row>
    <row r="582" spans="1:17" ht="27.6">
      <c r="B582" s="96" t="s">
        <v>537</v>
      </c>
      <c r="C582" s="98"/>
      <c r="D582" s="96" t="s">
        <v>538</v>
      </c>
      <c r="E582" s="99" t="s">
        <v>539</v>
      </c>
      <c r="F582" s="95"/>
    </row>
    <row r="585" spans="1:17">
      <c r="A585" s="47"/>
      <c r="B585" s="47" t="s">
        <v>615</v>
      </c>
      <c r="C585" s="48"/>
      <c r="D585" s="48"/>
      <c r="E585" s="48"/>
      <c r="F585" s="48"/>
      <c r="G585" s="48"/>
      <c r="H585" s="48"/>
      <c r="I585" s="48"/>
      <c r="J585" s="48"/>
      <c r="K585" s="48"/>
      <c r="L585" s="48"/>
      <c r="M585" s="48"/>
      <c r="N585" s="48"/>
      <c r="O585" s="48"/>
      <c r="P585" s="48"/>
      <c r="Q585" s="48"/>
    </row>
    <row r="587" spans="1:17">
      <c r="B587" s="96" t="s">
        <v>74</v>
      </c>
      <c r="C587" s="96" t="s">
        <v>616</v>
      </c>
    </row>
    <row r="588" spans="1:17">
      <c r="B588" s="98" t="s">
        <v>617</v>
      </c>
      <c r="C588" s="100">
        <v>600</v>
      </c>
    </row>
    <row r="589" spans="1:17">
      <c r="B589" s="98" t="s">
        <v>618</v>
      </c>
      <c r="C589" s="100">
        <v>2800</v>
      </c>
    </row>
    <row r="590" spans="1:17">
      <c r="B590" s="98" t="s">
        <v>619</v>
      </c>
      <c r="C590" s="100">
        <v>1200</v>
      </c>
    </row>
    <row r="591" spans="1:17">
      <c r="B591" s="98" t="s">
        <v>620</v>
      </c>
      <c r="C591" s="100">
        <v>1000</v>
      </c>
    </row>
    <row r="592" spans="1:17">
      <c r="B592" s="120" t="s">
        <v>236</v>
      </c>
      <c r="C592" s="110">
        <f>SUM(C588:C591)</f>
        <v>5600</v>
      </c>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C8F3C-2867-4F63-BA74-C0A7133E7DF2}">
  <dimension ref="A1:C50"/>
  <sheetViews>
    <sheetView showGridLines="0" workbookViewId="0"/>
  </sheetViews>
  <sheetFormatPr defaultRowHeight="14.4"/>
  <cols>
    <col min="1" max="1" width="28.21875" customWidth="1"/>
    <col min="2" max="2" width="21.5546875" customWidth="1"/>
    <col min="3" max="3" width="22.5546875" customWidth="1"/>
  </cols>
  <sheetData>
    <row r="1" spans="1:3">
      <c r="A1" s="124" t="s">
        <v>665</v>
      </c>
    </row>
    <row r="3" spans="1:3">
      <c r="A3" s="124" t="s">
        <v>666</v>
      </c>
    </row>
    <row r="5" spans="1:3" ht="18">
      <c r="A5" s="81" t="s">
        <v>630</v>
      </c>
    </row>
    <row r="7" spans="1:3">
      <c r="A7" s="124" t="s">
        <v>631</v>
      </c>
    </row>
    <row r="10" spans="1:3" ht="27.6">
      <c r="A10" s="128" t="s">
        <v>145</v>
      </c>
      <c r="B10" s="128" t="s">
        <v>632</v>
      </c>
      <c r="C10" s="97" t="s">
        <v>633</v>
      </c>
    </row>
    <row r="11" spans="1:3">
      <c r="A11" s="128" t="s">
        <v>634</v>
      </c>
      <c r="B11" s="129" t="s">
        <v>635</v>
      </c>
      <c r="C11" s="99" t="s">
        <v>636</v>
      </c>
    </row>
    <row r="12" spans="1:3" ht="27.6">
      <c r="A12" s="128" t="s">
        <v>637</v>
      </c>
      <c r="B12" s="130">
        <v>2E-3</v>
      </c>
      <c r="C12" s="99" t="s">
        <v>638</v>
      </c>
    </row>
    <row r="13" spans="1:3">
      <c r="A13" s="128" t="s">
        <v>639</v>
      </c>
      <c r="B13" s="129" t="s">
        <v>640</v>
      </c>
      <c r="C13" s="99" t="s">
        <v>641</v>
      </c>
    </row>
    <row r="14" spans="1:3">
      <c r="A14" s="174" t="s">
        <v>642</v>
      </c>
      <c r="B14" s="174" t="s">
        <v>643</v>
      </c>
      <c r="C14" s="164" t="s">
        <v>644</v>
      </c>
    </row>
    <row r="18" spans="1:1" ht="18">
      <c r="A18" s="81" t="s">
        <v>645</v>
      </c>
    </row>
    <row r="20" spans="1:1">
      <c r="A20" s="124" t="s">
        <v>646</v>
      </c>
    </row>
    <row r="21" spans="1:1">
      <c r="A21" s="66"/>
    </row>
    <row r="22" spans="1:1">
      <c r="A22" s="80" t="s">
        <v>647</v>
      </c>
    </row>
    <row r="23" spans="1:1">
      <c r="A23" s="66"/>
    </row>
    <row r="24" spans="1:1">
      <c r="A24" s="80" t="s">
        <v>648</v>
      </c>
    </row>
    <row r="25" spans="1:1">
      <c r="A25" s="66"/>
    </row>
    <row r="26" spans="1:1">
      <c r="A26" s="80" t="s">
        <v>649</v>
      </c>
    </row>
    <row r="27" spans="1:1">
      <c r="A27" s="66"/>
    </row>
    <row r="28" spans="1:1">
      <c r="A28" s="80" t="s">
        <v>650</v>
      </c>
    </row>
    <row r="30" spans="1:1" ht="18">
      <c r="A30" s="81" t="s">
        <v>651</v>
      </c>
    </row>
    <row r="31" spans="1:1">
      <c r="A31" s="66"/>
    </row>
    <row r="32" spans="1:1">
      <c r="A32" s="80" t="s">
        <v>652</v>
      </c>
    </row>
    <row r="33" spans="1:1">
      <c r="A33" s="66"/>
    </row>
    <row r="34" spans="1:1">
      <c r="A34" s="80" t="s">
        <v>653</v>
      </c>
    </row>
    <row r="35" spans="1:1">
      <c r="A35" s="66"/>
    </row>
    <row r="36" spans="1:1">
      <c r="A36" s="80" t="s">
        <v>654</v>
      </c>
    </row>
    <row r="38" spans="1:1" ht="18">
      <c r="A38" s="81" t="s">
        <v>655</v>
      </c>
    </row>
    <row r="40" spans="1:1">
      <c r="A40" s="124" t="s">
        <v>656</v>
      </c>
    </row>
    <row r="41" spans="1:1">
      <c r="A41" s="66"/>
    </row>
    <row r="42" spans="1:1">
      <c r="A42" s="80" t="s">
        <v>657</v>
      </c>
    </row>
    <row r="43" spans="1:1">
      <c r="A43" s="66"/>
    </row>
    <row r="44" spans="1:1">
      <c r="A44" s="80" t="s">
        <v>658</v>
      </c>
    </row>
    <row r="45" spans="1:1">
      <c r="A45" s="66"/>
    </row>
    <row r="46" spans="1:1">
      <c r="A46" s="80" t="s">
        <v>659</v>
      </c>
    </row>
    <row r="47" spans="1:1">
      <c r="A47" s="66"/>
    </row>
    <row r="48" spans="1:1">
      <c r="A48" s="80" t="s">
        <v>660</v>
      </c>
    </row>
    <row r="49" spans="1:1">
      <c r="A49" s="66"/>
    </row>
    <row r="50" spans="1:1">
      <c r="A50" s="80" t="s">
        <v>661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vt:lpstr>
      <vt:lpstr>CAPEX</vt:lpstr>
      <vt:lpstr>CAPEX backup</vt:lpstr>
      <vt:lpstr>Insurance</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Dmitry Markov</dc:creator>
  <cp:lastModifiedBy>Dmitry Markov</cp:lastModifiedBy>
  <dcterms:created xsi:type="dcterms:W3CDTF">2026-03-01T14:50:02Z</dcterms:created>
  <dcterms:modified xsi:type="dcterms:W3CDTF">2026-04-08T20:29:13Z</dcterms:modified>
</cp:coreProperties>
</file>