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hassconsultke-my.sharepoint.com/personal/andrey_hassconsult_com/Documents/Documents/TEMP/"/>
    </mc:Choice>
  </mc:AlternateContent>
  <xr:revisionPtr revIDLastSave="20" documentId="11_22E66C416CE5F60519D6AB93E5AEB36A8FBD3A85" xr6:coauthVersionLast="47" xr6:coauthVersionMax="47" xr10:uidLastSave="{FFBF9987-B0B8-4E95-BB1C-BB8D43748B1F}"/>
  <bookViews>
    <workbookView xWindow="-108" yWindow="-108" windowWidth="23256" windowHeight="12456" xr2:uid="{00000000-000D-0000-FFFF-FFFF00000000}"/>
  </bookViews>
  <sheets>
    <sheet name="Assumptions" sheetId="1" r:id="rId1"/>
    <sheet name="Area-Cost-Calcs" sheetId="2" r:id="rId2"/>
    <sheet name="Sales-Schedule" sheetId="3" r:id="rId3"/>
    <sheet name="Cash-Flow" sheetId="4" r:id="rId4"/>
    <sheet name="Project-Summary" sheetId="5" r:id="rId5"/>
    <sheet name="Scenarios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5" l="1"/>
  <c r="C9" i="5" a="1"/>
  <c r="C9" i="5" s="1"/>
  <c r="L15" i="4"/>
  <c r="K15" i="4"/>
  <c r="E15" i="4"/>
  <c r="D15" i="4"/>
  <c r="C15" i="4"/>
  <c r="H14" i="4"/>
  <c r="G14" i="4"/>
  <c r="F14" i="4"/>
  <c r="E14" i="4"/>
  <c r="D14" i="4"/>
  <c r="C14" i="4"/>
  <c r="N12" i="4"/>
  <c r="M12" i="4"/>
  <c r="L12" i="4"/>
  <c r="K12" i="4"/>
  <c r="J12" i="4"/>
  <c r="I12" i="4"/>
  <c r="H12" i="4"/>
  <c r="G12" i="4"/>
  <c r="F12" i="4"/>
  <c r="E12" i="4"/>
  <c r="D12" i="4"/>
  <c r="C12" i="4" a="1"/>
  <c r="C12" i="4" s="1"/>
  <c r="O12" i="4" s="1"/>
  <c r="N11" i="4"/>
  <c r="M11" i="4"/>
  <c r="L11" i="4"/>
  <c r="K11" i="4"/>
  <c r="J11" i="4"/>
  <c r="I11" i="4"/>
  <c r="H11" i="4"/>
  <c r="G11" i="4"/>
  <c r="F11" i="4"/>
  <c r="E11" i="4"/>
  <c r="D11" i="4"/>
  <c r="C11" i="4" a="1"/>
  <c r="C11" i="4" s="1"/>
  <c r="M32" i="3"/>
  <c r="L32" i="3"/>
  <c r="K32" i="3"/>
  <c r="J32" i="3"/>
  <c r="I32" i="3"/>
  <c r="H32" i="3"/>
  <c r="G32" i="3"/>
  <c r="F32" i="3"/>
  <c r="E32" i="3"/>
  <c r="D32" i="3"/>
  <c r="C32" i="3"/>
  <c r="N31" i="3"/>
  <c r="M31" i="3"/>
  <c r="K31" i="3"/>
  <c r="J31" i="3"/>
  <c r="I31" i="3"/>
  <c r="H31" i="3"/>
  <c r="G31" i="3"/>
  <c r="F31" i="3"/>
  <c r="E31" i="3"/>
  <c r="D31" i="3"/>
  <c r="C31" i="3"/>
  <c r="N30" i="3"/>
  <c r="M30" i="3"/>
  <c r="L30" i="3"/>
  <c r="K30" i="3"/>
  <c r="I30" i="3"/>
  <c r="H30" i="3"/>
  <c r="G30" i="3"/>
  <c r="F30" i="3"/>
  <c r="E30" i="3"/>
  <c r="D30" i="3"/>
  <c r="C30" i="3"/>
  <c r="N29" i="3"/>
  <c r="M29" i="3"/>
  <c r="L29" i="3"/>
  <c r="K29" i="3"/>
  <c r="I29" i="3"/>
  <c r="H29" i="3"/>
  <c r="G29" i="3"/>
  <c r="F29" i="3"/>
  <c r="E29" i="3"/>
  <c r="D29" i="3"/>
  <c r="C29" i="3"/>
  <c r="M26" i="3"/>
  <c r="L26" i="3"/>
  <c r="K26" i="3"/>
  <c r="J26" i="3"/>
  <c r="I26" i="3"/>
  <c r="H26" i="3"/>
  <c r="G26" i="3"/>
  <c r="F26" i="3"/>
  <c r="E26" i="3"/>
  <c r="D26" i="3"/>
  <c r="C26" i="3"/>
  <c r="N25" i="3"/>
  <c r="M25" i="3"/>
  <c r="K25" i="3"/>
  <c r="J25" i="3"/>
  <c r="I25" i="3"/>
  <c r="H25" i="3"/>
  <c r="G25" i="3"/>
  <c r="F25" i="3"/>
  <c r="E25" i="3"/>
  <c r="D25" i="3"/>
  <c r="C25" i="3"/>
  <c r="N24" i="3"/>
  <c r="M24" i="3"/>
  <c r="L24" i="3"/>
  <c r="K24" i="3"/>
  <c r="I24" i="3"/>
  <c r="H24" i="3"/>
  <c r="G24" i="3"/>
  <c r="F24" i="3"/>
  <c r="E24" i="3"/>
  <c r="D24" i="3"/>
  <c r="C24" i="3"/>
  <c r="N23" i="3"/>
  <c r="M23" i="3"/>
  <c r="L23" i="3"/>
  <c r="K23" i="3"/>
  <c r="J23" i="3"/>
  <c r="H23" i="3"/>
  <c r="G23" i="3"/>
  <c r="F23" i="3"/>
  <c r="E23" i="3"/>
  <c r="D23" i="3"/>
  <c r="C23" i="3"/>
  <c r="M20" i="3"/>
  <c r="L20" i="3"/>
  <c r="K20" i="3"/>
  <c r="J20" i="3"/>
  <c r="I20" i="3"/>
  <c r="H20" i="3"/>
  <c r="G20" i="3"/>
  <c r="F20" i="3"/>
  <c r="E20" i="3"/>
  <c r="D20" i="3"/>
  <c r="C20" i="3"/>
  <c r="N19" i="3"/>
  <c r="M19" i="3"/>
  <c r="K19" i="3"/>
  <c r="J19" i="3"/>
  <c r="I19" i="3"/>
  <c r="H19" i="3"/>
  <c r="G19" i="3"/>
  <c r="F19" i="3"/>
  <c r="E19" i="3"/>
  <c r="D19" i="3"/>
  <c r="C19" i="3"/>
  <c r="N18" i="3"/>
  <c r="M18" i="3"/>
  <c r="L18" i="3"/>
  <c r="K18" i="3"/>
  <c r="I18" i="3"/>
  <c r="H18" i="3"/>
  <c r="G18" i="3"/>
  <c r="F18" i="3"/>
  <c r="E18" i="3"/>
  <c r="D18" i="3"/>
  <c r="C18" i="3"/>
  <c r="N17" i="3"/>
  <c r="M17" i="3"/>
  <c r="L17" i="3"/>
  <c r="K17" i="3"/>
  <c r="J17" i="3"/>
  <c r="I17" i="3"/>
  <c r="G17" i="3"/>
  <c r="F17" i="3"/>
  <c r="E17" i="3"/>
  <c r="D17" i="3"/>
  <c r="C17" i="3"/>
  <c r="M14" i="3"/>
  <c r="L14" i="3"/>
  <c r="K14" i="3"/>
  <c r="J14" i="3"/>
  <c r="I14" i="3"/>
  <c r="H14" i="3"/>
  <c r="G14" i="3"/>
  <c r="F14" i="3"/>
  <c r="E14" i="3"/>
  <c r="D14" i="3"/>
  <c r="C14" i="3"/>
  <c r="N13" i="3"/>
  <c r="M13" i="3"/>
  <c r="K13" i="3"/>
  <c r="J13" i="3"/>
  <c r="I13" i="3"/>
  <c r="H13" i="3"/>
  <c r="G13" i="3"/>
  <c r="F13" i="3"/>
  <c r="E13" i="3"/>
  <c r="D13" i="3"/>
  <c r="C13" i="3"/>
  <c r="N12" i="3"/>
  <c r="M12" i="3"/>
  <c r="L12" i="3"/>
  <c r="K12" i="3"/>
  <c r="I12" i="3"/>
  <c r="H12" i="3"/>
  <c r="G12" i="3"/>
  <c r="F12" i="3"/>
  <c r="E12" i="3"/>
  <c r="D12" i="3"/>
  <c r="C12" i="3"/>
  <c r="N11" i="3"/>
  <c r="M11" i="3"/>
  <c r="L11" i="3"/>
  <c r="K11" i="3"/>
  <c r="J11" i="3"/>
  <c r="I11" i="3"/>
  <c r="H11" i="3"/>
  <c r="F11" i="3"/>
  <c r="E11" i="3"/>
  <c r="D11" i="3"/>
  <c r="C11" i="3"/>
  <c r="N6" i="3"/>
  <c r="N15" i="4" s="1"/>
  <c r="M6" i="3"/>
  <c r="M15" i="4" s="1"/>
  <c r="L6" i="3"/>
  <c r="K6" i="3"/>
  <c r="F6" i="3"/>
  <c r="E6" i="3"/>
  <c r="D6" i="3"/>
  <c r="C6" i="3"/>
  <c r="C24" i="2" a="1"/>
  <c r="C24" i="2" s="1"/>
  <c r="C19" i="2"/>
  <c r="C25" i="2" s="1" a="1"/>
  <c r="C25" i="2" s="1"/>
  <c r="C13" i="2"/>
  <c r="C12" i="2"/>
  <c r="C9" i="2"/>
  <c r="C17" i="2" s="1"/>
  <c r="C18" i="2" s="1"/>
  <c r="L14" i="4" s="1"/>
  <c r="C8" i="2"/>
  <c r="C7" i="2"/>
  <c r="C28" i="5" s="1" a="1"/>
  <c r="C28" i="5" s="1"/>
  <c r="C6" i="2"/>
  <c r="C5" i="2"/>
  <c r="D19" i="6"/>
  <c r="C13" i="6" a="1"/>
  <c r="C13" i="6"/>
  <c r="D13" i="6" s="1" a="1"/>
  <c r="D13" i="6" s="1"/>
  <c r="D10" i="6" a="1"/>
  <c r="D10" i="6" s="1"/>
  <c r="D18" i="6" s="1" a="1"/>
  <c r="D18" i="6" s="1"/>
  <c r="C10" i="6" a="1"/>
  <c r="C10" i="6"/>
  <c r="C19" i="6" s="1"/>
  <c r="D9" i="6"/>
  <c r="C9" i="6" a="1"/>
  <c r="C9" i="6" s="1"/>
  <c r="D8" i="6"/>
  <c r="C8" i="6" a="1"/>
  <c r="C8" i="6" s="1"/>
  <c r="D7" i="6"/>
  <c r="D15" i="6" s="1"/>
  <c r="C7" i="6" a="1"/>
  <c r="C7" i="6"/>
  <c r="C15" i="6" s="1"/>
  <c r="K34" i="3" l="1"/>
  <c r="K44" i="6" s="1"/>
  <c r="C34" i="3"/>
  <c r="C44" i="6" s="1"/>
  <c r="D34" i="3"/>
  <c r="D44" i="6" s="1"/>
  <c r="D22" i="6"/>
  <c r="E15" i="6"/>
  <c r="D28" i="6"/>
  <c r="C8" i="5" a="1"/>
  <c r="C8" i="5" s="1"/>
  <c r="K40" i="6" a="1"/>
  <c r="K40" i="6" s="1"/>
  <c r="O11" i="4"/>
  <c r="D40" i="6" a="1"/>
  <c r="D40" i="6" s="1"/>
  <c r="C22" i="6"/>
  <c r="C28" i="6"/>
  <c r="C14" i="2"/>
  <c r="F15" i="4"/>
  <c r="J14" i="4"/>
  <c r="O14" i="4" s="1"/>
  <c r="M34" i="3"/>
  <c r="E34" i="3"/>
  <c r="K14" i="4"/>
  <c r="F34" i="3"/>
  <c r="N14" i="4"/>
  <c r="M14" i="4"/>
  <c r="C20" i="2"/>
  <c r="C18" i="6" a="1"/>
  <c r="C18" i="6" s="1"/>
  <c r="C26" i="2" a="1"/>
  <c r="C26" i="2" s="1"/>
  <c r="C10" i="5" s="1" a="1"/>
  <c r="C10" i="5" s="1"/>
  <c r="C14" i="6" a="1"/>
  <c r="C14" i="6" s="1"/>
  <c r="I14" i="4"/>
  <c r="D7" i="4" l="1" a="1"/>
  <c r="D7" i="4" s="1"/>
  <c r="D8" i="4" s="1" a="1"/>
  <c r="D8" i="4" s="1"/>
  <c r="K7" i="4" a="1"/>
  <c r="K7" i="4" s="1"/>
  <c r="K8" i="4" s="1" a="1"/>
  <c r="K8" i="4" s="1"/>
  <c r="K18" i="4" s="1"/>
  <c r="C40" i="6" a="1"/>
  <c r="C40" i="6" s="1"/>
  <c r="C7" i="4" a="1"/>
  <c r="C7" i="4" s="1"/>
  <c r="C8" i="4" s="1" a="1"/>
  <c r="C8" i="4" s="1"/>
  <c r="L13" i="4"/>
  <c r="L16" i="4" s="1"/>
  <c r="D13" i="4"/>
  <c r="D16" i="4" s="1"/>
  <c r="D18" i="4" s="1"/>
  <c r="K13" i="4"/>
  <c r="K16" i="4" s="1"/>
  <c r="C13" i="4"/>
  <c r="J13" i="4"/>
  <c r="H13" i="4"/>
  <c r="C27" i="2" a="1"/>
  <c r="C27" i="2" s="1"/>
  <c r="C11" i="5" s="1" a="1"/>
  <c r="C11" i="5" s="1"/>
  <c r="G13" i="4"/>
  <c r="F13" i="4"/>
  <c r="F16" i="4" s="1"/>
  <c r="E13" i="4"/>
  <c r="E16" i="4" s="1"/>
  <c r="N13" i="4"/>
  <c r="N16" i="4" s="1"/>
  <c r="M13" i="4"/>
  <c r="M16" i="4" s="1"/>
  <c r="I13" i="4"/>
  <c r="F7" i="4" a="1"/>
  <c r="F7" i="4" s="1"/>
  <c r="F8" i="4" s="1" a="1"/>
  <c r="F8" i="4" s="1"/>
  <c r="F18" i="4" s="1"/>
  <c r="F40" i="6" a="1"/>
  <c r="F40" i="6" s="1"/>
  <c r="F44" i="6"/>
  <c r="E44" i="6"/>
  <c r="E7" i="4" a="1"/>
  <c r="E7" i="4" s="1"/>
  <c r="E8" i="4" s="1" a="1"/>
  <c r="E8" i="4" s="1"/>
  <c r="E40" i="6" a="1"/>
  <c r="E40" i="6" s="1"/>
  <c r="C5" i="5" a="1"/>
  <c r="C5" i="5" s="1"/>
  <c r="J6" i="3"/>
  <c r="C21" i="2"/>
  <c r="C28" i="2" s="1" a="1"/>
  <c r="C28" i="2" s="1"/>
  <c r="C12" i="5" s="1" a="1"/>
  <c r="C12" i="5" s="1"/>
  <c r="I6" i="3"/>
  <c r="H6" i="3"/>
  <c r="G6" i="3"/>
  <c r="D14" i="6" a="1"/>
  <c r="D14" i="6" s="1"/>
  <c r="D20" i="6" s="1"/>
  <c r="C20" i="6"/>
  <c r="C21" i="6" s="1"/>
  <c r="M44" i="6"/>
  <c r="M7" i="4" a="1"/>
  <c r="M7" i="4" s="1"/>
  <c r="M8" i="4" s="1" a="1"/>
  <c r="M8" i="4" s="1"/>
  <c r="M18" i="4" s="1"/>
  <c r="M40" i="6" a="1"/>
  <c r="M40" i="6" s="1"/>
  <c r="H15" i="4" l="1"/>
  <c r="N20" i="3"/>
  <c r="O20" i="3" s="1"/>
  <c r="H17" i="3"/>
  <c r="J18" i="3"/>
  <c r="O18" i="3" s="1"/>
  <c r="L19" i="3"/>
  <c r="O19" i="3" s="1"/>
  <c r="J24" i="3"/>
  <c r="O24" i="3" s="1"/>
  <c r="I15" i="4"/>
  <c r="L25" i="3"/>
  <c r="O25" i="3" s="1"/>
  <c r="N26" i="3"/>
  <c r="O26" i="3" s="1"/>
  <c r="I23" i="3"/>
  <c r="J41" i="6"/>
  <c r="I41" i="6"/>
  <c r="H41" i="6"/>
  <c r="K41" i="6"/>
  <c r="K42" i="6" s="1"/>
  <c r="G41" i="6"/>
  <c r="F41" i="6"/>
  <c r="E41" i="6"/>
  <c r="D41" i="6"/>
  <c r="D42" i="6" s="1"/>
  <c r="C41" i="6"/>
  <c r="C42" i="6" s="1"/>
  <c r="N41" i="6"/>
  <c r="M41" i="6"/>
  <c r="M42" i="6" s="1"/>
  <c r="L41" i="6"/>
  <c r="C23" i="6"/>
  <c r="J15" i="4"/>
  <c r="J29" i="3"/>
  <c r="O29" i="3" s="1"/>
  <c r="J30" i="3"/>
  <c r="O30" i="3" s="1"/>
  <c r="L31" i="3"/>
  <c r="O31" i="3" s="1"/>
  <c r="N32" i="3"/>
  <c r="O32" i="3" s="1"/>
  <c r="F42" i="6"/>
  <c r="G16" i="4"/>
  <c r="C29" i="5"/>
  <c r="H16" i="4"/>
  <c r="D21" i="6"/>
  <c r="D23" i="6"/>
  <c r="E42" i="6"/>
  <c r="I16" i="4"/>
  <c r="J16" i="4"/>
  <c r="C29" i="2"/>
  <c r="C13" i="5" s="1" a="1"/>
  <c r="C13" i="5" s="1"/>
  <c r="C30" i="5" s="1"/>
  <c r="E18" i="4"/>
  <c r="O13" i="4"/>
  <c r="C16" i="4"/>
  <c r="J12" i="3"/>
  <c r="G11" i="3"/>
  <c r="L13" i="3"/>
  <c r="N14" i="3"/>
  <c r="G15" i="4"/>
  <c r="O6" i="3"/>
  <c r="O16" i="4" l="1"/>
  <c r="C18" i="4"/>
  <c r="O15" i="4"/>
  <c r="D29" i="6"/>
  <c r="E23" i="6"/>
  <c r="D26" i="6"/>
  <c r="C43" i="6" a="1"/>
  <c r="C43" i="6" s="1"/>
  <c r="H34" i="3"/>
  <c r="O17" i="3"/>
  <c r="N34" i="3"/>
  <c r="O14" i="3"/>
  <c r="I45" i="6"/>
  <c r="H45" i="6"/>
  <c r="G45" i="6"/>
  <c r="F45" i="6"/>
  <c r="F46" i="6" s="1"/>
  <c r="M45" i="6"/>
  <c r="M46" i="6" s="1"/>
  <c r="L45" i="6"/>
  <c r="J45" i="6"/>
  <c r="E45" i="6"/>
  <c r="E46" i="6" s="1"/>
  <c r="N45" i="6"/>
  <c r="D45" i="6"/>
  <c r="D46" i="6" s="1"/>
  <c r="C45" i="6"/>
  <c r="C46" i="6" s="1"/>
  <c r="K45" i="6"/>
  <c r="K46" i="6" s="1"/>
  <c r="I34" i="3"/>
  <c r="O23" i="3"/>
  <c r="J34" i="3"/>
  <c r="O12" i="3"/>
  <c r="C29" i="6"/>
  <c r="C26" i="6"/>
  <c r="O13" i="3"/>
  <c r="L34" i="3"/>
  <c r="G34" i="3"/>
  <c r="O11" i="3"/>
  <c r="C16" i="5"/>
  <c r="L44" i="6" l="1"/>
  <c r="L46" i="6" s="1"/>
  <c r="L7" i="4" a="1"/>
  <c r="L7" i="4" s="1"/>
  <c r="L8" i="4" s="1" a="1"/>
  <c r="L8" i="4" s="1"/>
  <c r="L18" i="4" s="1"/>
  <c r="L40" i="6" a="1"/>
  <c r="L40" i="6" s="1"/>
  <c r="L42" i="6" s="1"/>
  <c r="D43" i="6"/>
  <c r="E43" i="6" s="1"/>
  <c r="F43" i="6" s="1"/>
  <c r="C47" i="6" a="1"/>
  <c r="C47" i="6" s="1"/>
  <c r="D47" i="6" s="1"/>
  <c r="C27" i="6"/>
  <c r="D27" i="6"/>
  <c r="E26" i="6"/>
  <c r="C17" i="5"/>
  <c r="J7" i="4" a="1"/>
  <c r="J7" i="4" s="1"/>
  <c r="J8" i="4" s="1" a="1"/>
  <c r="J8" i="4" s="1"/>
  <c r="J18" i="4" s="1"/>
  <c r="J40" i="6" a="1"/>
  <c r="J40" i="6" s="1"/>
  <c r="J42" i="6" s="1"/>
  <c r="J44" i="6"/>
  <c r="J46" i="6" s="1"/>
  <c r="N7" i="4" a="1"/>
  <c r="N7" i="4" s="1"/>
  <c r="N8" i="4" s="1" a="1"/>
  <c r="N8" i="4" s="1"/>
  <c r="N18" i="4" s="1"/>
  <c r="N40" i="6" a="1"/>
  <c r="N40" i="6" s="1"/>
  <c r="N42" i="6" s="1"/>
  <c r="N44" i="6"/>
  <c r="N46" i="6" s="1"/>
  <c r="C19" i="4" a="1"/>
  <c r="C19" i="4" s="1"/>
  <c r="G44" i="6"/>
  <c r="G46" i="6" s="1"/>
  <c r="G40" i="6" a="1"/>
  <c r="G40" i="6" s="1"/>
  <c r="G42" i="6" s="1"/>
  <c r="G7" i="4" a="1"/>
  <c r="G7" i="4" s="1"/>
  <c r="O34" i="3"/>
  <c r="I7" i="4" a="1"/>
  <c r="I7" i="4" s="1"/>
  <c r="I8" i="4" s="1" a="1"/>
  <c r="I8" i="4" s="1"/>
  <c r="I18" i="4" s="1"/>
  <c r="I40" i="6" a="1"/>
  <c r="I40" i="6" s="1"/>
  <c r="I42" i="6" s="1"/>
  <c r="I44" i="6"/>
  <c r="I46" i="6" s="1"/>
  <c r="H44" i="6"/>
  <c r="H46" i="6" s="1"/>
  <c r="H7" i="4" a="1"/>
  <c r="H7" i="4" s="1"/>
  <c r="H8" i="4" s="1" a="1"/>
  <c r="H8" i="4" s="1"/>
  <c r="H18" i="4" s="1"/>
  <c r="H40" i="6" a="1"/>
  <c r="H40" i="6" s="1"/>
  <c r="H42" i="6" s="1"/>
  <c r="C32" i="6" l="1"/>
  <c r="C33" i="6" s="1"/>
  <c r="D32" i="6"/>
  <c r="D19" i="4"/>
  <c r="E19" i="4" s="1"/>
  <c r="F19" i="4" s="1"/>
  <c r="E47" i="6"/>
  <c r="F47" i="6" s="1"/>
  <c r="G47" i="6" s="1"/>
  <c r="H47" i="6" s="1"/>
  <c r="I47" i="6" s="1"/>
  <c r="J47" i="6" s="1"/>
  <c r="K47" i="6" s="1"/>
  <c r="L47" i="6" s="1"/>
  <c r="M47" i="6" s="1"/>
  <c r="N47" i="6" s="1"/>
  <c r="E27" i="6"/>
  <c r="G43" i="6"/>
  <c r="H43" i="6" s="1"/>
  <c r="I43" i="6" s="1"/>
  <c r="J43" i="6" s="1"/>
  <c r="K43" i="6" s="1"/>
  <c r="L43" i="6" s="1"/>
  <c r="M43" i="6" s="1"/>
  <c r="N43" i="6" s="1"/>
  <c r="G8" i="4" a="1"/>
  <c r="G8" i="4" s="1"/>
  <c r="O7" i="4"/>
  <c r="E32" i="6" l="1"/>
  <c r="D33" i="6"/>
  <c r="E33" i="6" s="1"/>
  <c r="C34" i="6"/>
  <c r="C35" i="6" s="1"/>
  <c r="D34" i="6"/>
  <c r="G18" i="4"/>
  <c r="O8" i="4"/>
  <c r="O18" i="4" l="1"/>
  <c r="C20" i="5"/>
  <c r="C21" i="5" s="1"/>
  <c r="G19" i="4"/>
  <c r="E34" i="6"/>
  <c r="D35" i="6"/>
  <c r="E35" i="6" s="1"/>
  <c r="H19" i="4" l="1"/>
  <c r="I19" i="4" s="1"/>
  <c r="J19" i="4" s="1"/>
  <c r="K19" i="4" s="1"/>
  <c r="L19" i="4" s="1"/>
  <c r="M19" i="4" s="1"/>
  <c r="N19" i="4" s="1"/>
  <c r="C22" i="5" l="1"/>
  <c r="C23" i="5" s="1"/>
  <c r="C2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<sst xmlns="http://schemas.openxmlformats.org/spreadsheetml/2006/main" count="163" uniqueCount="111">
  <si>
    <t>KENYAN REAL ESTATE DEVELOPMENT MODEL</t>
  </si>
  <si>
    <t>Assumptions &amp; Inputs</t>
  </si>
  <si>
    <t>LAND &amp; FX</t>
  </si>
  <si>
    <t>Land Cost</t>
  </si>
  <si>
    <t>Land Size (acres)</t>
  </si>
  <si>
    <t>FX Rate (KES/USD)</t>
  </si>
  <si>
    <t>UNIT MIX</t>
  </si>
  <si>
    <t>Units</t>
  </si>
  <si>
    <t>Size (sqm)</t>
  </si>
  <si>
    <t>Price (KES)</t>
  </si>
  <si>
    <t>One-Bedroom</t>
  </si>
  <si>
    <t>Two-Bedroom</t>
  </si>
  <si>
    <t>Number of Floors</t>
  </si>
  <si>
    <t>CONSTRUCTION</t>
  </si>
  <si>
    <t>Circulation Factor</t>
  </si>
  <si>
    <t>Construction Cost (USD/sqm)</t>
  </si>
  <si>
    <t>FEES &amp; COMMISSIONS</t>
  </si>
  <si>
    <t>Stamp Duty</t>
  </si>
  <si>
    <t>Legal / PM / Design (% of construction)</t>
  </si>
  <si>
    <t>Sales Commission</t>
  </si>
  <si>
    <t>PAYMENT TERMS</t>
  </si>
  <si>
    <t>Number of Tranches</t>
  </si>
  <si>
    <t>Tranche 1 (at sale)</t>
  </si>
  <si>
    <t>Tranche 2 (month 2 of construction)</t>
  </si>
  <si>
    <t>Tranche 3 (month 4 of construction)</t>
  </si>
  <si>
    <t>Tranche 4 (at completion)</t>
  </si>
  <si>
    <t>TIMELINE</t>
  </si>
  <si>
    <t>Project Duration (months)</t>
  </si>
  <si>
    <t>Construction Start Month</t>
  </si>
  <si>
    <t>Construction End Month</t>
  </si>
  <si>
    <t>Sales Start Month</t>
  </si>
  <si>
    <t>Sales End Month</t>
  </si>
  <si>
    <t>Area &amp; Cost Calculations</t>
  </si>
  <si>
    <t>AREA CALCULATIONS</t>
  </si>
  <si>
    <t>One-Bed Sellable Area (sqm)</t>
  </si>
  <si>
    <t>Two-Bed Sellable Area (sqm)</t>
  </si>
  <si>
    <t>Total Sellable Area (sqm)</t>
  </si>
  <si>
    <t>Circulation Area (sqm)</t>
  </si>
  <si>
    <t>Total Built Area (sqm)</t>
  </si>
  <si>
    <t>REVENUE</t>
  </si>
  <si>
    <t>One-Bed Total Revenue (KES)</t>
  </si>
  <si>
    <t>Two-Bed Total Revenue (KES)</t>
  </si>
  <si>
    <t>Total Revenue (KES)</t>
  </si>
  <si>
    <t>COST CALCULATIONS</t>
  </si>
  <si>
    <t>Construction Cost (USD)</t>
  </si>
  <si>
    <t>Construction Cost (KES)</t>
  </si>
  <si>
    <t>Stamp Duty (KES)</t>
  </si>
  <si>
    <t>Legal / PM / Design Fees (KES)</t>
  </si>
  <si>
    <t>Sales Commission (KES)</t>
  </si>
  <si>
    <t>TOTAL DEVELOPMENT COST</t>
  </si>
  <si>
    <t>Legal / PM / Design Fees</t>
  </si>
  <si>
    <t>Total Development Cost (KES)</t>
  </si>
  <si>
    <t>Sales Schedule &amp; Payment Waterfall</t>
  </si>
  <si>
    <t>MONTHLY SALES</t>
  </si>
  <si>
    <t>Month</t>
  </si>
  <si>
    <t>Total</t>
  </si>
  <si>
    <t>Sales Value (KES)</t>
  </si>
  <si>
    <t>PAYMENT WATERFALL</t>
  </si>
  <si>
    <t>Collections by Sale Cohort</t>
  </si>
  <si>
    <t>Month 5 Sales Cohort</t>
  </si>
  <si>
    <t xml:space="preserve">  Tranche 1 (at sale)</t>
  </si>
  <si>
    <t xml:space="preserve">  Tranche 2 (constr. month 2)</t>
  </si>
  <si>
    <t xml:space="preserve">  Tranche 3 (constr. month 4)</t>
  </si>
  <si>
    <t xml:space="preserve">  Tranche 4 (completion)</t>
  </si>
  <si>
    <t>Month 6 Sales Cohort</t>
  </si>
  <si>
    <t>Month 7 Sales Cohort</t>
  </si>
  <si>
    <t>Month 8 Sales Cohort</t>
  </si>
  <si>
    <t>TOTAL COLLECTIONS (KES)</t>
  </si>
  <si>
    <t>Monthly Cash Flow Statement</t>
  </si>
  <si>
    <t>INFLOWS</t>
  </si>
  <si>
    <t>Collections from Sales</t>
  </si>
  <si>
    <t>Total Inflows</t>
  </si>
  <si>
    <t>OUTFLOWS</t>
  </si>
  <si>
    <t>Construction Cost</t>
  </si>
  <si>
    <t>Total Outflows</t>
  </si>
  <si>
    <t>NET CASH FLOW</t>
  </si>
  <si>
    <t>Cumulative Cash Flow</t>
  </si>
  <si>
    <t>Project Summary</t>
  </si>
  <si>
    <t>PROJECT ECONOMICS</t>
  </si>
  <si>
    <t>COST BREAKDOWN</t>
  </si>
  <si>
    <t>PROFITABILITY</t>
  </si>
  <si>
    <t>Gross Profit (KES)</t>
  </si>
  <si>
    <t>Profit Margin</t>
  </si>
  <si>
    <t>RETURNS &amp; FUNDING</t>
  </si>
  <si>
    <t>Project IRR (Monthly)</t>
  </si>
  <si>
    <t>Project IRR (Annualized)</t>
  </si>
  <si>
    <t>Peak Negative Cumulative CF (KES)</t>
  </si>
  <si>
    <t>Equity Required (KES)</t>
  </si>
  <si>
    <t>Return on Equity (ROE)</t>
  </si>
  <si>
    <t>KEY METRICS</t>
  </si>
  <si>
    <t>Total Units</t>
  </si>
  <si>
    <t>Avg Price per sqm (KES)</t>
  </si>
  <si>
    <t>Cost per sqm Built (KES)</t>
  </si>
  <si>
    <t>Scenario Comparison</t>
  </si>
  <si>
    <t>Base Case</t>
  </si>
  <si>
    <t>Bear Case</t>
  </si>
  <si>
    <t>Bear vs Base</t>
  </si>
  <si>
    <t>SCENARIO ASSUMPTIONS</t>
  </si>
  <si>
    <t>One-Bed Price (KES)</t>
  </si>
  <si>
    <t>Two-Bed Price (KES)</t>
  </si>
  <si>
    <t>Land Cost (KES)</t>
  </si>
  <si>
    <t>REVENUE &amp; AREA</t>
  </si>
  <si>
    <t>MONTHLY CASH FLOWS (Helper)</t>
  </si>
  <si>
    <t>Base Case - Inflows</t>
  </si>
  <si>
    <t>Base Case - Outflows</t>
  </si>
  <si>
    <t>Base Case - Net CF</t>
  </si>
  <si>
    <t>Base Case - Cumulative CF</t>
  </si>
  <si>
    <t>Bear Case - Inflows</t>
  </si>
  <si>
    <t>Bear Case - Outflows</t>
  </si>
  <si>
    <t>Bear Case - Net CF</t>
  </si>
  <si>
    <t>Bear Case - Cumulative 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</si>
</sst>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Ksh&quot;* #,##0.00_-;\-&quot;Ksh&quot;* #,##0.00_-;_-&quot;Ksh&quot;* &quot;-&quot;??_-;_-@_-"/>
    <numFmt numFmtId="164" formatCode="#,##0;\(#,##0\);&quot;-&quot;"/>
    <numFmt numFmtId="165" formatCode="#,##0;\(#,##0\)"/>
    <numFmt numFmtId="166" formatCode="0.0%"/>
    <numFmt numFmtId="167" formatCode="0.0%;\(0.0%\)"/>
    <numFmt numFmtId="168" formatCode="_-[$$-409]* #,##0.00_ ;_-[$$-409]* \-#,##0.00\ ;_-[$$-409]* &quot;-&quot;??_ ;_-@_ "/>
  </numFmts>
  <fonts count="17">
    <font>
      <sz val="12"/>
      <color theme="1"/>
      <name val="Calibri"/>
      <scheme val="minor"/>
    </font>
    <font>
      <b/>
      <sz val="16"/>
      <color rgb="FF1F3864"/>
      <name val="Aptos Narrow"/>
    </font>
    <font>
      <i/>
      <sz val="11"/>
      <color rgb="FF4472C4"/>
      <name val="Aptos Narrow"/>
    </font>
    <font>
      <b/>
      <sz val="11"/>
      <color rgb="FFFFFFFF"/>
      <name val="Aptos Narrow"/>
    </font>
    <font>
      <sz val="11"/>
      <name val="Aptos Narrow"/>
    </font>
    <font>
      <sz val="11"/>
      <color rgb="FF0000FF"/>
      <name val="Aptos Narrow"/>
    </font>
    <font>
      <sz val="11"/>
      <color rgb="FF008000"/>
      <name val="Aptos Narrow"/>
    </font>
    <font>
      <b/>
      <sz val="11"/>
      <name val="Aptos Narrow"/>
    </font>
    <font>
      <b/>
      <sz val="11"/>
      <color rgb="FF000000"/>
      <name val="Aptos Narrow"/>
    </font>
    <font>
      <sz val="11"/>
      <color rgb="FF000000"/>
      <name val="Aptos Narrow"/>
    </font>
    <font>
      <b/>
      <sz val="14"/>
      <color rgb="FF1F3864"/>
      <name val="Aptos Narrow"/>
    </font>
    <font>
      <b/>
      <sz val="11"/>
      <color rgb="FF008000"/>
      <name val="Aptos Narrow"/>
    </font>
    <font>
      <b/>
      <sz val="11"/>
      <color rgb="FF1F3864"/>
      <name val="Aptos Narrow"/>
    </font>
    <font>
      <sz val="12"/>
      <name val="Calibri"/>
      <scheme val="minor"/>
    </font>
    <font>
      <b/>
      <sz val="10"/>
      <color rgb="FF808080"/>
      <name val="Aptos Narrow"/>
    </font>
    <font>
      <sz val="10"/>
      <color rgb="FF808080"/>
      <name val="Aptos Narrow"/>
    </font>
    <font>
      <sz val="12"/>
      <color theme="1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DAEEF3"/>
      </patternFill>
    </fill>
    <fill>
      <patternFill patternType="solid">
        <fgColor rgb="FFF2F2F2"/>
      </patternFill>
    </fill>
    <fill>
      <patternFill patternType="solid">
        <fgColor rgb="FFD6DCE4"/>
      </patternFill>
    </fill>
    <fill>
      <patternFill patternType="solid">
        <fgColor rgb="FFE2EFDA"/>
      </patternFill>
    </fill>
    <fill>
      <patternFill patternType="solid">
        <fgColor rgb="FFFCE4EC"/>
      </patternFill>
    </fill>
    <fill>
      <patternFill patternType="solid">
        <fgColor rgb="FF4472C4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1F3864"/>
      </bottom>
      <diagonal/>
    </border>
    <border>
      <left/>
      <right/>
      <top/>
      <bottom style="thin">
        <color rgb="FF808080"/>
      </bottom>
      <diagonal/>
    </border>
    <border>
      <left/>
      <right/>
      <top style="thin">
        <color rgb="FF000000"/>
      </top>
      <bottom/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/>
      <top/>
      <bottom style="double">
        <color rgb="FF000000"/>
      </bottom>
      <diagonal/>
    </border>
  </borders>
  <cellStyleXfs count="2">
    <xf numFmtId="0" fontId="0" fillId="0" borderId="1"/>
    <xf numFmtId="44" fontId="16" fillId="0" borderId="0" applyFont="0" applyFill="0" applyBorder="0" applyAlignment="0" applyProtection="0"/>
  </cellStyleXfs>
  <cellXfs count="88">
    <xf numFmtId="0" fontId="0" fillId="0" borderId="1" xfId="0"/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2" borderId="2" xfId="0" applyFont="1" applyFill="1" applyBorder="1" applyAlignment="1">
      <alignment vertical="top"/>
    </xf>
    <xf numFmtId="0" fontId="4" fillId="0" borderId="0" xfId="0" applyFont="1" applyBorder="1" applyAlignment="1">
      <alignment vertical="top"/>
    </xf>
    <xf numFmtId="0" fontId="4" fillId="4" borderId="0" xfId="0" applyFont="1" applyFill="1" applyBorder="1" applyAlignment="1">
      <alignment vertical="top"/>
    </xf>
    <xf numFmtId="0" fontId="5" fillId="4" borderId="0" xfId="0" applyFont="1" applyFill="1" applyBorder="1" applyAlignment="1">
      <alignment vertical="top"/>
    </xf>
    <xf numFmtId="0" fontId="5" fillId="3" borderId="0" xfId="0" applyFont="1" applyFill="1" applyBorder="1" applyAlignment="1">
      <alignment vertical="top"/>
    </xf>
    <xf numFmtId="0" fontId="4" fillId="5" borderId="3" xfId="0" applyFont="1" applyFill="1" applyBorder="1" applyAlignment="1">
      <alignment vertical="top"/>
    </xf>
    <xf numFmtId="10" fontId="5" fillId="3" borderId="0" xfId="0" applyNumberFormat="1" applyFont="1" applyFill="1" applyBorder="1" applyAlignment="1">
      <alignment vertical="top"/>
    </xf>
    <xf numFmtId="9" fontId="5" fillId="3" borderId="0" xfId="0" applyNumberFormat="1" applyFont="1" applyFill="1" applyBorder="1" applyAlignment="1">
      <alignment vertical="top"/>
    </xf>
    <xf numFmtId="9" fontId="5" fillId="4" borderId="0" xfId="0" applyNumberFormat="1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3" fontId="6" fillId="4" borderId="0" xfId="0" applyNumberFormat="1" applyFont="1" applyFill="1" applyBorder="1" applyAlignment="1">
      <alignment vertical="top"/>
    </xf>
    <xf numFmtId="3" fontId="6" fillId="0" borderId="0" xfId="0" applyNumberFormat="1" applyFont="1" applyBorder="1" applyAlignment="1">
      <alignment vertical="top"/>
    </xf>
    <xf numFmtId="0" fontId="7" fillId="4" borderId="4" xfId="0" applyFont="1" applyFill="1" applyBorder="1" applyAlignment="1">
      <alignment vertical="top"/>
    </xf>
    <xf numFmtId="3" fontId="8" fillId="4" borderId="4" xfId="0" applyNumberFormat="1" applyFont="1" applyFill="1" applyBorder="1" applyAlignment="1">
      <alignment vertical="top"/>
    </xf>
    <xf numFmtId="0" fontId="7" fillId="0" borderId="5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7" fillId="5" borderId="0" xfId="0" applyFont="1" applyFill="1" applyBorder="1" applyAlignment="1">
      <alignment horizontal="center" vertical="top"/>
    </xf>
    <xf numFmtId="0" fontId="7" fillId="0" borderId="3" xfId="0" applyFont="1" applyBorder="1" applyAlignment="1">
      <alignment vertical="top"/>
    </xf>
    <xf numFmtId="164" fontId="7" fillId="0" borderId="3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right" vertical="top"/>
    </xf>
    <xf numFmtId="0" fontId="7" fillId="0" borderId="0" xfId="0" applyFont="1" applyBorder="1" applyAlignment="1">
      <alignment horizontal="right" vertical="top"/>
    </xf>
    <xf numFmtId="0" fontId="3" fillId="2" borderId="0" xfId="0" applyFont="1" applyFill="1" applyBorder="1" applyAlignment="1">
      <alignment horizontal="right" vertical="top"/>
    </xf>
    <xf numFmtId="0" fontId="7" fillId="6" borderId="0" xfId="0" applyFont="1" applyFill="1" applyBorder="1" applyAlignment="1">
      <alignment vertical="top"/>
    </xf>
    <xf numFmtId="0" fontId="7" fillId="6" borderId="0" xfId="0" applyFont="1" applyFill="1" applyBorder="1" applyAlignment="1">
      <alignment horizontal="right" vertical="top"/>
    </xf>
    <xf numFmtId="164" fontId="4" fillId="0" borderId="0" xfId="0" applyNumberFormat="1" applyFont="1" applyBorder="1" applyAlignment="1">
      <alignment horizontal="right" vertical="top"/>
    </xf>
    <xf numFmtId="164" fontId="7" fillId="0" borderId="0" xfId="0" applyNumberFormat="1" applyFont="1" applyBorder="1" applyAlignment="1">
      <alignment horizontal="right" vertical="top"/>
    </xf>
    <xf numFmtId="164" fontId="7" fillId="6" borderId="0" xfId="0" applyNumberFormat="1" applyFont="1" applyFill="1" applyBorder="1" applyAlignment="1">
      <alignment horizontal="right" vertical="top"/>
    </xf>
    <xf numFmtId="0" fontId="3" fillId="2" borderId="6" xfId="0" applyFont="1" applyFill="1" applyBorder="1" applyAlignment="1">
      <alignment vertical="top"/>
    </xf>
    <xf numFmtId="164" fontId="3" fillId="2" borderId="6" xfId="0" applyNumberFormat="1" applyFont="1" applyFill="1" applyBorder="1" applyAlignment="1">
      <alignment horizontal="right" vertical="top"/>
    </xf>
    <xf numFmtId="0" fontId="3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center" vertical="top"/>
    </xf>
    <xf numFmtId="0" fontId="7" fillId="0" borderId="0" xfId="0" applyFont="1" applyBorder="1" applyAlignment="1">
      <alignment vertical="top"/>
    </xf>
    <xf numFmtId="0" fontId="7" fillId="6" borderId="4" xfId="0" applyFont="1" applyFill="1" applyBorder="1" applyAlignment="1">
      <alignment vertical="top"/>
    </xf>
    <xf numFmtId="164" fontId="7" fillId="6" borderId="4" xfId="0" applyNumberFormat="1" applyFont="1" applyFill="1" applyBorder="1" applyAlignment="1">
      <alignment horizontal="right" vertical="top"/>
    </xf>
    <xf numFmtId="0" fontId="7" fillId="7" borderId="0" xfId="0" applyFont="1" applyFill="1" applyBorder="1" applyAlignment="1">
      <alignment vertical="top"/>
    </xf>
    <xf numFmtId="0" fontId="7" fillId="7" borderId="4" xfId="0" applyFont="1" applyFill="1" applyBorder="1" applyAlignment="1">
      <alignment vertical="top"/>
    </xf>
    <xf numFmtId="164" fontId="7" fillId="7" borderId="4" xfId="0" applyNumberFormat="1" applyFont="1" applyFill="1" applyBorder="1" applyAlignment="1">
      <alignment horizontal="right" vertical="top"/>
    </xf>
    <xf numFmtId="0" fontId="7" fillId="5" borderId="7" xfId="0" applyFont="1" applyFill="1" applyBorder="1" applyAlignment="1">
      <alignment vertical="top"/>
    </xf>
    <xf numFmtId="164" fontId="7" fillId="5" borderId="7" xfId="0" applyNumberFormat="1" applyFont="1" applyFill="1" applyBorder="1" applyAlignment="1">
      <alignment horizontal="right" vertical="top"/>
    </xf>
    <xf numFmtId="165" fontId="6" fillId="0" borderId="0" xfId="0" applyNumberFormat="1" applyFont="1" applyBorder="1" applyAlignment="1">
      <alignment vertical="top"/>
    </xf>
    <xf numFmtId="166" fontId="8" fillId="0" borderId="0" xfId="0" applyNumberFormat="1" applyFont="1" applyBorder="1" applyAlignment="1">
      <alignment vertical="top"/>
    </xf>
    <xf numFmtId="10" fontId="6" fillId="0" borderId="0" xfId="0" applyNumberFormat="1" applyFont="1" applyBorder="1" applyAlignment="1">
      <alignment vertical="top"/>
    </xf>
    <xf numFmtId="166" fontId="8" fillId="6" borderId="0" xfId="0" applyNumberFormat="1" applyFont="1" applyFill="1" applyBorder="1" applyAlignment="1">
      <alignment vertical="top"/>
    </xf>
    <xf numFmtId="165" fontId="8" fillId="0" borderId="0" xfId="0" applyNumberFormat="1" applyFont="1" applyBorder="1" applyAlignment="1">
      <alignment vertical="top"/>
    </xf>
    <xf numFmtId="0" fontId="6" fillId="4" borderId="0" xfId="0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3" fillId="2" borderId="2" xfId="0" applyFont="1" applyFill="1" applyBorder="1" applyAlignment="1">
      <alignment horizontal="left" vertical="top"/>
    </xf>
    <xf numFmtId="0" fontId="3" fillId="2" borderId="2" xfId="0" applyFont="1" applyFill="1" applyBorder="1" applyAlignment="1">
      <alignment horizontal="center" vertical="top"/>
    </xf>
    <xf numFmtId="0" fontId="3" fillId="8" borderId="2" xfId="0" applyFont="1" applyFill="1" applyBorder="1" applyAlignment="1">
      <alignment horizontal="center" vertical="top"/>
    </xf>
    <xf numFmtId="0" fontId="12" fillId="5" borderId="0" xfId="0" applyFont="1" applyFill="1" applyBorder="1" applyAlignment="1">
      <alignment vertical="top"/>
    </xf>
    <xf numFmtId="165" fontId="6" fillId="0" borderId="0" xfId="0" applyNumberFormat="1" applyFont="1" applyBorder="1" applyAlignment="1">
      <alignment horizontal="right" vertical="top"/>
    </xf>
    <xf numFmtId="165" fontId="4" fillId="0" borderId="0" xfId="0" applyNumberFormat="1" applyFont="1" applyBorder="1" applyAlignment="1">
      <alignment horizontal="right" vertical="top"/>
    </xf>
    <xf numFmtId="165" fontId="6" fillId="4" borderId="0" xfId="0" applyNumberFormat="1" applyFont="1" applyFill="1" applyBorder="1" applyAlignment="1">
      <alignment horizontal="right" vertical="top"/>
    </xf>
    <xf numFmtId="165" fontId="4" fillId="4" borderId="0" xfId="0" applyNumberFormat="1" applyFont="1" applyFill="1" applyBorder="1" applyAlignment="1">
      <alignment horizontal="right" vertical="top"/>
    </xf>
    <xf numFmtId="3" fontId="6" fillId="0" borderId="0" xfId="0" applyNumberFormat="1" applyFont="1" applyBorder="1" applyAlignment="1">
      <alignment horizontal="right" vertical="top"/>
    </xf>
    <xf numFmtId="165" fontId="7" fillId="0" borderId="0" xfId="0" applyNumberFormat="1" applyFont="1" applyBorder="1" applyAlignment="1">
      <alignment horizontal="right" vertical="top"/>
    </xf>
    <xf numFmtId="165" fontId="7" fillId="0" borderId="5" xfId="0" applyNumberFormat="1" applyFont="1" applyBorder="1" applyAlignment="1">
      <alignment horizontal="right" vertical="top"/>
    </xf>
    <xf numFmtId="165" fontId="7" fillId="6" borderId="0" xfId="0" applyNumberFormat="1" applyFont="1" applyFill="1" applyBorder="1" applyAlignment="1">
      <alignment horizontal="right" vertical="top"/>
    </xf>
    <xf numFmtId="166" fontId="7" fillId="0" borderId="0" xfId="0" applyNumberFormat="1" applyFont="1" applyBorder="1" applyAlignment="1">
      <alignment vertical="top"/>
    </xf>
    <xf numFmtId="167" fontId="7" fillId="0" borderId="0" xfId="0" applyNumberFormat="1" applyFont="1" applyBorder="1" applyAlignment="1">
      <alignment horizontal="right" vertical="top"/>
    </xf>
    <xf numFmtId="10" fontId="4" fillId="4" borderId="0" xfId="0" applyNumberFormat="1" applyFont="1" applyFill="1" applyBorder="1" applyAlignment="1">
      <alignment vertical="top"/>
    </xf>
    <xf numFmtId="10" fontId="4" fillId="4" borderId="0" xfId="0" applyNumberFormat="1" applyFont="1" applyFill="1" applyBorder="1" applyAlignment="1">
      <alignment horizontal="right" vertical="top"/>
    </xf>
    <xf numFmtId="166" fontId="7" fillId="6" borderId="0" xfId="0" applyNumberFormat="1" applyFont="1" applyFill="1" applyBorder="1" applyAlignment="1">
      <alignment vertical="top"/>
    </xf>
    <xf numFmtId="166" fontId="7" fillId="6" borderId="0" xfId="0" applyNumberFormat="1" applyFont="1" applyFill="1" applyBorder="1" applyAlignment="1">
      <alignment horizontal="right" vertical="top"/>
    </xf>
    <xf numFmtId="0" fontId="7" fillId="4" borderId="0" xfId="0" applyFont="1" applyFill="1" applyBorder="1" applyAlignment="1">
      <alignment vertical="top"/>
    </xf>
    <xf numFmtId="165" fontId="7" fillId="4" borderId="0" xfId="0" applyNumberFormat="1" applyFont="1" applyFill="1" applyBorder="1" applyAlignment="1">
      <alignment horizontal="right" vertical="top"/>
    </xf>
    <xf numFmtId="0" fontId="13" fillId="0" borderId="2" xfId="0" applyFont="1" applyBorder="1" applyAlignment="1">
      <alignment vertical="top"/>
    </xf>
    <xf numFmtId="0" fontId="14" fillId="0" borderId="0" xfId="0" applyFont="1" applyBorder="1" applyAlignment="1">
      <alignment vertical="top"/>
    </xf>
    <xf numFmtId="0" fontId="14" fillId="0" borderId="0" xfId="0" applyFont="1" applyBorder="1" applyAlignment="1">
      <alignment horizontal="left" vertical="top"/>
    </xf>
    <xf numFmtId="0" fontId="14" fillId="0" borderId="0" xfId="0" applyFont="1" applyBorder="1" applyAlignment="1">
      <alignment horizontal="center" vertical="top"/>
    </xf>
    <xf numFmtId="0" fontId="15" fillId="0" borderId="0" xfId="0" applyFont="1" applyBorder="1" applyAlignment="1">
      <alignment vertical="top"/>
    </xf>
    <xf numFmtId="164" fontId="15" fillId="0" borderId="0" xfId="0" applyNumberFormat="1" applyFont="1" applyBorder="1" applyAlignment="1">
      <alignment vertical="top"/>
    </xf>
    <xf numFmtId="44" fontId="5" fillId="3" borderId="0" xfId="1" applyFont="1" applyFill="1" applyBorder="1" applyAlignment="1">
      <alignment vertical="top"/>
    </xf>
    <xf numFmtId="44" fontId="5" fillId="4" borderId="0" xfId="1" applyFont="1" applyFill="1" applyBorder="1" applyAlignment="1">
      <alignment vertical="top"/>
    </xf>
    <xf numFmtId="168" fontId="5" fillId="4" borderId="0" xfId="0" applyNumberFormat="1" applyFont="1" applyFill="1" applyBorder="1" applyAlignment="1">
      <alignment vertical="top"/>
    </xf>
    <xf numFmtId="44" fontId="6" fillId="4" borderId="0" xfId="1" applyFont="1" applyFill="1" applyBorder="1" applyAlignment="1">
      <alignment vertical="top"/>
    </xf>
    <xf numFmtId="44" fontId="6" fillId="0" borderId="0" xfId="1" applyFont="1" applyBorder="1" applyAlignment="1">
      <alignment vertical="top"/>
    </xf>
    <xf numFmtId="44" fontId="8" fillId="4" borderId="4" xfId="1" applyFont="1" applyFill="1" applyBorder="1" applyAlignment="1">
      <alignment vertical="top"/>
    </xf>
    <xf numFmtId="168" fontId="6" fillId="4" borderId="0" xfId="0" applyNumberFormat="1" applyFont="1" applyFill="1" applyBorder="1" applyAlignment="1">
      <alignment vertical="top"/>
    </xf>
    <xf numFmtId="44" fontId="9" fillId="0" borderId="0" xfId="1" applyFont="1" applyBorder="1" applyAlignment="1">
      <alignment vertical="top"/>
    </xf>
    <xf numFmtId="44" fontId="9" fillId="4" borderId="0" xfId="1" applyFont="1" applyFill="1" applyBorder="1" applyAlignment="1">
      <alignment vertical="top"/>
    </xf>
    <xf numFmtId="44" fontId="8" fillId="0" borderId="5" xfId="1" applyFont="1" applyBorder="1" applyAlignment="1">
      <alignment vertical="top"/>
    </xf>
    <xf numFmtId="44" fontId="11" fillId="6" borderId="0" xfId="1" applyFont="1" applyFill="1" applyBorder="1" applyAlignment="1">
      <alignment vertical="top"/>
    </xf>
    <xf numFmtId="44" fontId="11" fillId="0" borderId="5" xfId="1" applyFont="1" applyBorder="1" applyAlignment="1">
      <alignment vertical="top"/>
    </xf>
    <xf numFmtId="44" fontId="8" fillId="6" borderId="0" xfId="1" applyFont="1" applyFill="1" applyBorder="1" applyAlignment="1">
      <alignment vertical="top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A9FED-8038-4F01-0415-55FAA1E33F68}">
  <dimension ref="B2:E38"/>
  <sheetViews>
    <sheetView showGridLines="0" tabSelected="1" topLeftCell="B17" workbookViewId="0">
      <selection activeCell="C18" sqref="C18"/>
    </sheetView>
  </sheetViews>
  <sheetFormatPr defaultColWidth="7.796875" defaultRowHeight="15" customHeight="1"/>
  <cols>
    <col min="1" max="1" width="1.5" customWidth="1"/>
    <col min="2" max="2" width="35" customWidth="1"/>
    <col min="3" max="3" width="17.5" customWidth="1"/>
    <col min="4" max="4" width="12.5" customWidth="1"/>
    <col min="5" max="5" width="17.5" customWidth="1"/>
  </cols>
  <sheetData>
    <row r="2" spans="2:5" ht="15.75" customHeight="1">
      <c r="B2" s="1" t="s">
        <v>0</v>
      </c>
    </row>
    <row r="3" spans="2:5" ht="15.75" customHeight="1">
      <c r="B3" s="2" t="s">
        <v>1</v>
      </c>
    </row>
    <row r="5" spans="2:5" ht="15.75" customHeight="1">
      <c r="B5" s="3" t="s">
        <v>2</v>
      </c>
      <c r="C5" s="3"/>
      <c r="D5" s="3"/>
      <c r="E5" s="3"/>
    </row>
    <row r="6" spans="2:5" ht="15.75" customHeight="1">
      <c r="B6" s="4" t="s">
        <v>3</v>
      </c>
      <c r="C6" s="75">
        <v>48000000</v>
      </c>
      <c r="D6" s="4"/>
      <c r="E6" s="4"/>
    </row>
    <row r="7" spans="2:5" ht="15.75" customHeight="1">
      <c r="B7" s="5" t="s">
        <v>4</v>
      </c>
      <c r="C7" s="6">
        <v>0.5</v>
      </c>
      <c r="D7" s="5"/>
      <c r="E7" s="5"/>
    </row>
    <row r="8" spans="2:5" ht="15.75" customHeight="1">
      <c r="B8" s="4" t="s">
        <v>5</v>
      </c>
      <c r="C8" s="75">
        <v>130</v>
      </c>
      <c r="D8" s="4"/>
      <c r="E8" s="4"/>
    </row>
    <row r="9" spans="2:5" ht="15" customHeight="1">
      <c r="B9" s="4"/>
      <c r="C9" s="4"/>
      <c r="D9" s="4"/>
      <c r="E9" s="4"/>
    </row>
    <row r="10" spans="2:5" ht="15.75" customHeight="1">
      <c r="B10" s="3" t="s">
        <v>6</v>
      </c>
      <c r="C10" s="3"/>
      <c r="D10" s="3"/>
      <c r="E10" s="3"/>
    </row>
    <row r="11" spans="2:5" ht="15.75" customHeight="1">
      <c r="B11" s="4"/>
      <c r="C11" s="8" t="s">
        <v>7</v>
      </c>
      <c r="D11" s="8" t="s">
        <v>8</v>
      </c>
      <c r="E11" s="8" t="s">
        <v>9</v>
      </c>
    </row>
    <row r="12" spans="2:5" ht="15.75" customHeight="1">
      <c r="B12" s="5" t="s">
        <v>10</v>
      </c>
      <c r="C12" s="6">
        <v>12</v>
      </c>
      <c r="D12" s="6">
        <v>80</v>
      </c>
      <c r="E12" s="76">
        <v>12000000</v>
      </c>
    </row>
    <row r="13" spans="2:5" ht="15.75" customHeight="1">
      <c r="B13" s="4" t="s">
        <v>11</v>
      </c>
      <c r="C13" s="7">
        <v>12</v>
      </c>
      <c r="D13" s="7">
        <v>100</v>
      </c>
      <c r="E13" s="75">
        <v>16000000</v>
      </c>
    </row>
    <row r="14" spans="2:5" ht="15.75" customHeight="1">
      <c r="B14" s="5" t="s">
        <v>12</v>
      </c>
      <c r="C14" s="6">
        <v>3</v>
      </c>
      <c r="D14" s="5"/>
      <c r="E14" s="5"/>
    </row>
    <row r="15" spans="2:5" ht="15" customHeight="1">
      <c r="B15" s="4"/>
      <c r="C15" s="4"/>
      <c r="D15" s="4"/>
      <c r="E15" s="4"/>
    </row>
    <row r="16" spans="2:5" ht="15.75" customHeight="1">
      <c r="B16" s="3" t="s">
        <v>13</v>
      </c>
      <c r="C16" s="3"/>
      <c r="D16" s="3"/>
      <c r="E16" s="3"/>
    </row>
    <row r="17" spans="2:5" ht="15.75" customHeight="1">
      <c r="B17" s="4" t="s">
        <v>14</v>
      </c>
      <c r="C17" s="9">
        <v>0.1215</v>
      </c>
      <c r="D17" s="4"/>
      <c r="E17" s="4"/>
    </row>
    <row r="18" spans="2:5" ht="15.75" customHeight="1">
      <c r="B18" s="5" t="s">
        <v>15</v>
      </c>
      <c r="C18" s="77">
        <v>500</v>
      </c>
      <c r="D18" s="5"/>
      <c r="E18" s="5"/>
    </row>
    <row r="19" spans="2:5" ht="15" customHeight="1">
      <c r="B19" s="4"/>
      <c r="C19" s="4"/>
      <c r="D19" s="4"/>
      <c r="E19" s="4"/>
    </row>
    <row r="20" spans="2:5" ht="15.75" customHeight="1">
      <c r="B20" s="3" t="s">
        <v>16</v>
      </c>
      <c r="C20" s="3"/>
      <c r="D20" s="3"/>
      <c r="E20" s="3"/>
    </row>
    <row r="21" spans="2:5" ht="15.75" customHeight="1">
      <c r="B21" s="4" t="s">
        <v>17</v>
      </c>
      <c r="C21" s="10">
        <v>0.04</v>
      </c>
      <c r="D21" s="4"/>
      <c r="E21" s="4"/>
    </row>
    <row r="22" spans="2:5" ht="15.75" customHeight="1">
      <c r="B22" s="5" t="s">
        <v>18</v>
      </c>
      <c r="C22" s="11">
        <v>0.15</v>
      </c>
      <c r="D22" s="5"/>
      <c r="E22" s="5"/>
    </row>
    <row r="23" spans="2:5" ht="15.75" customHeight="1">
      <c r="B23" s="4" t="s">
        <v>19</v>
      </c>
      <c r="C23" s="10">
        <v>0.03</v>
      </c>
      <c r="D23" s="4"/>
      <c r="E23" s="4"/>
    </row>
    <row r="24" spans="2:5" ht="15" customHeight="1">
      <c r="B24" s="4"/>
      <c r="C24" s="4"/>
      <c r="D24" s="4"/>
      <c r="E24" s="4"/>
    </row>
    <row r="25" spans="2:5" ht="15.75" customHeight="1">
      <c r="B25" s="3" t="s">
        <v>20</v>
      </c>
      <c r="C25" s="3"/>
      <c r="D25" s="3"/>
      <c r="E25" s="3"/>
    </row>
    <row r="26" spans="2:5" ht="15.75" customHeight="1">
      <c r="B26" s="5" t="s">
        <v>21</v>
      </c>
      <c r="C26" s="6">
        <v>4</v>
      </c>
      <c r="D26" s="5"/>
      <c r="E26" s="5"/>
    </row>
    <row r="27" spans="2:5" ht="15.75" customHeight="1">
      <c r="B27" s="4" t="s">
        <v>22</v>
      </c>
      <c r="C27" s="10">
        <v>0.25</v>
      </c>
      <c r="D27" s="4"/>
      <c r="E27" s="4"/>
    </row>
    <row r="28" spans="2:5" ht="15.75" customHeight="1">
      <c r="B28" s="5" t="s">
        <v>23</v>
      </c>
      <c r="C28" s="11">
        <v>0.25</v>
      </c>
      <c r="D28" s="5"/>
      <c r="E28" s="5"/>
    </row>
    <row r="29" spans="2:5" ht="15.75" customHeight="1">
      <c r="B29" s="4" t="s">
        <v>24</v>
      </c>
      <c r="C29" s="10">
        <v>0.25</v>
      </c>
      <c r="D29" s="4"/>
      <c r="E29" s="4"/>
    </row>
    <row r="30" spans="2:5" ht="15.75" customHeight="1">
      <c r="B30" s="5" t="s">
        <v>25</v>
      </c>
      <c r="C30" s="11">
        <v>0.25</v>
      </c>
      <c r="D30" s="5"/>
      <c r="E30" s="5"/>
    </row>
    <row r="31" spans="2:5" ht="15" customHeight="1">
      <c r="B31" s="4"/>
      <c r="C31" s="4"/>
      <c r="D31" s="4"/>
      <c r="E31" s="4"/>
    </row>
    <row r="32" spans="2:5" ht="15.75" customHeight="1">
      <c r="B32" s="3" t="s">
        <v>26</v>
      </c>
      <c r="C32" s="3"/>
      <c r="D32" s="3"/>
      <c r="E32" s="3"/>
    </row>
    <row r="33" spans="2:5" ht="15.75" customHeight="1">
      <c r="B33" s="4" t="s">
        <v>27</v>
      </c>
      <c r="C33" s="7">
        <v>12</v>
      </c>
      <c r="D33" s="4"/>
      <c r="E33" s="4"/>
    </row>
    <row r="34" spans="2:5" ht="15.75" customHeight="1">
      <c r="B34" s="5" t="s">
        <v>28</v>
      </c>
      <c r="C34" s="6">
        <v>7</v>
      </c>
      <c r="D34" s="5"/>
      <c r="E34" s="5"/>
    </row>
    <row r="35" spans="2:5" ht="15.75" customHeight="1">
      <c r="B35" s="4" t="s">
        <v>29</v>
      </c>
      <c r="C35" s="7">
        <v>12</v>
      </c>
      <c r="D35" s="4"/>
      <c r="E35" s="4"/>
    </row>
    <row r="36" spans="2:5" ht="15.75" customHeight="1">
      <c r="B36" s="5" t="s">
        <v>30</v>
      </c>
      <c r="C36" s="6">
        <v>5</v>
      </c>
      <c r="D36" s="5"/>
      <c r="E36" s="5"/>
    </row>
    <row r="37" spans="2:5" ht="15.75" customHeight="1">
      <c r="B37" s="4" t="s">
        <v>31</v>
      </c>
      <c r="C37" s="7">
        <v>8</v>
      </c>
      <c r="D37" s="4"/>
      <c r="E37" s="4"/>
    </row>
    <row r="38" spans="2:5" ht="15" customHeight="1">
      <c r="B38" s="4"/>
      <c r="C38" s="4"/>
      <c r="D38" s="4"/>
      <c r="E38" s="4"/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03768-AA7F-F9D7-FDA8-F8678B417908}">
  <dimension ref="B2:C30"/>
  <sheetViews>
    <sheetView showGridLines="0" topLeftCell="A8" workbookViewId="0">
      <selection activeCell="C24" sqref="C24:C29"/>
    </sheetView>
  </sheetViews>
  <sheetFormatPr defaultColWidth="7.796875" defaultRowHeight="15" customHeight="1"/>
  <cols>
    <col min="1" max="1" width="1.5" customWidth="1"/>
    <col min="2" max="2" width="35" customWidth="1"/>
    <col min="3" max="3" width="20" customWidth="1"/>
  </cols>
  <sheetData>
    <row r="2" spans="2:3" ht="15.75" customHeight="1">
      <c r="B2" s="1" t="s">
        <v>32</v>
      </c>
    </row>
    <row r="4" spans="2:3" ht="15.75" customHeight="1">
      <c r="B4" s="12" t="s">
        <v>33</v>
      </c>
      <c r="C4" s="12"/>
    </row>
    <row r="5" spans="2:3" ht="15.75" customHeight="1">
      <c r="B5" s="5" t="s">
        <v>34</v>
      </c>
      <c r="C5" s="13">
        <f>Assumptions!C12*Assumptions!D12</f>
        <v>960</v>
      </c>
    </row>
    <row r="6" spans="2:3" ht="15.75" customHeight="1">
      <c r="B6" s="4" t="s">
        <v>35</v>
      </c>
      <c r="C6" s="14">
        <f>Assumptions!C13*Assumptions!D13</f>
        <v>1200</v>
      </c>
    </row>
    <row r="7" spans="2:3" ht="15.75" customHeight="1">
      <c r="B7" s="15" t="s">
        <v>36</v>
      </c>
      <c r="C7" s="16">
        <f t="shared" ref="C7:C14" si="0">C5+C6</f>
        <v>2160</v>
      </c>
    </row>
    <row r="8" spans="2:3" ht="15.75" customHeight="1">
      <c r="B8" s="4" t="s">
        <v>37</v>
      </c>
      <c r="C8" s="14">
        <f>C7*Assumptions!C17</f>
        <v>262.44</v>
      </c>
    </row>
    <row r="9" spans="2:3" ht="15.75" customHeight="1">
      <c r="B9" s="15" t="s">
        <v>38</v>
      </c>
      <c r="C9" s="16">
        <f t="shared" si="0"/>
        <v>2422.44</v>
      </c>
    </row>
    <row r="10" spans="2:3" ht="15" customHeight="1">
      <c r="B10" s="4"/>
      <c r="C10" s="4"/>
    </row>
    <row r="11" spans="2:3" ht="15.75" customHeight="1">
      <c r="B11" s="12" t="s">
        <v>39</v>
      </c>
      <c r="C11" s="12"/>
    </row>
    <row r="12" spans="2:3" ht="15.75" customHeight="1">
      <c r="B12" s="5" t="s">
        <v>40</v>
      </c>
      <c r="C12" s="78">
        <f>Assumptions!C12*Assumptions!E12</f>
        <v>144000000</v>
      </c>
    </row>
    <row r="13" spans="2:3" ht="15.75" customHeight="1">
      <c r="B13" s="4" t="s">
        <v>41</v>
      </c>
      <c r="C13" s="79">
        <f>Assumptions!C13*Assumptions!E13</f>
        <v>192000000</v>
      </c>
    </row>
    <row r="14" spans="2:3" ht="15.75" customHeight="1">
      <c r="B14" s="15" t="s">
        <v>42</v>
      </c>
      <c r="C14" s="80">
        <f t="shared" si="0"/>
        <v>336000000</v>
      </c>
    </row>
    <row r="15" spans="2:3" ht="15" customHeight="1">
      <c r="B15" s="4"/>
      <c r="C15" s="4"/>
    </row>
    <row r="16" spans="2:3" ht="15.75" customHeight="1">
      <c r="B16" s="12" t="s">
        <v>43</v>
      </c>
      <c r="C16" s="12"/>
    </row>
    <row r="17" spans="2:3" ht="15.75" customHeight="1">
      <c r="B17" s="5" t="s">
        <v>44</v>
      </c>
      <c r="C17" s="81">
        <f>C9*Assumptions!C18</f>
        <v>1211220</v>
      </c>
    </row>
    <row r="18" spans="2:3" ht="15.75" customHeight="1">
      <c r="B18" s="4" t="s">
        <v>45</v>
      </c>
      <c r="C18" s="79">
        <f>C17*Assumptions!C8</f>
        <v>157458600</v>
      </c>
    </row>
    <row r="19" spans="2:3" ht="15.75" customHeight="1">
      <c r="B19" s="5" t="s">
        <v>46</v>
      </c>
      <c r="C19" s="78">
        <f>Assumptions!C6*Assumptions!C21</f>
        <v>1920000</v>
      </c>
    </row>
    <row r="20" spans="2:3" ht="15.75" customHeight="1">
      <c r="B20" s="4" t="s">
        <v>47</v>
      </c>
      <c r="C20" s="79">
        <f>C18*Assumptions!C22</f>
        <v>23618790</v>
      </c>
    </row>
    <row r="21" spans="2:3" ht="15.75" customHeight="1">
      <c r="B21" s="5" t="s">
        <v>48</v>
      </c>
      <c r="C21" s="78">
        <f>C14*Assumptions!C23</f>
        <v>10080000</v>
      </c>
    </row>
    <row r="22" spans="2:3" ht="15" customHeight="1">
      <c r="B22" s="4"/>
      <c r="C22" s="4"/>
    </row>
    <row r="23" spans="2:3" ht="15.75" customHeight="1">
      <c r="B23" s="12" t="s">
        <v>49</v>
      </c>
      <c r="C23" s="12"/>
    </row>
    <row r="24" spans="2:3" ht="15.75" customHeight="1">
      <c r="B24" s="5" t="s">
        <v>3</v>
      </c>
      <c r="C24" s="78" cm="1">
        <f t="array" ref="C24">Assumptions!C6</f>
        <v>48000000</v>
      </c>
    </row>
    <row r="25" spans="2:3" ht="15.75" customHeight="1">
      <c r="B25" s="4" t="s">
        <v>17</v>
      </c>
      <c r="C25" s="82" cm="1">
        <f t="array" ref="C25">C19</f>
        <v>1920000</v>
      </c>
    </row>
    <row r="26" spans="2:3" ht="15.75" customHeight="1">
      <c r="B26" s="5" t="s">
        <v>45</v>
      </c>
      <c r="C26" s="83" cm="1">
        <f t="array" ref="C26">C18</f>
        <v>157458600</v>
      </c>
    </row>
    <row r="27" spans="2:3" ht="15.75" customHeight="1">
      <c r="B27" s="4" t="s">
        <v>50</v>
      </c>
      <c r="C27" s="82" cm="1">
        <f t="array" ref="C27">C20</f>
        <v>23618790</v>
      </c>
    </row>
    <row r="28" spans="2:3" ht="15.75" customHeight="1">
      <c r="B28" s="5" t="s">
        <v>19</v>
      </c>
      <c r="C28" s="83" cm="1">
        <f t="array" ref="C28">C21</f>
        <v>10080000</v>
      </c>
    </row>
    <row r="29" spans="2:3" ht="15.75" customHeight="1">
      <c r="B29" s="17" t="s">
        <v>51</v>
      </c>
      <c r="C29" s="84">
        <f>SUM(C24:C28)</f>
        <v>241077390</v>
      </c>
    </row>
    <row r="30" spans="2:3" ht="15" customHeight="1">
      <c r="B30" s="4"/>
      <c r="C30" s="4"/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CC2A8-3AAC-8628-3608-509E9A226F98}">
  <dimension ref="B2:O34"/>
  <sheetViews>
    <sheetView showGridLines="0" topLeftCell="E19" workbookViewId="0"/>
  </sheetViews>
  <sheetFormatPr defaultColWidth="7.796875" defaultRowHeight="15" customHeight="1"/>
  <cols>
    <col min="1" max="1" width="1.5" customWidth="1"/>
    <col min="2" max="2" width="30" customWidth="1"/>
    <col min="3" max="14" width="12.5" customWidth="1"/>
    <col min="15" max="15" width="15" customWidth="1"/>
  </cols>
  <sheetData>
    <row r="2" spans="2:15" ht="15.75" customHeight="1">
      <c r="B2" s="18" t="s">
        <v>52</v>
      </c>
    </row>
    <row r="4" spans="2:15" ht="15.75" customHeight="1">
      <c r="B4" s="12" t="s">
        <v>53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2:15" ht="15.75" customHeight="1">
      <c r="B5" s="19" t="s">
        <v>54</v>
      </c>
      <c r="C5" s="19">
        <v>1</v>
      </c>
      <c r="D5" s="19">
        <v>2</v>
      </c>
      <c r="E5" s="19">
        <v>3</v>
      </c>
      <c r="F5" s="19">
        <v>4</v>
      </c>
      <c r="G5" s="19">
        <v>5</v>
      </c>
      <c r="H5" s="19">
        <v>6</v>
      </c>
      <c r="I5" s="19">
        <v>7</v>
      </c>
      <c r="J5" s="19">
        <v>8</v>
      </c>
      <c r="K5" s="19">
        <v>9</v>
      </c>
      <c r="L5" s="19">
        <v>10</v>
      </c>
      <c r="M5" s="19">
        <v>11</v>
      </c>
      <c r="N5" s="19">
        <v>12</v>
      </c>
      <c r="O5" s="19" t="s">
        <v>55</v>
      </c>
    </row>
    <row r="6" spans="2:15" ht="15.75" customHeight="1">
      <c r="B6" s="20" t="s">
        <v>56</v>
      </c>
      <c r="C6" s="21">
        <f>IF(AND(1&gt;=Assumptions!C36,1&lt;=Assumptions!C37),'Area-Cost-Calcs'!C14/(Assumptions!C37-Assumptions!C36+1),0)</f>
        <v>0</v>
      </c>
      <c r="D6" s="21">
        <f>IF(AND(2&gt;=Assumptions!C36,2&lt;=Assumptions!C37),'Area-Cost-Calcs'!C14/(Assumptions!C37-Assumptions!C36+1),0)</f>
        <v>0</v>
      </c>
      <c r="E6" s="21">
        <f>IF(AND(3&gt;=Assumptions!C36,3&lt;=Assumptions!C37),'Area-Cost-Calcs'!C14/(Assumptions!C37-Assumptions!C36+1),0)</f>
        <v>0</v>
      </c>
      <c r="F6" s="21">
        <f>IF(AND(4&gt;=Assumptions!C36,4&lt;=Assumptions!C37),'Area-Cost-Calcs'!C14/(Assumptions!C37-Assumptions!C36+1),0)</f>
        <v>0</v>
      </c>
      <c r="G6" s="21">
        <f>IF(AND(5&gt;=Assumptions!C36,5&lt;=Assumptions!C37),'Area-Cost-Calcs'!C14/(Assumptions!C37-Assumptions!C36+1),0)</f>
        <v>84000000</v>
      </c>
      <c r="H6" s="21">
        <f>IF(AND(6&gt;=Assumptions!C36,6&lt;=Assumptions!C37),'Area-Cost-Calcs'!C14/(Assumptions!C37-Assumptions!C36+1),0)</f>
        <v>84000000</v>
      </c>
      <c r="I6" s="21">
        <f>IF(AND(7&gt;=Assumptions!C36,7&lt;=Assumptions!C37),'Area-Cost-Calcs'!C14/(Assumptions!C37-Assumptions!C36+1),0)</f>
        <v>84000000</v>
      </c>
      <c r="J6" s="21">
        <f>IF(AND(8&gt;=Assumptions!C36,8&lt;=Assumptions!C37),'Area-Cost-Calcs'!C14/(Assumptions!C37-Assumptions!C36+1),0)</f>
        <v>84000000</v>
      </c>
      <c r="K6" s="21">
        <f>IF(AND(9&gt;=Assumptions!C36,9&lt;=Assumptions!C37),'Area-Cost-Calcs'!C14/(Assumptions!C37-Assumptions!C36+1),0)</f>
        <v>0</v>
      </c>
      <c r="L6" s="21">
        <f>IF(AND(10&gt;=Assumptions!C36,10&lt;=Assumptions!C37),'Area-Cost-Calcs'!C14/(Assumptions!C37-Assumptions!C36+1),0)</f>
        <v>0</v>
      </c>
      <c r="M6" s="21">
        <f>IF(AND(11&gt;=Assumptions!C36,11&lt;=Assumptions!C37),'Area-Cost-Calcs'!C14/(Assumptions!C37-Assumptions!C36+1),0)</f>
        <v>0</v>
      </c>
      <c r="N6" s="21">
        <f>IF(AND(12&gt;=Assumptions!C36,12&lt;=Assumptions!C37),'Area-Cost-Calcs'!C14/(Assumptions!C37-Assumptions!C36+1),0)</f>
        <v>0</v>
      </c>
      <c r="O6" s="21">
        <f t="shared" ref="O6:O34" si="0">SUM(C6:N6)</f>
        <v>336000000</v>
      </c>
    </row>
    <row r="7" spans="2:15" ht="15" customHeight="1">
      <c r="B7" s="4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3"/>
    </row>
    <row r="8" spans="2:15" ht="15.75" customHeight="1">
      <c r="B8" s="12" t="s">
        <v>57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</row>
    <row r="9" spans="2:15" ht="15.75" customHeight="1">
      <c r="B9" s="4" t="s">
        <v>58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3"/>
    </row>
    <row r="10" spans="2:15" ht="15.75" customHeight="1">
      <c r="B10" s="25" t="s">
        <v>59</v>
      </c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2:15" ht="15.75" customHeight="1">
      <c r="B11" s="4" t="s">
        <v>60</v>
      </c>
      <c r="C11" s="27">
        <f>IF(1=5,G6*Assumptions!C27,0)</f>
        <v>0</v>
      </c>
      <c r="D11" s="27">
        <f>IF(2=5,G6*Assumptions!C27,0)</f>
        <v>0</v>
      </c>
      <c r="E11" s="27">
        <f>IF(3=5,G6*Assumptions!C27,0)</f>
        <v>0</v>
      </c>
      <c r="F11" s="27">
        <f>IF(4=5,G6*Assumptions!C27,0)</f>
        <v>0</v>
      </c>
      <c r="G11" s="27">
        <f>IF(5=5,G6*Assumptions!C27,0)</f>
        <v>21000000</v>
      </c>
      <c r="H11" s="27">
        <f>IF(6=5,G6*Assumptions!C27,0)</f>
        <v>0</v>
      </c>
      <c r="I11" s="27">
        <f>IF(7=5,G6*Assumptions!C27,0)</f>
        <v>0</v>
      </c>
      <c r="J11" s="27">
        <f>IF(8=5,G6*Assumptions!C27,0)</f>
        <v>0</v>
      </c>
      <c r="K11" s="27">
        <f>IF(9=5,G6*Assumptions!C27,0)</f>
        <v>0</v>
      </c>
      <c r="L11" s="27">
        <f>IF(10=5,G6*Assumptions!C27,0)</f>
        <v>0</v>
      </c>
      <c r="M11" s="27">
        <f>IF(11=5,G6*Assumptions!C27,0)</f>
        <v>0</v>
      </c>
      <c r="N11" s="27">
        <f>IF(12=5,G6*Assumptions!C27,0)</f>
        <v>0</v>
      </c>
      <c r="O11" s="28">
        <f t="shared" si="0"/>
        <v>21000000</v>
      </c>
    </row>
    <row r="12" spans="2:15" ht="15.75" customHeight="1">
      <c r="B12" s="4" t="s">
        <v>61</v>
      </c>
      <c r="C12" s="27">
        <f>IF(1=Assumptions!C34+1,G6*Assumptions!C28,0)</f>
        <v>0</v>
      </c>
      <c r="D12" s="27">
        <f>IF(2=Assumptions!C34+1,G6*Assumptions!C28,0)</f>
        <v>0</v>
      </c>
      <c r="E12" s="27">
        <f>IF(3=Assumptions!C34+1,G6*Assumptions!C28,0)</f>
        <v>0</v>
      </c>
      <c r="F12" s="27">
        <f>IF(4=Assumptions!C34+1,G6*Assumptions!C28,0)</f>
        <v>0</v>
      </c>
      <c r="G12" s="27">
        <f>IF(5=Assumptions!C34+1,G6*Assumptions!C28,0)</f>
        <v>0</v>
      </c>
      <c r="H12" s="27">
        <f>IF(6=Assumptions!C34+1,G6*Assumptions!C28,0)</f>
        <v>0</v>
      </c>
      <c r="I12" s="27">
        <f>IF(7=Assumptions!C34+1,G6*Assumptions!C28,0)</f>
        <v>0</v>
      </c>
      <c r="J12" s="27">
        <f>IF(8=Assumptions!C34+1,G6*Assumptions!C28,0)</f>
        <v>21000000</v>
      </c>
      <c r="K12" s="27">
        <f>IF(9=Assumptions!C34+1,G6*Assumptions!C28,0)</f>
        <v>0</v>
      </c>
      <c r="L12" s="27">
        <f>IF(10=Assumptions!C34+1,G6*Assumptions!C28,0)</f>
        <v>0</v>
      </c>
      <c r="M12" s="27">
        <f>IF(11=Assumptions!C34+1,G6*Assumptions!C28,0)</f>
        <v>0</v>
      </c>
      <c r="N12" s="27">
        <f>IF(12=Assumptions!C34+1,G6*Assumptions!C28,0)</f>
        <v>0</v>
      </c>
      <c r="O12" s="28">
        <f t="shared" si="0"/>
        <v>21000000</v>
      </c>
    </row>
    <row r="13" spans="2:15" ht="15.75" customHeight="1">
      <c r="B13" s="4" t="s">
        <v>62</v>
      </c>
      <c r="C13" s="27">
        <f>IF(1=Assumptions!C34+3,G6*Assumptions!C29,0)</f>
        <v>0</v>
      </c>
      <c r="D13" s="27">
        <f>IF(2=Assumptions!C34+3,G6*Assumptions!C29,0)</f>
        <v>0</v>
      </c>
      <c r="E13" s="27">
        <f>IF(3=Assumptions!C34+3,G6*Assumptions!C29,0)</f>
        <v>0</v>
      </c>
      <c r="F13" s="27">
        <f>IF(4=Assumptions!C34+3,G6*Assumptions!C29,0)</f>
        <v>0</v>
      </c>
      <c r="G13" s="27">
        <f>IF(5=Assumptions!C34+3,G6*Assumptions!C29,0)</f>
        <v>0</v>
      </c>
      <c r="H13" s="27">
        <f>IF(6=Assumptions!C34+3,G6*Assumptions!C29,0)</f>
        <v>0</v>
      </c>
      <c r="I13" s="27">
        <f>IF(7=Assumptions!C34+3,G6*Assumptions!C29,0)</f>
        <v>0</v>
      </c>
      <c r="J13" s="27">
        <f>IF(8=Assumptions!C34+3,G6*Assumptions!C29,0)</f>
        <v>0</v>
      </c>
      <c r="K13" s="27">
        <f>IF(9=Assumptions!C34+3,G6*Assumptions!C29,0)</f>
        <v>0</v>
      </c>
      <c r="L13" s="27">
        <f>IF(10=Assumptions!C34+3,G6*Assumptions!C29,0)</f>
        <v>21000000</v>
      </c>
      <c r="M13" s="27">
        <f>IF(11=Assumptions!C34+3,G6*Assumptions!C29,0)</f>
        <v>0</v>
      </c>
      <c r="N13" s="27">
        <f>IF(12=Assumptions!C34+3,G6*Assumptions!C29,0)</f>
        <v>0</v>
      </c>
      <c r="O13" s="28">
        <f t="shared" si="0"/>
        <v>21000000</v>
      </c>
    </row>
    <row r="14" spans="2:15" ht="15.75" customHeight="1">
      <c r="B14" s="4" t="s">
        <v>63</v>
      </c>
      <c r="C14" s="27">
        <f>IF(1=Assumptions!C35,G6*Assumptions!C30,0)</f>
        <v>0</v>
      </c>
      <c r="D14" s="27">
        <f>IF(2=Assumptions!C35,G6*Assumptions!C30,0)</f>
        <v>0</v>
      </c>
      <c r="E14" s="27">
        <f>IF(3=Assumptions!C35,G6*Assumptions!C30,0)</f>
        <v>0</v>
      </c>
      <c r="F14" s="27">
        <f>IF(4=Assumptions!C35,G6*Assumptions!C30,0)</f>
        <v>0</v>
      </c>
      <c r="G14" s="27">
        <f>IF(5=Assumptions!C35,G6*Assumptions!C30,0)</f>
        <v>0</v>
      </c>
      <c r="H14" s="27">
        <f>IF(6=Assumptions!C35,G6*Assumptions!C30,0)</f>
        <v>0</v>
      </c>
      <c r="I14" s="27">
        <f>IF(7=Assumptions!C35,G6*Assumptions!C30,0)</f>
        <v>0</v>
      </c>
      <c r="J14" s="27">
        <f>IF(8=Assumptions!C35,G6*Assumptions!C30,0)</f>
        <v>0</v>
      </c>
      <c r="K14" s="27">
        <f>IF(9=Assumptions!C35,G6*Assumptions!C30,0)</f>
        <v>0</v>
      </c>
      <c r="L14" s="27">
        <f>IF(10=Assumptions!C35,G6*Assumptions!C30,0)</f>
        <v>0</v>
      </c>
      <c r="M14" s="27">
        <f>IF(11=Assumptions!C35,G6*Assumptions!C30,0)</f>
        <v>0</v>
      </c>
      <c r="N14" s="27">
        <f>IF(12=Assumptions!C35,G6*Assumptions!C30,0)</f>
        <v>21000000</v>
      </c>
      <c r="O14" s="28">
        <f t="shared" si="0"/>
        <v>21000000</v>
      </c>
    </row>
    <row r="15" spans="2:15" ht="15" customHeight="1">
      <c r="B15" s="4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8"/>
    </row>
    <row r="16" spans="2:15" ht="15.75" customHeight="1">
      <c r="B16" s="25" t="s">
        <v>64</v>
      </c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</row>
    <row r="17" spans="2:15" ht="15.75" customHeight="1">
      <c r="B17" s="4" t="s">
        <v>60</v>
      </c>
      <c r="C17" s="27">
        <f>IF(1=6,H6*Assumptions!C27,0)</f>
        <v>0</v>
      </c>
      <c r="D17" s="27">
        <f>IF(2=6,H6*Assumptions!C27,0)</f>
        <v>0</v>
      </c>
      <c r="E17" s="27">
        <f>IF(3=6,H6*Assumptions!C27,0)</f>
        <v>0</v>
      </c>
      <c r="F17" s="27">
        <f>IF(4=6,H6*Assumptions!C27,0)</f>
        <v>0</v>
      </c>
      <c r="G17" s="27">
        <f>IF(5=6,H6*Assumptions!C27,0)</f>
        <v>0</v>
      </c>
      <c r="H17" s="27">
        <f>IF(6=6,H6*Assumptions!C27,0)</f>
        <v>21000000</v>
      </c>
      <c r="I17" s="27">
        <f>IF(7=6,H6*Assumptions!C27,0)</f>
        <v>0</v>
      </c>
      <c r="J17" s="27">
        <f>IF(8=6,H6*Assumptions!C27,0)</f>
        <v>0</v>
      </c>
      <c r="K17" s="27">
        <f>IF(9=6,H6*Assumptions!C27,0)</f>
        <v>0</v>
      </c>
      <c r="L17" s="27">
        <f>IF(10=6,H6*Assumptions!C27,0)</f>
        <v>0</v>
      </c>
      <c r="M17" s="27">
        <f>IF(11=6,H6*Assumptions!C27,0)</f>
        <v>0</v>
      </c>
      <c r="N17" s="27">
        <f>IF(12=6,H6*Assumptions!C27,0)</f>
        <v>0</v>
      </c>
      <c r="O17" s="28">
        <f t="shared" si="0"/>
        <v>21000000</v>
      </c>
    </row>
    <row r="18" spans="2:15" ht="15.75" customHeight="1">
      <c r="B18" s="4" t="s">
        <v>61</v>
      </c>
      <c r="C18" s="27">
        <f>IF(1=Assumptions!C34+1,H6*Assumptions!C28,0)</f>
        <v>0</v>
      </c>
      <c r="D18" s="27">
        <f>IF(2=Assumptions!C34+1,H6*Assumptions!C28,0)</f>
        <v>0</v>
      </c>
      <c r="E18" s="27">
        <f>IF(3=Assumptions!C34+1,H6*Assumptions!C28,0)</f>
        <v>0</v>
      </c>
      <c r="F18" s="27">
        <f>IF(4=Assumptions!C34+1,H6*Assumptions!C28,0)</f>
        <v>0</v>
      </c>
      <c r="G18" s="27">
        <f>IF(5=Assumptions!C34+1,H6*Assumptions!C28,0)</f>
        <v>0</v>
      </c>
      <c r="H18" s="27">
        <f>IF(6=Assumptions!C34+1,H6*Assumptions!C28,0)</f>
        <v>0</v>
      </c>
      <c r="I18" s="27">
        <f>IF(7=Assumptions!C34+1,H6*Assumptions!C28,0)</f>
        <v>0</v>
      </c>
      <c r="J18" s="27">
        <f>IF(8=Assumptions!C34+1,H6*Assumptions!C28,0)</f>
        <v>21000000</v>
      </c>
      <c r="K18" s="27">
        <f>IF(9=Assumptions!C34+1,H6*Assumptions!C28,0)</f>
        <v>0</v>
      </c>
      <c r="L18" s="27">
        <f>IF(10=Assumptions!C34+1,H6*Assumptions!C28,0)</f>
        <v>0</v>
      </c>
      <c r="M18" s="27">
        <f>IF(11=Assumptions!C34+1,H6*Assumptions!C28,0)</f>
        <v>0</v>
      </c>
      <c r="N18" s="27">
        <f>IF(12=Assumptions!C34+1,H6*Assumptions!C28,0)</f>
        <v>0</v>
      </c>
      <c r="O18" s="28">
        <f t="shared" si="0"/>
        <v>21000000</v>
      </c>
    </row>
    <row r="19" spans="2:15" ht="15.75" customHeight="1">
      <c r="B19" s="4" t="s">
        <v>62</v>
      </c>
      <c r="C19" s="27">
        <f>IF(1=Assumptions!C34+3,H6*Assumptions!C29,0)</f>
        <v>0</v>
      </c>
      <c r="D19" s="27">
        <f>IF(2=Assumptions!C34+3,H6*Assumptions!C29,0)</f>
        <v>0</v>
      </c>
      <c r="E19" s="27">
        <f>IF(3=Assumptions!C34+3,H6*Assumptions!C29,0)</f>
        <v>0</v>
      </c>
      <c r="F19" s="27">
        <f>IF(4=Assumptions!C34+3,H6*Assumptions!C29,0)</f>
        <v>0</v>
      </c>
      <c r="G19" s="27">
        <f>IF(5=Assumptions!C34+3,H6*Assumptions!C29,0)</f>
        <v>0</v>
      </c>
      <c r="H19" s="27">
        <f>IF(6=Assumptions!C34+3,H6*Assumptions!C29,0)</f>
        <v>0</v>
      </c>
      <c r="I19" s="27">
        <f>IF(7=Assumptions!C34+3,H6*Assumptions!C29,0)</f>
        <v>0</v>
      </c>
      <c r="J19" s="27">
        <f>IF(8=Assumptions!C34+3,H6*Assumptions!C29,0)</f>
        <v>0</v>
      </c>
      <c r="K19" s="27">
        <f>IF(9=Assumptions!C34+3,H6*Assumptions!C29,0)</f>
        <v>0</v>
      </c>
      <c r="L19" s="27">
        <f>IF(10=Assumptions!C34+3,H6*Assumptions!C29,0)</f>
        <v>21000000</v>
      </c>
      <c r="M19" s="27">
        <f>IF(11=Assumptions!C34+3,H6*Assumptions!C29,0)</f>
        <v>0</v>
      </c>
      <c r="N19" s="27">
        <f>IF(12=Assumptions!C34+3,H6*Assumptions!C29,0)</f>
        <v>0</v>
      </c>
      <c r="O19" s="28">
        <f t="shared" si="0"/>
        <v>21000000</v>
      </c>
    </row>
    <row r="20" spans="2:15" ht="15.75" customHeight="1">
      <c r="B20" s="4" t="s">
        <v>63</v>
      </c>
      <c r="C20" s="27">
        <f>IF(1=Assumptions!C35,H6*Assumptions!C30,0)</f>
        <v>0</v>
      </c>
      <c r="D20" s="27">
        <f>IF(2=Assumptions!C35,H6*Assumptions!C30,0)</f>
        <v>0</v>
      </c>
      <c r="E20" s="27">
        <f>IF(3=Assumptions!C35,H6*Assumptions!C30,0)</f>
        <v>0</v>
      </c>
      <c r="F20" s="27">
        <f>IF(4=Assumptions!C35,H6*Assumptions!C30,0)</f>
        <v>0</v>
      </c>
      <c r="G20" s="27">
        <f>IF(5=Assumptions!C35,H6*Assumptions!C30,0)</f>
        <v>0</v>
      </c>
      <c r="H20" s="27">
        <f>IF(6=Assumptions!C35,H6*Assumptions!C30,0)</f>
        <v>0</v>
      </c>
      <c r="I20" s="27">
        <f>IF(7=Assumptions!C35,H6*Assumptions!C30,0)</f>
        <v>0</v>
      </c>
      <c r="J20" s="27">
        <f>IF(8=Assumptions!C35,H6*Assumptions!C30,0)</f>
        <v>0</v>
      </c>
      <c r="K20" s="27">
        <f>IF(9=Assumptions!C35,H6*Assumptions!C30,0)</f>
        <v>0</v>
      </c>
      <c r="L20" s="27">
        <f>IF(10=Assumptions!C35,H6*Assumptions!C30,0)</f>
        <v>0</v>
      </c>
      <c r="M20" s="27">
        <f>IF(11=Assumptions!C35,H6*Assumptions!C30,0)</f>
        <v>0</v>
      </c>
      <c r="N20" s="27">
        <f>IF(12=Assumptions!C35,H6*Assumptions!C30,0)</f>
        <v>21000000</v>
      </c>
      <c r="O20" s="28">
        <f t="shared" si="0"/>
        <v>21000000</v>
      </c>
    </row>
    <row r="21" spans="2:15" ht="15" customHeight="1">
      <c r="B21" s="4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8"/>
    </row>
    <row r="22" spans="2:15" ht="15.75" customHeight="1">
      <c r="B22" s="25" t="s">
        <v>65</v>
      </c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</row>
    <row r="23" spans="2:15" ht="15.75" customHeight="1">
      <c r="B23" s="4" t="s">
        <v>60</v>
      </c>
      <c r="C23" s="27">
        <f>IF(1=7,I6*Assumptions!C27,0)</f>
        <v>0</v>
      </c>
      <c r="D23" s="27">
        <f>IF(2=7,I6*Assumptions!C27,0)</f>
        <v>0</v>
      </c>
      <c r="E23" s="27">
        <f>IF(3=7,I6*Assumptions!C27,0)</f>
        <v>0</v>
      </c>
      <c r="F23" s="27">
        <f>IF(4=7,I6*Assumptions!C27,0)</f>
        <v>0</v>
      </c>
      <c r="G23" s="27">
        <f>IF(5=7,I6*Assumptions!C27,0)</f>
        <v>0</v>
      </c>
      <c r="H23" s="27">
        <f>IF(6=7,I6*Assumptions!C27,0)</f>
        <v>0</v>
      </c>
      <c r="I23" s="27">
        <f>IF(7=7,I6*Assumptions!C27,0)</f>
        <v>21000000</v>
      </c>
      <c r="J23" s="27">
        <f>IF(8=7,I6*Assumptions!C27,0)</f>
        <v>0</v>
      </c>
      <c r="K23" s="27">
        <f>IF(9=7,I6*Assumptions!C27,0)</f>
        <v>0</v>
      </c>
      <c r="L23" s="27">
        <f>IF(10=7,I6*Assumptions!C27,0)</f>
        <v>0</v>
      </c>
      <c r="M23" s="27">
        <f>IF(11=7,I6*Assumptions!C27,0)</f>
        <v>0</v>
      </c>
      <c r="N23" s="27">
        <f>IF(12=7,I6*Assumptions!C27,0)</f>
        <v>0</v>
      </c>
      <c r="O23" s="28">
        <f t="shared" si="0"/>
        <v>21000000</v>
      </c>
    </row>
    <row r="24" spans="2:15" ht="15.75" customHeight="1">
      <c r="B24" s="4" t="s">
        <v>61</v>
      </c>
      <c r="C24" s="27">
        <f>IF(1=Assumptions!C34+1,I6*Assumptions!C28,0)</f>
        <v>0</v>
      </c>
      <c r="D24" s="27">
        <f>IF(2=Assumptions!C34+1,I6*Assumptions!C28,0)</f>
        <v>0</v>
      </c>
      <c r="E24" s="27">
        <f>IF(3=Assumptions!C34+1,I6*Assumptions!C28,0)</f>
        <v>0</v>
      </c>
      <c r="F24" s="27">
        <f>IF(4=Assumptions!C34+1,I6*Assumptions!C28,0)</f>
        <v>0</v>
      </c>
      <c r="G24" s="27">
        <f>IF(5=Assumptions!C34+1,I6*Assumptions!C28,0)</f>
        <v>0</v>
      </c>
      <c r="H24" s="27">
        <f>IF(6=Assumptions!C34+1,I6*Assumptions!C28,0)</f>
        <v>0</v>
      </c>
      <c r="I24" s="27">
        <f>IF(7=Assumptions!C34+1,I6*Assumptions!C28,0)</f>
        <v>0</v>
      </c>
      <c r="J24" s="27">
        <f>IF(8=Assumptions!C34+1,I6*Assumptions!C28,0)</f>
        <v>21000000</v>
      </c>
      <c r="K24" s="27">
        <f>IF(9=Assumptions!C34+1,I6*Assumptions!C28,0)</f>
        <v>0</v>
      </c>
      <c r="L24" s="27">
        <f>IF(10=Assumptions!C34+1,I6*Assumptions!C28,0)</f>
        <v>0</v>
      </c>
      <c r="M24" s="27">
        <f>IF(11=Assumptions!C34+1,I6*Assumptions!C28,0)</f>
        <v>0</v>
      </c>
      <c r="N24" s="27">
        <f>IF(12=Assumptions!C34+1,I6*Assumptions!C28,0)</f>
        <v>0</v>
      </c>
      <c r="O24" s="28">
        <f t="shared" si="0"/>
        <v>21000000</v>
      </c>
    </row>
    <row r="25" spans="2:15" ht="15.75" customHeight="1">
      <c r="B25" s="4" t="s">
        <v>62</v>
      </c>
      <c r="C25" s="27">
        <f>IF(1=Assumptions!C34+3,I6*Assumptions!C29,0)</f>
        <v>0</v>
      </c>
      <c r="D25" s="27">
        <f>IF(2=Assumptions!C34+3,I6*Assumptions!C29,0)</f>
        <v>0</v>
      </c>
      <c r="E25" s="27">
        <f>IF(3=Assumptions!C34+3,I6*Assumptions!C29,0)</f>
        <v>0</v>
      </c>
      <c r="F25" s="27">
        <f>IF(4=Assumptions!C34+3,I6*Assumptions!C29,0)</f>
        <v>0</v>
      </c>
      <c r="G25" s="27">
        <f>IF(5=Assumptions!C34+3,I6*Assumptions!C29,0)</f>
        <v>0</v>
      </c>
      <c r="H25" s="27">
        <f>IF(6=Assumptions!C34+3,I6*Assumptions!C29,0)</f>
        <v>0</v>
      </c>
      <c r="I25" s="27">
        <f>IF(7=Assumptions!C34+3,I6*Assumptions!C29,0)</f>
        <v>0</v>
      </c>
      <c r="J25" s="27">
        <f>IF(8=Assumptions!C34+3,I6*Assumptions!C29,0)</f>
        <v>0</v>
      </c>
      <c r="K25" s="27">
        <f>IF(9=Assumptions!C34+3,I6*Assumptions!C29,0)</f>
        <v>0</v>
      </c>
      <c r="L25" s="27">
        <f>IF(10=Assumptions!C34+3,I6*Assumptions!C29,0)</f>
        <v>21000000</v>
      </c>
      <c r="M25" s="27">
        <f>IF(11=Assumptions!C34+3,I6*Assumptions!C29,0)</f>
        <v>0</v>
      </c>
      <c r="N25" s="27">
        <f>IF(12=Assumptions!C34+3,I6*Assumptions!C29,0)</f>
        <v>0</v>
      </c>
      <c r="O25" s="28">
        <f t="shared" si="0"/>
        <v>21000000</v>
      </c>
    </row>
    <row r="26" spans="2:15" ht="15.75" customHeight="1">
      <c r="B26" s="4" t="s">
        <v>63</v>
      </c>
      <c r="C26" s="27">
        <f>IF(1=Assumptions!C35,I6*Assumptions!C30,0)</f>
        <v>0</v>
      </c>
      <c r="D26" s="27">
        <f>IF(2=Assumptions!C35,I6*Assumptions!C30,0)</f>
        <v>0</v>
      </c>
      <c r="E26" s="27">
        <f>IF(3=Assumptions!C35,I6*Assumptions!C30,0)</f>
        <v>0</v>
      </c>
      <c r="F26" s="27">
        <f>IF(4=Assumptions!C35,I6*Assumptions!C30,0)</f>
        <v>0</v>
      </c>
      <c r="G26" s="27">
        <f>IF(5=Assumptions!C35,I6*Assumptions!C30,0)</f>
        <v>0</v>
      </c>
      <c r="H26" s="27">
        <f>IF(6=Assumptions!C35,I6*Assumptions!C30,0)</f>
        <v>0</v>
      </c>
      <c r="I26" s="27">
        <f>IF(7=Assumptions!C35,I6*Assumptions!C30,0)</f>
        <v>0</v>
      </c>
      <c r="J26" s="27">
        <f>IF(8=Assumptions!C35,I6*Assumptions!C30,0)</f>
        <v>0</v>
      </c>
      <c r="K26" s="27">
        <f>IF(9=Assumptions!C35,I6*Assumptions!C30,0)</f>
        <v>0</v>
      </c>
      <c r="L26" s="27">
        <f>IF(10=Assumptions!C35,I6*Assumptions!C30,0)</f>
        <v>0</v>
      </c>
      <c r="M26" s="27">
        <f>IF(11=Assumptions!C35,I6*Assumptions!C30,0)</f>
        <v>0</v>
      </c>
      <c r="N26" s="27">
        <f>IF(12=Assumptions!C35,I6*Assumptions!C30,0)</f>
        <v>21000000</v>
      </c>
      <c r="O26" s="28">
        <f t="shared" si="0"/>
        <v>21000000</v>
      </c>
    </row>
    <row r="27" spans="2:15" ht="15" customHeight="1">
      <c r="B27" s="4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8"/>
    </row>
    <row r="28" spans="2:15" ht="15.75" customHeight="1">
      <c r="B28" s="25" t="s">
        <v>66</v>
      </c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</row>
    <row r="29" spans="2:15" ht="15.75" customHeight="1">
      <c r="B29" s="4" t="s">
        <v>60</v>
      </c>
      <c r="C29" s="27">
        <f>IF(1=8,J6*Assumptions!C27,0)</f>
        <v>0</v>
      </c>
      <c r="D29" s="27">
        <f>IF(2=8,J6*Assumptions!C27,0)</f>
        <v>0</v>
      </c>
      <c r="E29" s="27">
        <f>IF(3=8,J6*Assumptions!C27,0)</f>
        <v>0</v>
      </c>
      <c r="F29" s="27">
        <f>IF(4=8,J6*Assumptions!C27,0)</f>
        <v>0</v>
      </c>
      <c r="G29" s="27">
        <f>IF(5=8,J6*Assumptions!C27,0)</f>
        <v>0</v>
      </c>
      <c r="H29" s="27">
        <f>IF(6=8,J6*Assumptions!C27,0)</f>
        <v>0</v>
      </c>
      <c r="I29" s="27">
        <f>IF(7=8,J6*Assumptions!C27,0)</f>
        <v>0</v>
      </c>
      <c r="J29" s="27">
        <f>IF(8=8,J6*Assumptions!C27,0)</f>
        <v>21000000</v>
      </c>
      <c r="K29" s="27">
        <f>IF(9=8,J6*Assumptions!C27,0)</f>
        <v>0</v>
      </c>
      <c r="L29" s="27">
        <f>IF(10=8,J6*Assumptions!C27,0)</f>
        <v>0</v>
      </c>
      <c r="M29" s="27">
        <f>IF(11=8,J6*Assumptions!C27,0)</f>
        <v>0</v>
      </c>
      <c r="N29" s="27">
        <f>IF(12=8,J6*Assumptions!C27,0)</f>
        <v>0</v>
      </c>
      <c r="O29" s="28">
        <f t="shared" si="0"/>
        <v>21000000</v>
      </c>
    </row>
    <row r="30" spans="2:15" ht="15.75" customHeight="1">
      <c r="B30" s="4" t="s">
        <v>61</v>
      </c>
      <c r="C30" s="27">
        <f>IF(1=Assumptions!C34+1,J6*Assumptions!C28,0)</f>
        <v>0</v>
      </c>
      <c r="D30" s="27">
        <f>IF(2=Assumptions!C34+1,J6*Assumptions!C28,0)</f>
        <v>0</v>
      </c>
      <c r="E30" s="27">
        <f>IF(3=Assumptions!C34+1,J6*Assumptions!C28,0)</f>
        <v>0</v>
      </c>
      <c r="F30" s="27">
        <f>IF(4=Assumptions!C34+1,J6*Assumptions!C28,0)</f>
        <v>0</v>
      </c>
      <c r="G30" s="27">
        <f>IF(5=Assumptions!C34+1,J6*Assumptions!C28,0)</f>
        <v>0</v>
      </c>
      <c r="H30" s="27">
        <f>IF(6=Assumptions!C34+1,J6*Assumptions!C28,0)</f>
        <v>0</v>
      </c>
      <c r="I30" s="27">
        <f>IF(7=Assumptions!C34+1,J6*Assumptions!C28,0)</f>
        <v>0</v>
      </c>
      <c r="J30" s="27">
        <f>IF(8=Assumptions!C34+1,J6*Assumptions!C28,0)</f>
        <v>21000000</v>
      </c>
      <c r="K30" s="27">
        <f>IF(9=Assumptions!C34+1,J6*Assumptions!C28,0)</f>
        <v>0</v>
      </c>
      <c r="L30" s="27">
        <f>IF(10=Assumptions!C34+1,J6*Assumptions!C28,0)</f>
        <v>0</v>
      </c>
      <c r="M30" s="27">
        <f>IF(11=Assumptions!C34+1,J6*Assumptions!C28,0)</f>
        <v>0</v>
      </c>
      <c r="N30" s="27">
        <f>IF(12=Assumptions!C34+1,J6*Assumptions!C28,0)</f>
        <v>0</v>
      </c>
      <c r="O30" s="28">
        <f t="shared" si="0"/>
        <v>21000000</v>
      </c>
    </row>
    <row r="31" spans="2:15" ht="15.75" customHeight="1">
      <c r="B31" s="4" t="s">
        <v>62</v>
      </c>
      <c r="C31" s="27">
        <f>IF(1=Assumptions!C34+3,J6*Assumptions!C29,0)</f>
        <v>0</v>
      </c>
      <c r="D31" s="27">
        <f>IF(2=Assumptions!C34+3,J6*Assumptions!C29,0)</f>
        <v>0</v>
      </c>
      <c r="E31" s="27">
        <f>IF(3=Assumptions!C34+3,J6*Assumptions!C29,0)</f>
        <v>0</v>
      </c>
      <c r="F31" s="27">
        <f>IF(4=Assumptions!C34+3,J6*Assumptions!C29,0)</f>
        <v>0</v>
      </c>
      <c r="G31" s="27">
        <f>IF(5=Assumptions!C34+3,J6*Assumptions!C29,0)</f>
        <v>0</v>
      </c>
      <c r="H31" s="27">
        <f>IF(6=Assumptions!C34+3,J6*Assumptions!C29,0)</f>
        <v>0</v>
      </c>
      <c r="I31" s="27">
        <f>IF(7=Assumptions!C34+3,J6*Assumptions!C29,0)</f>
        <v>0</v>
      </c>
      <c r="J31" s="27">
        <f>IF(8=Assumptions!C34+3,J6*Assumptions!C29,0)</f>
        <v>0</v>
      </c>
      <c r="K31" s="27">
        <f>IF(9=Assumptions!C34+3,J6*Assumptions!C29,0)</f>
        <v>0</v>
      </c>
      <c r="L31" s="27">
        <f>IF(10=Assumptions!C34+3,J6*Assumptions!C29,0)</f>
        <v>21000000</v>
      </c>
      <c r="M31" s="27">
        <f>IF(11=Assumptions!C34+3,J6*Assumptions!C29,0)</f>
        <v>0</v>
      </c>
      <c r="N31" s="27">
        <f>IF(12=Assumptions!C34+3,J6*Assumptions!C29,0)</f>
        <v>0</v>
      </c>
      <c r="O31" s="28">
        <f t="shared" si="0"/>
        <v>21000000</v>
      </c>
    </row>
    <row r="32" spans="2:15" ht="15.75" customHeight="1">
      <c r="B32" s="4" t="s">
        <v>63</v>
      </c>
      <c r="C32" s="27">
        <f>IF(1=Assumptions!C35,J6*Assumptions!C30,0)</f>
        <v>0</v>
      </c>
      <c r="D32" s="27">
        <f>IF(2=Assumptions!C35,J6*Assumptions!C30,0)</f>
        <v>0</v>
      </c>
      <c r="E32" s="27">
        <f>IF(3=Assumptions!C35,J6*Assumptions!C30,0)</f>
        <v>0</v>
      </c>
      <c r="F32" s="27">
        <f>IF(4=Assumptions!C35,J6*Assumptions!C30,0)</f>
        <v>0</v>
      </c>
      <c r="G32" s="27">
        <f>IF(5=Assumptions!C35,J6*Assumptions!C30,0)</f>
        <v>0</v>
      </c>
      <c r="H32" s="27">
        <f>IF(6=Assumptions!C35,J6*Assumptions!C30,0)</f>
        <v>0</v>
      </c>
      <c r="I32" s="27">
        <f>IF(7=Assumptions!C35,J6*Assumptions!C30,0)</f>
        <v>0</v>
      </c>
      <c r="J32" s="27">
        <f>IF(8=Assumptions!C35,J6*Assumptions!C30,0)</f>
        <v>0</v>
      </c>
      <c r="K32" s="27">
        <f>IF(9=Assumptions!C35,J6*Assumptions!C30,0)</f>
        <v>0</v>
      </c>
      <c r="L32" s="27">
        <f>IF(10=Assumptions!C35,J6*Assumptions!C30,0)</f>
        <v>0</v>
      </c>
      <c r="M32" s="27">
        <f>IF(11=Assumptions!C35,J6*Assumptions!C30,0)</f>
        <v>0</v>
      </c>
      <c r="N32" s="27">
        <f>IF(12=Assumptions!C35,J6*Assumptions!C30,0)</f>
        <v>21000000</v>
      </c>
      <c r="O32" s="28">
        <f t="shared" si="0"/>
        <v>21000000</v>
      </c>
    </row>
    <row r="33" spans="2:15" ht="15" customHeight="1">
      <c r="B33" s="4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8"/>
    </row>
    <row r="34" spans="2:15" ht="15.75" customHeight="1">
      <c r="B34" s="30" t="s">
        <v>67</v>
      </c>
      <c r="C34" s="31">
        <f t="shared" ref="C34:N34" si="1">SUM(C11:C14)+SUM(C17:C20)+SUM(C23:C26)+SUM(C29:C32)</f>
        <v>0</v>
      </c>
      <c r="D34" s="31">
        <f t="shared" si="1"/>
        <v>0</v>
      </c>
      <c r="E34" s="31">
        <f t="shared" si="1"/>
        <v>0</v>
      </c>
      <c r="F34" s="31">
        <f t="shared" si="1"/>
        <v>0</v>
      </c>
      <c r="G34" s="31">
        <f t="shared" si="1"/>
        <v>21000000</v>
      </c>
      <c r="H34" s="31">
        <f t="shared" si="1"/>
        <v>21000000</v>
      </c>
      <c r="I34" s="31">
        <f t="shared" si="1"/>
        <v>21000000</v>
      </c>
      <c r="J34" s="31">
        <f t="shared" si="1"/>
        <v>105000000</v>
      </c>
      <c r="K34" s="31">
        <f t="shared" si="1"/>
        <v>0</v>
      </c>
      <c r="L34" s="31">
        <f t="shared" si="1"/>
        <v>84000000</v>
      </c>
      <c r="M34" s="31">
        <f t="shared" si="1"/>
        <v>0</v>
      </c>
      <c r="N34" s="31">
        <f t="shared" si="1"/>
        <v>84000000</v>
      </c>
      <c r="O34" s="31">
        <f t="shared" si="0"/>
        <v>336000000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BE198-DDF8-2878-49AB-5DCB98C9C11C}">
  <dimension ref="B2:O19"/>
  <sheetViews>
    <sheetView showGridLines="0" topLeftCell="H2" workbookViewId="0"/>
  </sheetViews>
  <sheetFormatPr defaultColWidth="7.796875" defaultRowHeight="15" customHeight="1"/>
  <cols>
    <col min="1" max="1" width="1.5" customWidth="1"/>
    <col min="2" max="2" width="30" customWidth="1"/>
    <col min="3" max="14" width="13.796875" customWidth="1"/>
    <col min="15" max="15" width="16.296875" customWidth="1"/>
  </cols>
  <sheetData>
    <row r="2" spans="2:15" ht="15.75" customHeight="1">
      <c r="B2" s="18" t="s">
        <v>68</v>
      </c>
    </row>
    <row r="4" spans="2:15" ht="15.75" customHeight="1">
      <c r="B4" s="32" t="s">
        <v>54</v>
      </c>
      <c r="C4" s="33">
        <v>1</v>
      </c>
      <c r="D4" s="33">
        <v>2</v>
      </c>
      <c r="E4" s="33">
        <v>3</v>
      </c>
      <c r="F4" s="33">
        <v>4</v>
      </c>
      <c r="G4" s="33">
        <v>5</v>
      </c>
      <c r="H4" s="33">
        <v>6</v>
      </c>
      <c r="I4" s="33">
        <v>7</v>
      </c>
      <c r="J4" s="33">
        <v>8</v>
      </c>
      <c r="K4" s="33">
        <v>9</v>
      </c>
      <c r="L4" s="33">
        <v>10</v>
      </c>
      <c r="M4" s="33">
        <v>11</v>
      </c>
      <c r="N4" s="33">
        <v>12</v>
      </c>
      <c r="O4" s="33" t="s">
        <v>55</v>
      </c>
    </row>
    <row r="5" spans="2:15" ht="15" customHeigh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34"/>
    </row>
    <row r="6" spans="2:15" ht="15.75" customHeight="1">
      <c r="B6" s="25" t="s">
        <v>69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</row>
    <row r="7" spans="2:15" ht="15.75" customHeight="1">
      <c r="B7" s="4" t="s">
        <v>70</v>
      </c>
      <c r="C7" s="27" cm="1">
        <f t="array" ref="C7">'Sales-Schedule'!C34</f>
        <v>0</v>
      </c>
      <c r="D7" s="27" cm="1">
        <f t="array" ref="D7">'Sales-Schedule'!D34</f>
        <v>0</v>
      </c>
      <c r="E7" s="27" cm="1">
        <f t="array" ref="E7">'Sales-Schedule'!E34</f>
        <v>0</v>
      </c>
      <c r="F7" s="27" cm="1">
        <f t="array" ref="F7">'Sales-Schedule'!F34</f>
        <v>0</v>
      </c>
      <c r="G7" s="27" cm="1">
        <f t="array" ref="G7">'Sales-Schedule'!G34</f>
        <v>21000000</v>
      </c>
      <c r="H7" s="27" cm="1">
        <f t="array" ref="H7">'Sales-Schedule'!H34</f>
        <v>21000000</v>
      </c>
      <c r="I7" s="27" cm="1">
        <f t="array" ref="I7">'Sales-Schedule'!I34</f>
        <v>21000000</v>
      </c>
      <c r="J7" s="27" cm="1">
        <f t="array" ref="J7">'Sales-Schedule'!J34</f>
        <v>105000000</v>
      </c>
      <c r="K7" s="27" cm="1">
        <f t="array" ref="K7">'Sales-Schedule'!K34</f>
        <v>0</v>
      </c>
      <c r="L7" s="27" cm="1">
        <f t="array" ref="L7">'Sales-Schedule'!L34</f>
        <v>84000000</v>
      </c>
      <c r="M7" s="27" cm="1">
        <f t="array" ref="M7">'Sales-Schedule'!M34</f>
        <v>0</v>
      </c>
      <c r="N7" s="27" cm="1">
        <f t="array" ref="N7">'Sales-Schedule'!N34</f>
        <v>84000000</v>
      </c>
      <c r="O7" s="28">
        <f t="shared" ref="O7:O18" si="0">SUM(C7:N7)</f>
        <v>336000000</v>
      </c>
    </row>
    <row r="8" spans="2:15" ht="15.75" customHeight="1">
      <c r="B8" s="35" t="s">
        <v>71</v>
      </c>
      <c r="C8" s="36" cm="1">
        <f t="array" ref="C8">C7</f>
        <v>0</v>
      </c>
      <c r="D8" s="36" cm="1">
        <f t="array" ref="D8">D7</f>
        <v>0</v>
      </c>
      <c r="E8" s="36" cm="1">
        <f t="array" ref="E8">E7</f>
        <v>0</v>
      </c>
      <c r="F8" s="36" cm="1">
        <f t="array" ref="F8">F7</f>
        <v>0</v>
      </c>
      <c r="G8" s="36" cm="1">
        <f t="array" ref="G8">G7</f>
        <v>21000000</v>
      </c>
      <c r="H8" s="36" cm="1">
        <f t="array" ref="H8">H7</f>
        <v>21000000</v>
      </c>
      <c r="I8" s="36" cm="1">
        <f t="array" ref="I8">I7</f>
        <v>21000000</v>
      </c>
      <c r="J8" s="36" cm="1">
        <f t="array" ref="J8">J7</f>
        <v>105000000</v>
      </c>
      <c r="K8" s="36" cm="1">
        <f t="array" ref="K8">K7</f>
        <v>0</v>
      </c>
      <c r="L8" s="36" cm="1">
        <f t="array" ref="L8">L7</f>
        <v>84000000</v>
      </c>
      <c r="M8" s="36" cm="1">
        <f t="array" ref="M8">M7</f>
        <v>0</v>
      </c>
      <c r="N8" s="36" cm="1">
        <f t="array" ref="N8">N7</f>
        <v>84000000</v>
      </c>
      <c r="O8" s="36">
        <f t="shared" si="0"/>
        <v>336000000</v>
      </c>
    </row>
    <row r="9" spans="2:15" ht="15" customHeight="1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34"/>
    </row>
    <row r="10" spans="2:15" ht="15.75" customHeight="1">
      <c r="B10" s="37" t="s">
        <v>72</v>
      </c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</row>
    <row r="11" spans="2:15" ht="15.75" customHeight="1">
      <c r="B11" s="4" t="s">
        <v>3</v>
      </c>
      <c r="C11" s="27" cm="1">
        <f t="array" ref="C11">IF(1=1,Assumptions!C6,0)</f>
        <v>48000000</v>
      </c>
      <c r="D11" s="27">
        <f>IF(2=1,Assumptions!C6,0)</f>
        <v>0</v>
      </c>
      <c r="E11" s="27">
        <f>IF(3=1,Assumptions!C6,0)</f>
        <v>0</v>
      </c>
      <c r="F11" s="27">
        <f>IF(4=1,Assumptions!C6,0)</f>
        <v>0</v>
      </c>
      <c r="G11" s="27">
        <f>IF(5=1,Assumptions!C6,0)</f>
        <v>0</v>
      </c>
      <c r="H11" s="27">
        <f>IF(6=1,Assumptions!C6,0)</f>
        <v>0</v>
      </c>
      <c r="I11" s="27">
        <f>IF(7=1,Assumptions!C6,0)</f>
        <v>0</v>
      </c>
      <c r="J11" s="27">
        <f>IF(8=1,Assumptions!C6,0)</f>
        <v>0</v>
      </c>
      <c r="K11" s="27">
        <f>IF(9=1,Assumptions!C6,0)</f>
        <v>0</v>
      </c>
      <c r="L11" s="27">
        <f>IF(10=1,Assumptions!C6,0)</f>
        <v>0</v>
      </c>
      <c r="M11" s="27">
        <f>IF(11=1,Assumptions!C6,0)</f>
        <v>0</v>
      </c>
      <c r="N11" s="27">
        <f>IF(12=1,Assumptions!C6,0)</f>
        <v>0</v>
      </c>
      <c r="O11" s="28">
        <f t="shared" si="0"/>
        <v>48000000</v>
      </c>
    </row>
    <row r="12" spans="2:15" ht="15.75" customHeight="1">
      <c r="B12" s="4" t="s">
        <v>17</v>
      </c>
      <c r="C12" s="27" cm="1">
        <f t="array" ref="C12">IF(1=1,'Area-Cost-Calcs'!C19,0)</f>
        <v>1920000</v>
      </c>
      <c r="D12" s="27">
        <f>IF(2=1,'Area-Cost-Calcs'!C19,0)</f>
        <v>0</v>
      </c>
      <c r="E12" s="27">
        <f>IF(3=1,'Area-Cost-Calcs'!C19,0)</f>
        <v>0</v>
      </c>
      <c r="F12" s="27">
        <f>IF(4=1,'Area-Cost-Calcs'!C19,0)</f>
        <v>0</v>
      </c>
      <c r="G12" s="27">
        <f>IF(5=1,'Area-Cost-Calcs'!C19,0)</f>
        <v>0</v>
      </c>
      <c r="H12" s="27">
        <f>IF(6=1,'Area-Cost-Calcs'!C19,0)</f>
        <v>0</v>
      </c>
      <c r="I12" s="27">
        <f>IF(7=1,'Area-Cost-Calcs'!C19,0)</f>
        <v>0</v>
      </c>
      <c r="J12" s="27">
        <f>IF(8=1,'Area-Cost-Calcs'!C19,0)</f>
        <v>0</v>
      </c>
      <c r="K12" s="27">
        <f>IF(9=1,'Area-Cost-Calcs'!C19,0)</f>
        <v>0</v>
      </c>
      <c r="L12" s="27">
        <f>IF(10=1,'Area-Cost-Calcs'!C19,0)</f>
        <v>0</v>
      </c>
      <c r="M12" s="27">
        <f>IF(11=1,'Area-Cost-Calcs'!C19,0)</f>
        <v>0</v>
      </c>
      <c r="N12" s="27">
        <f>IF(12=1,'Area-Cost-Calcs'!C19,0)</f>
        <v>0</v>
      </c>
      <c r="O12" s="28">
        <f t="shared" si="0"/>
        <v>1920000</v>
      </c>
    </row>
    <row r="13" spans="2:15" ht="15.75" customHeight="1">
      <c r="B13" s="4" t="s">
        <v>50</v>
      </c>
      <c r="C13" s="27">
        <f>'Area-Cost-Calcs'!C20/Assumptions!C33</f>
        <v>1968232.5</v>
      </c>
      <c r="D13" s="27">
        <f>'Area-Cost-Calcs'!C20/Assumptions!C33</f>
        <v>1968232.5</v>
      </c>
      <c r="E13" s="27">
        <f>'Area-Cost-Calcs'!C20/Assumptions!C33</f>
        <v>1968232.5</v>
      </c>
      <c r="F13" s="27">
        <f>'Area-Cost-Calcs'!C20/Assumptions!C33</f>
        <v>1968232.5</v>
      </c>
      <c r="G13" s="27">
        <f>'Area-Cost-Calcs'!C20/Assumptions!C33</f>
        <v>1968232.5</v>
      </c>
      <c r="H13" s="27">
        <f>'Area-Cost-Calcs'!C20/Assumptions!C33</f>
        <v>1968232.5</v>
      </c>
      <c r="I13" s="27">
        <f>'Area-Cost-Calcs'!C20/Assumptions!C33</f>
        <v>1968232.5</v>
      </c>
      <c r="J13" s="27">
        <f>'Area-Cost-Calcs'!C20/Assumptions!C33</f>
        <v>1968232.5</v>
      </c>
      <c r="K13" s="27">
        <f>'Area-Cost-Calcs'!C20/Assumptions!C33</f>
        <v>1968232.5</v>
      </c>
      <c r="L13" s="27">
        <f>'Area-Cost-Calcs'!C20/Assumptions!C33</f>
        <v>1968232.5</v>
      </c>
      <c r="M13" s="27">
        <f>'Area-Cost-Calcs'!C20/Assumptions!C33</f>
        <v>1968232.5</v>
      </c>
      <c r="N13" s="27">
        <f>'Area-Cost-Calcs'!C20/Assumptions!C33</f>
        <v>1968232.5</v>
      </c>
      <c r="O13" s="28">
        <f t="shared" si="0"/>
        <v>23618790</v>
      </c>
    </row>
    <row r="14" spans="2:15" ht="15.75" customHeight="1">
      <c r="B14" s="4" t="s">
        <v>73</v>
      </c>
      <c r="C14" s="27">
        <f>IF(AND(1&gt;=Assumptions!C34,1&lt;=Assumptions!C35),'Area-Cost-Calcs'!C18/(Assumptions!C35-Assumptions!C34+1),0)</f>
        <v>0</v>
      </c>
      <c r="D14" s="27">
        <f>IF(AND(2&gt;=Assumptions!C34,2&lt;=Assumptions!C35),'Area-Cost-Calcs'!C18/(Assumptions!C35-Assumptions!C34+1),0)</f>
        <v>0</v>
      </c>
      <c r="E14" s="27">
        <f>IF(AND(3&gt;=Assumptions!C34,3&lt;=Assumptions!C35),'Area-Cost-Calcs'!C18/(Assumptions!C35-Assumptions!C34+1),0)</f>
        <v>0</v>
      </c>
      <c r="F14" s="27">
        <f>IF(AND(4&gt;=Assumptions!C34,4&lt;=Assumptions!C35),'Area-Cost-Calcs'!C18/(Assumptions!C35-Assumptions!C34+1),0)</f>
        <v>0</v>
      </c>
      <c r="G14" s="27">
        <f>IF(AND(5&gt;=Assumptions!C34,5&lt;=Assumptions!C35),'Area-Cost-Calcs'!C18/(Assumptions!C35-Assumptions!C34+1),0)</f>
        <v>0</v>
      </c>
      <c r="H14" s="27">
        <f>IF(AND(6&gt;=Assumptions!C34,6&lt;=Assumptions!C35),'Area-Cost-Calcs'!C18/(Assumptions!C35-Assumptions!C34+1),0)</f>
        <v>0</v>
      </c>
      <c r="I14" s="27">
        <f>IF(AND(7&gt;=Assumptions!C34,7&lt;=Assumptions!C35),'Area-Cost-Calcs'!C18/(Assumptions!C35-Assumptions!C34+1),0)</f>
        <v>26243100</v>
      </c>
      <c r="J14" s="27">
        <f>IF(AND(8&gt;=Assumptions!C34,8&lt;=Assumptions!C35),'Area-Cost-Calcs'!C18/(Assumptions!C35-Assumptions!C34+1),0)</f>
        <v>26243100</v>
      </c>
      <c r="K14" s="27">
        <f>IF(AND(9&gt;=Assumptions!C34,9&lt;=Assumptions!C35),'Area-Cost-Calcs'!C18/(Assumptions!C35-Assumptions!C34+1),0)</f>
        <v>26243100</v>
      </c>
      <c r="L14" s="27">
        <f>IF(AND(10&gt;=Assumptions!C34,10&lt;=Assumptions!C35),'Area-Cost-Calcs'!C18/(Assumptions!C35-Assumptions!C34+1),0)</f>
        <v>26243100</v>
      </c>
      <c r="M14" s="27">
        <f>IF(AND(11&gt;=Assumptions!C34,11&lt;=Assumptions!C35),'Area-Cost-Calcs'!C18/(Assumptions!C35-Assumptions!C34+1),0)</f>
        <v>26243100</v>
      </c>
      <c r="N14" s="27">
        <f>IF(AND(12&gt;=Assumptions!C34,12&lt;=Assumptions!C35),'Area-Cost-Calcs'!C18/(Assumptions!C35-Assumptions!C34+1),0)</f>
        <v>26243100</v>
      </c>
      <c r="O14" s="28">
        <f t="shared" si="0"/>
        <v>157458600</v>
      </c>
    </row>
    <row r="15" spans="2:15" ht="15.75" customHeight="1">
      <c r="B15" s="4" t="s">
        <v>19</v>
      </c>
      <c r="C15" s="27">
        <f>'Sales-Schedule'!C6*Assumptions!C23</f>
        <v>0</v>
      </c>
      <c r="D15" s="27">
        <f>'Sales-Schedule'!D6*Assumptions!C23</f>
        <v>0</v>
      </c>
      <c r="E15" s="27">
        <f>'Sales-Schedule'!E6*Assumptions!C23</f>
        <v>0</v>
      </c>
      <c r="F15" s="27">
        <f>'Sales-Schedule'!F6*Assumptions!C23</f>
        <v>0</v>
      </c>
      <c r="G15" s="27">
        <f>'Sales-Schedule'!G6*Assumptions!C23</f>
        <v>2520000</v>
      </c>
      <c r="H15" s="27">
        <f>'Sales-Schedule'!H6*Assumptions!C23</f>
        <v>2520000</v>
      </c>
      <c r="I15" s="27">
        <f>'Sales-Schedule'!I6*Assumptions!C23</f>
        <v>2520000</v>
      </c>
      <c r="J15" s="27">
        <f>'Sales-Schedule'!J6*Assumptions!C23</f>
        <v>2520000</v>
      </c>
      <c r="K15" s="27">
        <f>'Sales-Schedule'!K6*Assumptions!C23</f>
        <v>0</v>
      </c>
      <c r="L15" s="27">
        <f>'Sales-Schedule'!L6*Assumptions!C23</f>
        <v>0</v>
      </c>
      <c r="M15" s="27">
        <f>'Sales-Schedule'!M6*Assumptions!C23</f>
        <v>0</v>
      </c>
      <c r="N15" s="27">
        <f>'Sales-Schedule'!N6*Assumptions!C23</f>
        <v>0</v>
      </c>
      <c r="O15" s="28">
        <f t="shared" si="0"/>
        <v>10080000</v>
      </c>
    </row>
    <row r="16" spans="2:15" ht="15.75" customHeight="1">
      <c r="B16" s="38" t="s">
        <v>74</v>
      </c>
      <c r="C16" s="39">
        <f t="shared" ref="C16:N16" si="1">SUM(C11:C15)</f>
        <v>51888232.5</v>
      </c>
      <c r="D16" s="39">
        <f t="shared" si="1"/>
        <v>1968232.5</v>
      </c>
      <c r="E16" s="39">
        <f t="shared" si="1"/>
        <v>1968232.5</v>
      </c>
      <c r="F16" s="39">
        <f t="shared" si="1"/>
        <v>1968232.5</v>
      </c>
      <c r="G16" s="39">
        <f t="shared" si="1"/>
        <v>4488232.5</v>
      </c>
      <c r="H16" s="39">
        <f t="shared" si="1"/>
        <v>4488232.5</v>
      </c>
      <c r="I16" s="39">
        <f t="shared" si="1"/>
        <v>30731332.5</v>
      </c>
      <c r="J16" s="39">
        <f t="shared" si="1"/>
        <v>30731332.5</v>
      </c>
      <c r="K16" s="39">
        <f t="shared" si="1"/>
        <v>28211332.5</v>
      </c>
      <c r="L16" s="39">
        <f t="shared" si="1"/>
        <v>28211332.5</v>
      </c>
      <c r="M16" s="39">
        <f t="shared" si="1"/>
        <v>28211332.5</v>
      </c>
      <c r="N16" s="39">
        <f t="shared" si="1"/>
        <v>28211332.5</v>
      </c>
      <c r="O16" s="39">
        <f t="shared" si="0"/>
        <v>241077390</v>
      </c>
    </row>
    <row r="17" spans="2:15" ht="15" customHeight="1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34"/>
    </row>
    <row r="18" spans="2:15" ht="15.75" customHeight="1">
      <c r="B18" s="30" t="s">
        <v>75</v>
      </c>
      <c r="C18" s="31">
        <f t="shared" ref="C18:N18" si="2">C8-C16</f>
        <v>-51888232.5</v>
      </c>
      <c r="D18" s="31">
        <f t="shared" si="2"/>
        <v>-1968232.5</v>
      </c>
      <c r="E18" s="31">
        <f t="shared" si="2"/>
        <v>-1968232.5</v>
      </c>
      <c r="F18" s="31">
        <f t="shared" si="2"/>
        <v>-1968232.5</v>
      </c>
      <c r="G18" s="31">
        <f t="shared" si="2"/>
        <v>16511767.5</v>
      </c>
      <c r="H18" s="31">
        <f t="shared" si="2"/>
        <v>16511767.5</v>
      </c>
      <c r="I18" s="31">
        <f t="shared" si="2"/>
        <v>-9731332.5</v>
      </c>
      <c r="J18" s="31">
        <f t="shared" si="2"/>
        <v>74268667.5</v>
      </c>
      <c r="K18" s="31">
        <f t="shared" si="2"/>
        <v>-28211332.5</v>
      </c>
      <c r="L18" s="31">
        <f t="shared" si="2"/>
        <v>55788667.5</v>
      </c>
      <c r="M18" s="31">
        <f t="shared" si="2"/>
        <v>-28211332.5</v>
      </c>
      <c r="N18" s="31">
        <f t="shared" si="2"/>
        <v>55788667.5</v>
      </c>
      <c r="O18" s="31">
        <f t="shared" si="0"/>
        <v>94922610</v>
      </c>
    </row>
    <row r="19" spans="2:15" ht="15.75" customHeight="1">
      <c r="B19" s="40" t="s">
        <v>76</v>
      </c>
      <c r="C19" s="41" cm="1">
        <f t="array" ref="C19">C18</f>
        <v>-51888232.5</v>
      </c>
      <c r="D19" s="41">
        <f t="shared" ref="D19:N19" si="3">C19+D18</f>
        <v>-53856465</v>
      </c>
      <c r="E19" s="41">
        <f t="shared" si="3"/>
        <v>-55824697.5</v>
      </c>
      <c r="F19" s="41">
        <f t="shared" si="3"/>
        <v>-57792930</v>
      </c>
      <c r="G19" s="41">
        <f t="shared" si="3"/>
        <v>-41281162.5</v>
      </c>
      <c r="H19" s="41">
        <f t="shared" si="3"/>
        <v>-24769395</v>
      </c>
      <c r="I19" s="41">
        <f t="shared" si="3"/>
        <v>-34500727.5</v>
      </c>
      <c r="J19" s="41">
        <f t="shared" si="3"/>
        <v>39767940</v>
      </c>
      <c r="K19" s="41">
        <f t="shared" si="3"/>
        <v>11556607.5</v>
      </c>
      <c r="L19" s="41">
        <f t="shared" si="3"/>
        <v>67345275</v>
      </c>
      <c r="M19" s="41">
        <f t="shared" si="3"/>
        <v>39133942.5</v>
      </c>
      <c r="N19" s="41">
        <f t="shared" si="3"/>
        <v>94922610</v>
      </c>
      <c r="O19" s="41"/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FFD5D-C548-EBF8-7492-13244B9E3F77}">
  <dimension ref="B2:C30"/>
  <sheetViews>
    <sheetView showGridLines="0" topLeftCell="B8" workbookViewId="0">
      <selection activeCell="C30" sqref="C30"/>
    </sheetView>
  </sheetViews>
  <sheetFormatPr defaultColWidth="7.796875" defaultRowHeight="15" customHeight="1"/>
  <cols>
    <col min="1" max="1" width="1.5" customWidth="1"/>
    <col min="2" max="2" width="35" customWidth="1"/>
    <col min="3" max="3" width="22.5" customWidth="1"/>
  </cols>
  <sheetData>
    <row r="2" spans="2:3" ht="15.75" customHeight="1">
      <c r="B2" s="1" t="s">
        <v>77</v>
      </c>
    </row>
    <row r="4" spans="2:3" ht="15.75" customHeight="1">
      <c r="B4" s="12" t="s">
        <v>78</v>
      </c>
      <c r="C4" s="12"/>
    </row>
    <row r="5" spans="2:3" ht="15.75" customHeight="1">
      <c r="B5" s="25" t="s">
        <v>42</v>
      </c>
      <c r="C5" s="85" cm="1">
        <f t="array" ref="C5">'Area-Cost-Calcs'!C14</f>
        <v>336000000</v>
      </c>
    </row>
    <row r="6" spans="2:3" ht="15" customHeight="1">
      <c r="B6" s="4"/>
      <c r="C6" s="4"/>
    </row>
    <row r="7" spans="2:3" ht="15.75" customHeight="1">
      <c r="B7" s="12" t="s">
        <v>79</v>
      </c>
      <c r="C7" s="12"/>
    </row>
    <row r="8" spans="2:3" ht="15.75" customHeight="1">
      <c r="B8" s="5" t="s">
        <v>3</v>
      </c>
      <c r="C8" s="78" cm="1">
        <f t="array" ref="C8">'Area-Cost-Calcs'!C24</f>
        <v>48000000</v>
      </c>
    </row>
    <row r="9" spans="2:3" ht="15.75" customHeight="1">
      <c r="B9" s="4" t="s">
        <v>17</v>
      </c>
      <c r="C9" s="79" cm="1">
        <f t="array" ref="C9">'Area-Cost-Calcs'!C25</f>
        <v>1920000</v>
      </c>
    </row>
    <row r="10" spans="2:3" ht="15.75" customHeight="1">
      <c r="B10" s="5" t="s">
        <v>73</v>
      </c>
      <c r="C10" s="78" cm="1">
        <f t="array" ref="C10">'Area-Cost-Calcs'!C26</f>
        <v>157458600</v>
      </c>
    </row>
    <row r="11" spans="2:3" ht="15.75" customHeight="1">
      <c r="B11" s="4" t="s">
        <v>50</v>
      </c>
      <c r="C11" s="79" cm="1">
        <f t="array" ref="C11">'Area-Cost-Calcs'!C27</f>
        <v>23618790</v>
      </c>
    </row>
    <row r="12" spans="2:3" ht="15.75" customHeight="1">
      <c r="B12" s="5" t="s">
        <v>19</v>
      </c>
      <c r="C12" s="78" cm="1">
        <f t="array" ref="C12">'Area-Cost-Calcs'!C28</f>
        <v>10080000</v>
      </c>
    </row>
    <row r="13" spans="2:3" ht="15.75" customHeight="1">
      <c r="B13" s="17" t="s">
        <v>51</v>
      </c>
      <c r="C13" s="86" cm="1">
        <f t="array" ref="C13">'Area-Cost-Calcs'!C29</f>
        <v>241077390</v>
      </c>
    </row>
    <row r="14" spans="2:3" ht="15" customHeight="1">
      <c r="B14" s="4"/>
      <c r="C14" s="4"/>
    </row>
    <row r="15" spans="2:3" ht="15.75" customHeight="1">
      <c r="B15" s="12" t="s">
        <v>80</v>
      </c>
      <c r="C15" s="12"/>
    </row>
    <row r="16" spans="2:3" ht="15.75" customHeight="1">
      <c r="B16" s="25" t="s">
        <v>81</v>
      </c>
      <c r="C16" s="87">
        <f>C5-C13</f>
        <v>94922610</v>
      </c>
    </row>
    <row r="17" spans="2:3" ht="15.75" customHeight="1">
      <c r="B17" s="34" t="s">
        <v>82</v>
      </c>
      <c r="C17" s="43">
        <f>C16/C5</f>
        <v>0.28250776785714288</v>
      </c>
    </row>
    <row r="18" spans="2:3" ht="15" customHeight="1">
      <c r="B18" s="4"/>
      <c r="C18" s="4"/>
    </row>
    <row r="19" spans="2:3" ht="15.75" customHeight="1">
      <c r="B19" s="12" t="s">
        <v>83</v>
      </c>
      <c r="C19" s="12"/>
    </row>
    <row r="20" spans="2:3" ht="15.75" customHeight="1">
      <c r="B20" s="4" t="s">
        <v>84</v>
      </c>
      <c r="C20" s="44">
        <f>IRR('Cash-Flow'!C18:N18)</f>
        <v>0.13999361354009565</v>
      </c>
    </row>
    <row r="21" spans="2:3" ht="15.75" customHeight="1">
      <c r="B21" s="25" t="s">
        <v>85</v>
      </c>
      <c r="C21" s="45">
        <f>(1+C20)^12-1</f>
        <v>3.8175809418504771</v>
      </c>
    </row>
    <row r="22" spans="2:3" ht="15.75" customHeight="1">
      <c r="B22" s="4" t="s">
        <v>86</v>
      </c>
      <c r="C22" s="42">
        <f>MIN('Cash-Flow'!C19:N19)</f>
        <v>-57792930</v>
      </c>
    </row>
    <row r="23" spans="2:3" ht="15.75" customHeight="1">
      <c r="B23" s="34" t="s">
        <v>87</v>
      </c>
      <c r="C23" s="46">
        <f>ABS(C22)</f>
        <v>57792930</v>
      </c>
    </row>
    <row r="24" spans="2:3" ht="15.75" customHeight="1">
      <c r="B24" s="25" t="s">
        <v>88</v>
      </c>
      <c r="C24" s="45">
        <f>C16/C23</f>
        <v>1.6424605916329211</v>
      </c>
    </row>
    <row r="25" spans="2:3" ht="15" customHeight="1">
      <c r="B25" s="4"/>
      <c r="C25" s="4"/>
    </row>
    <row r="26" spans="2:3" ht="15.75" customHeight="1">
      <c r="B26" s="12" t="s">
        <v>89</v>
      </c>
      <c r="C26" s="12"/>
    </row>
    <row r="27" spans="2:3" ht="15.75" customHeight="1">
      <c r="B27" s="5" t="s">
        <v>90</v>
      </c>
      <c r="C27" s="47">
        <f>Assumptions!C12+Assumptions!C13</f>
        <v>24</v>
      </c>
    </row>
    <row r="28" spans="2:3" ht="15.75" customHeight="1">
      <c r="B28" s="4" t="s">
        <v>36</v>
      </c>
      <c r="C28" s="48" cm="1">
        <f t="array" ref="C28">'Area-Cost-Calcs'!C7</f>
        <v>2160</v>
      </c>
    </row>
    <row r="29" spans="2:3" ht="15.75" customHeight="1">
      <c r="B29" s="5" t="s">
        <v>91</v>
      </c>
      <c r="C29" s="83">
        <f>C5/C28</f>
        <v>155555.55555555556</v>
      </c>
    </row>
    <row r="30" spans="2:3" ht="15.75" customHeight="1">
      <c r="B30" s="4" t="s">
        <v>92</v>
      </c>
      <c r="C30" s="79">
        <f>C13/'Area-Cost-Calcs'!C9</f>
        <v>99518.415316788029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E4BD3-665C-9F68-F03A-05DB26EA346E}">
  <dimension ref="B2:N47"/>
  <sheetViews>
    <sheetView workbookViewId="0">
      <selection activeCell="D4" sqref="D4"/>
    </sheetView>
  </sheetViews>
  <sheetFormatPr defaultColWidth="7.796875" defaultRowHeight="15" customHeight="1"/>
  <cols>
    <col min="1" max="1" width="1.5" customWidth="1"/>
    <col min="2" max="2" width="32.5" customWidth="1"/>
    <col min="3" max="4" width="18.796875" customWidth="1"/>
    <col min="5" max="5" width="16.296875" customWidth="1"/>
  </cols>
  <sheetData>
    <row r="2" spans="2:5" ht="21" customHeight="1">
      <c r="B2" s="1" t="s">
        <v>93</v>
      </c>
    </row>
    <row r="4" spans="2:5" ht="15" customHeight="1">
      <c r="B4" s="49"/>
      <c r="C4" s="50" t="s">
        <v>94</v>
      </c>
      <c r="D4" s="50" t="s">
        <v>95</v>
      </c>
      <c r="E4" s="51" t="s">
        <v>96</v>
      </c>
    </row>
    <row r="5" spans="2:5" ht="15" customHeight="1">
      <c r="B5" s="4"/>
      <c r="C5" s="4"/>
      <c r="D5" s="4"/>
      <c r="E5" s="4"/>
    </row>
    <row r="6" spans="2:5" ht="15" customHeight="1">
      <c r="B6" s="52" t="s">
        <v>97</v>
      </c>
      <c r="C6" s="52"/>
      <c r="D6" s="52"/>
      <c r="E6" s="52"/>
    </row>
    <row r="7" spans="2:5" ht="15" customHeight="1">
      <c r="B7" s="4" t="s">
        <v>98</v>
      </c>
      <c r="C7" s="53" cm="1">
        <f t="array" ref="C7">Assumptions!E12</f>
        <v>12000000</v>
      </c>
      <c r="D7" s="53">
        <f>Assumptions!E12*0.9</f>
        <v>10800000</v>
      </c>
      <c r="E7" s="54"/>
    </row>
    <row r="8" spans="2:5" ht="15" customHeight="1">
      <c r="B8" s="5" t="s">
        <v>99</v>
      </c>
      <c r="C8" s="55" cm="1">
        <f t="array" ref="C8">Assumptions!E13</f>
        <v>16000000</v>
      </c>
      <c r="D8" s="55">
        <f>Assumptions!E13*0.9</f>
        <v>14400000</v>
      </c>
      <c r="E8" s="56"/>
    </row>
    <row r="9" spans="2:5" ht="15" customHeight="1">
      <c r="B9" s="4" t="s">
        <v>15</v>
      </c>
      <c r="C9" s="57" cm="1">
        <f t="array" ref="C9">Assumptions!C18</f>
        <v>500</v>
      </c>
      <c r="D9" s="57">
        <f>Assumptions!C18*1.1</f>
        <v>550</v>
      </c>
      <c r="E9" s="4"/>
    </row>
    <row r="10" spans="2:5" ht="15" customHeight="1">
      <c r="B10" s="5" t="s">
        <v>100</v>
      </c>
      <c r="C10" s="55" cm="1">
        <f t="array" ref="C10">Assumptions!C6</f>
        <v>48000000</v>
      </c>
      <c r="D10" s="55" cm="1">
        <f t="array" ref="D10">Assumptions!C6</f>
        <v>48000000</v>
      </c>
      <c r="E10" s="56"/>
    </row>
    <row r="11" spans="2:5" ht="15" customHeight="1">
      <c r="B11" s="4"/>
      <c r="C11" s="4"/>
      <c r="D11" s="4"/>
      <c r="E11" s="4"/>
    </row>
    <row r="12" spans="2:5" ht="15" customHeight="1">
      <c r="B12" s="52" t="s">
        <v>101</v>
      </c>
      <c r="C12" s="52"/>
      <c r="D12" s="52"/>
      <c r="E12" s="52"/>
    </row>
    <row r="13" spans="2:5" ht="15" customHeight="1">
      <c r="B13" s="4" t="s">
        <v>36</v>
      </c>
      <c r="C13" s="54" cm="1">
        <f t="array" ref="C13">'Area-Cost-Calcs'!C7</f>
        <v>2160</v>
      </c>
      <c r="D13" s="54" cm="1">
        <f t="array" ref="D13">C13</f>
        <v>2160</v>
      </c>
      <c r="E13" s="54"/>
    </row>
    <row r="14" spans="2:5" ht="15" customHeight="1">
      <c r="B14" s="5" t="s">
        <v>38</v>
      </c>
      <c r="C14" s="56" cm="1">
        <f t="array" ref="C14">'Area-Cost-Calcs'!C9</f>
        <v>2422.44</v>
      </c>
      <c r="D14" s="56" cm="1">
        <f t="array" ref="D14">C14</f>
        <v>2422.44</v>
      </c>
      <c r="E14" s="56"/>
    </row>
    <row r="15" spans="2:5" ht="15" customHeight="1">
      <c r="B15" s="34" t="s">
        <v>42</v>
      </c>
      <c r="C15" s="58">
        <f>Assumptions!C12*C7+Assumptions!C13*C8</f>
        <v>336000000</v>
      </c>
      <c r="D15" s="58">
        <f>Assumptions!C12*D7+Assumptions!C13*D8</f>
        <v>302400000</v>
      </c>
      <c r="E15" s="58">
        <f t="shared" ref="E15:E35" si="0">D15-C15</f>
        <v>-33600000</v>
      </c>
    </row>
    <row r="16" spans="2:5" ht="15" customHeight="1">
      <c r="B16" s="4"/>
      <c r="C16" s="4"/>
      <c r="D16" s="4"/>
      <c r="E16" s="4"/>
    </row>
    <row r="17" spans="2:5" ht="15" customHeight="1">
      <c r="B17" s="52" t="s">
        <v>79</v>
      </c>
      <c r="C17" s="52"/>
      <c r="D17" s="52"/>
      <c r="E17" s="52"/>
    </row>
    <row r="18" spans="2:5" ht="15" customHeight="1">
      <c r="B18" s="4" t="s">
        <v>3</v>
      </c>
      <c r="C18" s="54" cm="1">
        <f t="array" ref="C18">C10</f>
        <v>48000000</v>
      </c>
      <c r="D18" s="54" cm="1">
        <f t="array" ref="D18">D10</f>
        <v>48000000</v>
      </c>
      <c r="E18" s="54"/>
    </row>
    <row r="19" spans="2:5" ht="15" customHeight="1">
      <c r="B19" s="5" t="s">
        <v>17</v>
      </c>
      <c r="C19" s="56">
        <f>C10*Assumptions!C21</f>
        <v>1920000</v>
      </c>
      <c r="D19" s="56">
        <f>D10*Assumptions!C21</f>
        <v>1920000</v>
      </c>
      <c r="E19" s="56"/>
    </row>
    <row r="20" spans="2:5" ht="15" customHeight="1">
      <c r="B20" s="4" t="s">
        <v>45</v>
      </c>
      <c r="C20" s="54">
        <f>C14*C9*Assumptions!C8</f>
        <v>157458600</v>
      </c>
      <c r="D20" s="54">
        <f>D14*D9*Assumptions!C8</f>
        <v>173204460</v>
      </c>
      <c r="E20" s="54"/>
    </row>
    <row r="21" spans="2:5" ht="15" customHeight="1">
      <c r="B21" s="5" t="s">
        <v>50</v>
      </c>
      <c r="C21" s="56">
        <f>C20*Assumptions!C22</f>
        <v>23618790</v>
      </c>
      <c r="D21" s="56">
        <f>D20*Assumptions!C22</f>
        <v>25980669</v>
      </c>
      <c r="E21" s="56"/>
    </row>
    <row r="22" spans="2:5" ht="15" customHeight="1">
      <c r="B22" s="4" t="s">
        <v>19</v>
      </c>
      <c r="C22" s="54">
        <f>C15*Assumptions!C23</f>
        <v>10080000</v>
      </c>
      <c r="D22" s="54">
        <f>D15*Assumptions!C23</f>
        <v>9072000</v>
      </c>
      <c r="E22" s="54"/>
    </row>
    <row r="23" spans="2:5" ht="15" customHeight="1">
      <c r="B23" s="17" t="s">
        <v>51</v>
      </c>
      <c r="C23" s="59">
        <f t="shared" ref="C23:D23" si="1">SUM(C18:C22)</f>
        <v>241077390</v>
      </c>
      <c r="D23" s="59">
        <f t="shared" si="1"/>
        <v>258177129</v>
      </c>
      <c r="E23" s="59">
        <f t="shared" si="0"/>
        <v>17099739</v>
      </c>
    </row>
    <row r="24" spans="2:5" ht="15" customHeight="1">
      <c r="B24" s="4"/>
      <c r="C24" s="4"/>
      <c r="D24" s="4"/>
      <c r="E24" s="4"/>
    </row>
    <row r="25" spans="2:5" ht="15" customHeight="1">
      <c r="B25" s="52" t="s">
        <v>80</v>
      </c>
      <c r="C25" s="52"/>
      <c r="D25" s="52"/>
      <c r="E25" s="52"/>
    </row>
    <row r="26" spans="2:5" ht="15" customHeight="1">
      <c r="B26" s="25" t="s">
        <v>81</v>
      </c>
      <c r="C26" s="60">
        <f t="shared" ref="C26:D26" si="2">C15-C23</f>
        <v>94922610</v>
      </c>
      <c r="D26" s="60">
        <f t="shared" si="2"/>
        <v>44222871</v>
      </c>
      <c r="E26" s="60">
        <f t="shared" si="0"/>
        <v>-50699739</v>
      </c>
    </row>
    <row r="27" spans="2:5" ht="15" customHeight="1">
      <c r="B27" s="34" t="s">
        <v>82</v>
      </c>
      <c r="C27" s="61">
        <f t="shared" ref="C27:D27" si="3">C26/C15</f>
        <v>0.28250776785714288</v>
      </c>
      <c r="D27" s="61">
        <f t="shared" si="3"/>
        <v>0.14623965277777778</v>
      </c>
      <c r="E27" s="62">
        <f t="shared" si="0"/>
        <v>-0.13626811507936509</v>
      </c>
    </row>
    <row r="28" spans="2:5" ht="15" customHeight="1">
      <c r="B28" s="4" t="s">
        <v>91</v>
      </c>
      <c r="C28" s="54">
        <f t="shared" ref="C28:D28" si="4">C15/C13</f>
        <v>155555.55555555556</v>
      </c>
      <c r="D28" s="54">
        <f t="shared" si="4"/>
        <v>140000</v>
      </c>
      <c r="E28" s="54"/>
    </row>
    <row r="29" spans="2:5" ht="15" customHeight="1">
      <c r="B29" s="5" t="s">
        <v>92</v>
      </c>
      <c r="C29" s="56">
        <f t="shared" ref="C29:D29" si="5">C23/C14</f>
        <v>99518.415316788029</v>
      </c>
      <c r="D29" s="56">
        <f t="shared" si="5"/>
        <v>106577.30593946599</v>
      </c>
      <c r="E29" s="56"/>
    </row>
    <row r="30" spans="2:5" ht="15" customHeight="1">
      <c r="B30" s="4"/>
      <c r="C30" s="4"/>
      <c r="D30" s="4"/>
      <c r="E30" s="4"/>
    </row>
    <row r="31" spans="2:5" ht="15" customHeight="1">
      <c r="B31" s="52" t="s">
        <v>83</v>
      </c>
      <c r="C31" s="52"/>
      <c r="D31" s="52"/>
      <c r="E31" s="52"/>
    </row>
    <row r="32" spans="2:5" ht="15" customHeight="1">
      <c r="B32" s="5" t="s">
        <v>84</v>
      </c>
      <c r="C32" s="63">
        <f>IRR(C42:N42)</f>
        <v>0.13999361354009565</v>
      </c>
      <c r="D32" s="63">
        <f>IRR(C46:N46)</f>
        <v>7.9260627895124669E-2</v>
      </c>
      <c r="E32" s="64">
        <f t="shared" si="0"/>
        <v>-6.0732985644970983E-2</v>
      </c>
    </row>
    <row r="33" spans="2:14" ht="15" customHeight="1">
      <c r="B33" s="25" t="s">
        <v>85</v>
      </c>
      <c r="C33" s="65">
        <f t="shared" ref="C33:D33" si="6">(1+C32)^12-1</f>
        <v>3.8175809418504771</v>
      </c>
      <c r="D33" s="65">
        <f t="shared" si="6"/>
        <v>1.4975604479861278</v>
      </c>
      <c r="E33" s="66">
        <f t="shared" si="0"/>
        <v>-2.3200204938643494</v>
      </c>
    </row>
    <row r="34" spans="2:14" ht="15" customHeight="1">
      <c r="B34" s="67" t="s">
        <v>87</v>
      </c>
      <c r="C34" s="68">
        <f>ABS(MIN(C43:N43))</f>
        <v>57792930</v>
      </c>
      <c r="D34" s="68">
        <f>ABS(MIN(D47:N47))</f>
        <v>58580223</v>
      </c>
      <c r="E34" s="68">
        <f t="shared" si="0"/>
        <v>787293</v>
      </c>
    </row>
    <row r="35" spans="2:14" ht="15" customHeight="1">
      <c r="B35" s="25" t="s">
        <v>88</v>
      </c>
      <c r="C35" s="65">
        <f t="shared" ref="C35:D35" si="7">C26/C34</f>
        <v>1.6424605916329211</v>
      </c>
      <c r="D35" s="65">
        <f t="shared" si="7"/>
        <v>0.75491127782152689</v>
      </c>
      <c r="E35" s="66">
        <f t="shared" si="0"/>
        <v>-0.88754931381139424</v>
      </c>
    </row>
    <row r="36" spans="2:14" ht="15" customHeight="1"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</row>
    <row r="38" spans="2:14" ht="14.25" customHeight="1">
      <c r="B38" s="70" t="s">
        <v>102</v>
      </c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</row>
    <row r="39" spans="2:14" ht="15.75" customHeight="1">
      <c r="B39" s="71" t="s">
        <v>54</v>
      </c>
      <c r="C39" s="72">
        <v>1</v>
      </c>
      <c r="D39" s="72">
        <v>2</v>
      </c>
      <c r="E39" s="72">
        <v>3</v>
      </c>
      <c r="F39" s="72">
        <v>4</v>
      </c>
      <c r="G39" s="72">
        <v>5</v>
      </c>
      <c r="H39" s="72">
        <v>6</v>
      </c>
      <c r="I39" s="72">
        <v>7</v>
      </c>
      <c r="J39" s="72">
        <v>8</v>
      </c>
      <c r="K39" s="72">
        <v>9</v>
      </c>
      <c r="L39" s="72">
        <v>10</v>
      </c>
      <c r="M39" s="72">
        <v>11</v>
      </c>
      <c r="N39" s="72">
        <v>12</v>
      </c>
    </row>
    <row r="40" spans="2:14" ht="15.75" customHeight="1">
      <c r="B40" s="73" t="s">
        <v>103</v>
      </c>
      <c r="C40" s="74" cm="1">
        <f t="array" ref="C40">'Sales-Schedule'!C34</f>
        <v>0</v>
      </c>
      <c r="D40" s="74" cm="1">
        <f t="array" ref="D40">'Sales-Schedule'!D34</f>
        <v>0</v>
      </c>
      <c r="E40" s="74" cm="1">
        <f t="array" ref="E40">'Sales-Schedule'!E34</f>
        <v>0</v>
      </c>
      <c r="F40" s="74" cm="1">
        <f t="array" ref="F40">'Sales-Schedule'!F34</f>
        <v>0</v>
      </c>
      <c r="G40" s="74" cm="1">
        <f t="array" ref="G40">'Sales-Schedule'!G34</f>
        <v>21000000</v>
      </c>
      <c r="H40" s="74" cm="1">
        <f t="array" ref="H40">'Sales-Schedule'!H34</f>
        <v>21000000</v>
      </c>
      <c r="I40" s="74" cm="1">
        <f t="array" ref="I40">'Sales-Schedule'!I34</f>
        <v>21000000</v>
      </c>
      <c r="J40" s="74" cm="1">
        <f t="array" ref="J40">'Sales-Schedule'!J34</f>
        <v>105000000</v>
      </c>
      <c r="K40" s="74" cm="1">
        <f t="array" ref="K40">'Sales-Schedule'!K34</f>
        <v>0</v>
      </c>
      <c r="L40" s="74" cm="1">
        <f t="array" ref="L40">'Sales-Schedule'!L34</f>
        <v>84000000</v>
      </c>
      <c r="M40" s="74" cm="1">
        <f t="array" ref="M40">'Sales-Schedule'!M34</f>
        <v>0</v>
      </c>
      <c r="N40" s="74" cm="1">
        <f t="array" ref="N40">'Sales-Schedule'!N34</f>
        <v>84000000</v>
      </c>
    </row>
    <row r="41" spans="2:14" ht="15.75" customHeight="1">
      <c r="B41" s="73" t="s">
        <v>104</v>
      </c>
      <c r="C41" s="74">
        <f>IF(1=1,C18+C19,0)+C21/Assumptions!C33+IF(AND(1&gt;=Assumptions!C34,1&lt;=Assumptions!C35),C20/(Assumptions!C35-Assumptions!C34+1),0)+IF(AND(1&gt;=Assumptions!C36,1&lt;=Assumptions!C37),C22/(Assumptions!C37-Assumptions!C36+1),0)</f>
        <v>51888232.5</v>
      </c>
      <c r="D41" s="74">
        <f>IF(2=1,C18+C19,0)+C21/Assumptions!C33+IF(AND(2&gt;=Assumptions!C34,2&lt;=Assumptions!C35),C20/(Assumptions!C35-Assumptions!C34+1),0)+IF(AND(2&gt;=Assumptions!C36,2&lt;=Assumptions!C37),C22/(Assumptions!C37-Assumptions!C36+1),0)</f>
        <v>1968232.5</v>
      </c>
      <c r="E41" s="74">
        <f>IF(3=1,C18+C19,0)+C21/Assumptions!C33+IF(AND(3&gt;=Assumptions!C34,3&lt;=Assumptions!C35),C20/(Assumptions!C35-Assumptions!C34+1),0)+IF(AND(3&gt;=Assumptions!C36,3&lt;=Assumptions!C37),C22/(Assumptions!C37-Assumptions!C36+1),0)</f>
        <v>1968232.5</v>
      </c>
      <c r="F41" s="74">
        <f>IF(4=1,C18+C19,0)+C21/Assumptions!C33+IF(AND(4&gt;=Assumptions!C34,4&lt;=Assumptions!C35),C20/(Assumptions!C35-Assumptions!C34+1),0)+IF(AND(4&gt;=Assumptions!C36,4&lt;=Assumptions!C37),C22/(Assumptions!C37-Assumptions!C36+1),0)</f>
        <v>1968232.5</v>
      </c>
      <c r="G41" s="74">
        <f>IF(5=1,C18+C19,0)+C21/Assumptions!C33+IF(AND(5&gt;=Assumptions!C34,5&lt;=Assumptions!C35),C20/(Assumptions!C35-Assumptions!C34+1),0)+IF(AND(5&gt;=Assumptions!C36,5&lt;=Assumptions!C37),C22/(Assumptions!C37-Assumptions!C36+1),0)</f>
        <v>4488232.5</v>
      </c>
      <c r="H41" s="74">
        <f>IF(6=1,C18+C19,0)+C21/Assumptions!C33+IF(AND(6&gt;=Assumptions!C34,6&lt;=Assumptions!C35),C20/(Assumptions!C35-Assumptions!C34+1),0)+IF(AND(6&gt;=Assumptions!C36,6&lt;=Assumptions!C37),C22/(Assumptions!C37-Assumptions!C36+1),0)</f>
        <v>4488232.5</v>
      </c>
      <c r="I41" s="74">
        <f>IF(7=1,C18+C19,0)+C21/Assumptions!C33+IF(AND(7&gt;=Assumptions!C34,7&lt;=Assumptions!C35),C20/(Assumptions!C35-Assumptions!C34+1),0)+IF(AND(7&gt;=Assumptions!C36,7&lt;=Assumptions!C37),C22/(Assumptions!C37-Assumptions!C36+1),0)</f>
        <v>30731332.5</v>
      </c>
      <c r="J41" s="74">
        <f>IF(8=1,C18+C19,0)+C21/Assumptions!C33+IF(AND(8&gt;=Assumptions!C34,8&lt;=Assumptions!C35),C20/(Assumptions!C35-Assumptions!C34+1),0)+IF(AND(8&gt;=Assumptions!C36,8&lt;=Assumptions!C37),C22/(Assumptions!C37-Assumptions!C36+1),0)</f>
        <v>30731332.5</v>
      </c>
      <c r="K41" s="74">
        <f>IF(9=1,C18+C19,0)+C21/Assumptions!C33+IF(AND(9&gt;=Assumptions!C34,9&lt;=Assumptions!C35),C20/(Assumptions!C35-Assumptions!C34+1),0)+IF(AND(9&gt;=Assumptions!C36,9&lt;=Assumptions!C37),C22/(Assumptions!C37-Assumptions!C36+1),0)</f>
        <v>28211332.5</v>
      </c>
      <c r="L41" s="74">
        <f>IF(10=1,C18+C19,0)+C21/Assumptions!C33+IF(AND(10&gt;=Assumptions!C34,10&lt;=Assumptions!C35),C20/(Assumptions!C35-Assumptions!C34+1),0)+IF(AND(10&gt;=Assumptions!C36,10&lt;=Assumptions!C37),C22/(Assumptions!C37-Assumptions!C36+1),0)</f>
        <v>28211332.5</v>
      </c>
      <c r="M41" s="74">
        <f>IF(11=1,C18+C19,0)+C21/Assumptions!C33+IF(AND(11&gt;=Assumptions!C34,11&lt;=Assumptions!C35),C20/(Assumptions!C35-Assumptions!C34+1),0)+IF(AND(11&gt;=Assumptions!C36,11&lt;=Assumptions!C37),C22/(Assumptions!C37-Assumptions!C36+1),0)</f>
        <v>28211332.5</v>
      </c>
      <c r="N41" s="74">
        <f>IF(12=1,C18+C19,0)+C21/Assumptions!C33+IF(AND(12&gt;=Assumptions!C34,12&lt;=Assumptions!C35),C20/(Assumptions!C35-Assumptions!C34+1),0)+IF(AND(12&gt;=Assumptions!C36,12&lt;=Assumptions!C37),C22/(Assumptions!C37-Assumptions!C36+1),0)</f>
        <v>28211332.5</v>
      </c>
    </row>
    <row r="42" spans="2:14" ht="15.75" customHeight="1">
      <c r="B42" s="73" t="s">
        <v>105</v>
      </c>
      <c r="C42" s="74">
        <f t="shared" ref="C42:N46" si="8">C40-C41</f>
        <v>-51888232.5</v>
      </c>
      <c r="D42" s="74">
        <f t="shared" si="8"/>
        <v>-1968232.5</v>
      </c>
      <c r="E42" s="74">
        <f t="shared" si="8"/>
        <v>-1968232.5</v>
      </c>
      <c r="F42" s="74">
        <f t="shared" si="8"/>
        <v>-1968232.5</v>
      </c>
      <c r="G42" s="74">
        <f t="shared" si="8"/>
        <v>16511767.5</v>
      </c>
      <c r="H42" s="74">
        <f t="shared" si="8"/>
        <v>16511767.5</v>
      </c>
      <c r="I42" s="74">
        <f t="shared" si="8"/>
        <v>-9731332.5</v>
      </c>
      <c r="J42" s="74">
        <f t="shared" si="8"/>
        <v>74268667.5</v>
      </c>
      <c r="K42" s="74">
        <f t="shared" si="8"/>
        <v>-28211332.5</v>
      </c>
      <c r="L42" s="74">
        <f t="shared" si="8"/>
        <v>55788667.5</v>
      </c>
      <c r="M42" s="74">
        <f t="shared" si="8"/>
        <v>-28211332.5</v>
      </c>
      <c r="N42" s="74">
        <f t="shared" si="8"/>
        <v>55788667.5</v>
      </c>
    </row>
    <row r="43" spans="2:14" ht="15.75" customHeight="1">
      <c r="B43" s="73" t="s">
        <v>106</v>
      </c>
      <c r="C43" s="74" cm="1">
        <f t="array" ref="C43">C42</f>
        <v>-51888232.5</v>
      </c>
      <c r="D43" s="74">
        <f t="shared" ref="D43:N47" si="9">C43+D42</f>
        <v>-53856465</v>
      </c>
      <c r="E43" s="74">
        <f t="shared" si="9"/>
        <v>-55824697.5</v>
      </c>
      <c r="F43" s="74">
        <f t="shared" si="9"/>
        <v>-57792930</v>
      </c>
      <c r="G43" s="74">
        <f t="shared" si="9"/>
        <v>-41281162.5</v>
      </c>
      <c r="H43" s="74">
        <f t="shared" si="9"/>
        <v>-24769395</v>
      </c>
      <c r="I43" s="74">
        <f t="shared" si="9"/>
        <v>-34500727.5</v>
      </c>
      <c r="J43" s="74">
        <f t="shared" si="9"/>
        <v>39767940</v>
      </c>
      <c r="K43" s="74">
        <f t="shared" si="9"/>
        <v>11556607.5</v>
      </c>
      <c r="L43" s="74">
        <f t="shared" si="9"/>
        <v>67345275</v>
      </c>
      <c r="M43" s="74">
        <f t="shared" si="9"/>
        <v>39133942.5</v>
      </c>
      <c r="N43" s="74">
        <f t="shared" si="9"/>
        <v>94922610</v>
      </c>
    </row>
    <row r="44" spans="2:14" ht="15.75" customHeight="1">
      <c r="B44" s="73" t="s">
        <v>107</v>
      </c>
      <c r="C44" s="74">
        <f>'Sales-Schedule'!C34*(D15/C15)</f>
        <v>0</v>
      </c>
      <c r="D44" s="74">
        <f>'Sales-Schedule'!D34*(D15/C15)</f>
        <v>0</v>
      </c>
      <c r="E44" s="74">
        <f>'Sales-Schedule'!E34*(D15/C15)</f>
        <v>0</v>
      </c>
      <c r="F44" s="74">
        <f>'Sales-Schedule'!F34*(D15/C15)</f>
        <v>0</v>
      </c>
      <c r="G44" s="74">
        <f>'Sales-Schedule'!G34*(D15/C15)</f>
        <v>18900000</v>
      </c>
      <c r="H44" s="74">
        <f>'Sales-Schedule'!H34*(D15/C15)</f>
        <v>18900000</v>
      </c>
      <c r="I44" s="74">
        <f>'Sales-Schedule'!I34*(D15/C15)</f>
        <v>18900000</v>
      </c>
      <c r="J44" s="74">
        <f>'Sales-Schedule'!J34*(D15/C15)</f>
        <v>94500000</v>
      </c>
      <c r="K44" s="74">
        <f>'Sales-Schedule'!K34*(D15/C15)</f>
        <v>0</v>
      </c>
      <c r="L44" s="74">
        <f>'Sales-Schedule'!L34*(D15/C15)</f>
        <v>75600000</v>
      </c>
      <c r="M44" s="74">
        <f>'Sales-Schedule'!M34*(D15/C15)</f>
        <v>0</v>
      </c>
      <c r="N44" s="74">
        <f>'Sales-Schedule'!N34*(D15/C15)</f>
        <v>75600000</v>
      </c>
    </row>
    <row r="45" spans="2:14" ht="15.75" customHeight="1">
      <c r="B45" s="73" t="s">
        <v>108</v>
      </c>
      <c r="C45" s="74">
        <f>IF(1=1,D18+D19,0)+D21/Assumptions!C33+IF(AND(1&gt;=Assumptions!C34,1&lt;=Assumptions!C35),D20/(Assumptions!C35-Assumptions!C34+1),0)+IF(AND(1&gt;=Assumptions!C36,1&lt;=Assumptions!C37),D22/(Assumptions!C37-Assumptions!C36+1),0)</f>
        <v>52085055.75</v>
      </c>
      <c r="D45" s="74">
        <f>IF(2=1,D18+D19,0)+D21/Assumptions!C33+IF(AND(2&gt;=Assumptions!C34,2&lt;=Assumptions!C35),D20/(Assumptions!C35-Assumptions!C34+1),0)+IF(AND(2&gt;=Assumptions!C36,2&lt;=Assumptions!C37),D22/(Assumptions!C37-Assumptions!C36+1),0)</f>
        <v>2165055.75</v>
      </c>
      <c r="E45" s="74">
        <f>IF(3=1,D18+D19,0)+D21/Assumptions!C33+IF(AND(3&gt;=Assumptions!C34,3&lt;=Assumptions!C35),D20/(Assumptions!C35-Assumptions!C34+1),0)+IF(AND(3&gt;=Assumptions!C36,3&lt;=Assumptions!C37),D22/(Assumptions!C37-Assumptions!C36+1),0)</f>
        <v>2165055.75</v>
      </c>
      <c r="F45" s="74">
        <f>IF(4=1,D18+D19,0)+D21/Assumptions!C33+IF(AND(4&gt;=Assumptions!C34,4&lt;=Assumptions!C35),D20/(Assumptions!C35-Assumptions!C34+1),0)+IF(AND(4&gt;=Assumptions!C36,4&lt;=Assumptions!C37),D22/(Assumptions!C37-Assumptions!C36+1),0)</f>
        <v>2165055.75</v>
      </c>
      <c r="G45" s="74">
        <f>IF(5=1,D18+D19,0)+D21/Assumptions!C33+IF(AND(5&gt;=Assumptions!C34,5&lt;=Assumptions!C35),D20/(Assumptions!C35-Assumptions!C34+1),0)+IF(AND(5&gt;=Assumptions!C36,5&lt;=Assumptions!C37),D22/(Assumptions!C37-Assumptions!C36+1),0)</f>
        <v>4433055.75</v>
      </c>
      <c r="H45" s="74">
        <f>IF(6=1,D18+D19,0)+D21/Assumptions!C33+IF(AND(6&gt;=Assumptions!C34,6&lt;=Assumptions!C35),D20/(Assumptions!C35-Assumptions!C34+1),0)+IF(AND(6&gt;=Assumptions!C36,6&lt;=Assumptions!C37),D22/(Assumptions!C37-Assumptions!C36+1),0)</f>
        <v>4433055.75</v>
      </c>
      <c r="I45" s="74">
        <f>IF(7=1,D18+D19,0)+D21/Assumptions!C33+IF(AND(7&gt;=Assumptions!C34,7&lt;=Assumptions!C35),D20/(Assumptions!C35-Assumptions!C34+1),0)+IF(AND(7&gt;=Assumptions!C36,7&lt;=Assumptions!C37),D22/(Assumptions!C37-Assumptions!C36+1),0)</f>
        <v>33300465.75</v>
      </c>
      <c r="J45" s="74">
        <f>IF(8=1,D18+D19,0)+D21/Assumptions!C33+IF(AND(8&gt;=Assumptions!C34,8&lt;=Assumptions!C35),D20/(Assumptions!C35-Assumptions!C34+1),0)+IF(AND(8&gt;=Assumptions!C36,8&lt;=Assumptions!C37),D22/(Assumptions!C37-Assumptions!C36+1),0)</f>
        <v>33300465.75</v>
      </c>
      <c r="K45" s="74">
        <f>IF(9=1,D18+D19,0)+D21/Assumptions!C33+IF(AND(9&gt;=Assumptions!C34,9&lt;=Assumptions!C35),D20/(Assumptions!C35-Assumptions!C34+1),0)+IF(AND(9&gt;=Assumptions!C36,9&lt;=Assumptions!C37),D22/(Assumptions!C37-Assumptions!C36+1),0)</f>
        <v>31032465.75</v>
      </c>
      <c r="L45" s="74">
        <f>IF(10=1,D18+D19,0)+D21/Assumptions!C33+IF(AND(10&gt;=Assumptions!C34,10&lt;=Assumptions!C35),D20/(Assumptions!C35-Assumptions!C34+1),0)+IF(AND(10&gt;=Assumptions!C36,10&lt;=Assumptions!C37),D22/(Assumptions!C37-Assumptions!C36+1),0)</f>
        <v>31032465.75</v>
      </c>
      <c r="M45" s="74">
        <f>IF(11=1,D18+D19,0)+D21/Assumptions!C33+IF(AND(11&gt;=Assumptions!C34,11&lt;=Assumptions!C35),D20/(Assumptions!C35-Assumptions!C34+1),0)+IF(AND(11&gt;=Assumptions!C36,11&lt;=Assumptions!C37),D22/(Assumptions!C37-Assumptions!C36+1),0)</f>
        <v>31032465.75</v>
      </c>
      <c r="N45" s="74">
        <f>IF(12=1,D18+D19,0)+D21/Assumptions!C33+IF(AND(12&gt;=Assumptions!C34,12&lt;=Assumptions!C35),D20/(Assumptions!C35-Assumptions!C34+1),0)+IF(AND(12&gt;=Assumptions!C36,12&lt;=Assumptions!C37),D22/(Assumptions!C37-Assumptions!C36+1),0)</f>
        <v>31032465.75</v>
      </c>
    </row>
    <row r="46" spans="2:14" ht="15.75" customHeight="1">
      <c r="B46" s="73" t="s">
        <v>109</v>
      </c>
      <c r="C46" s="74">
        <f t="shared" si="8"/>
        <v>-52085055.75</v>
      </c>
      <c r="D46" s="74">
        <f t="shared" si="8"/>
        <v>-2165055.75</v>
      </c>
      <c r="E46" s="74">
        <f t="shared" si="8"/>
        <v>-2165055.75</v>
      </c>
      <c r="F46" s="74">
        <f t="shared" si="8"/>
        <v>-2165055.75</v>
      </c>
      <c r="G46" s="74">
        <f t="shared" si="8"/>
        <v>14466944.25</v>
      </c>
      <c r="H46" s="74">
        <f t="shared" si="8"/>
        <v>14466944.25</v>
      </c>
      <c r="I46" s="74">
        <f t="shared" si="8"/>
        <v>-14400465.75</v>
      </c>
      <c r="J46" s="74">
        <f t="shared" si="8"/>
        <v>61199534.25</v>
      </c>
      <c r="K46" s="74">
        <f t="shared" si="8"/>
        <v>-31032465.75</v>
      </c>
      <c r="L46" s="74">
        <f t="shared" si="8"/>
        <v>44567534.25</v>
      </c>
      <c r="M46" s="74">
        <f t="shared" si="8"/>
        <v>-31032465.75</v>
      </c>
      <c r="N46" s="74">
        <f t="shared" si="8"/>
        <v>44567534.25</v>
      </c>
    </row>
    <row r="47" spans="2:14" ht="15.75" customHeight="1">
      <c r="B47" s="73" t="s">
        <v>110</v>
      </c>
      <c r="C47" s="74" cm="1">
        <f t="array" ref="C47">C46</f>
        <v>-52085055.75</v>
      </c>
      <c r="D47" s="74">
        <f t="shared" si="9"/>
        <v>-54250111.5</v>
      </c>
      <c r="E47" s="74">
        <f t="shared" si="9"/>
        <v>-56415167.25</v>
      </c>
      <c r="F47" s="74">
        <f t="shared" si="9"/>
        <v>-58580223</v>
      </c>
      <c r="G47" s="74">
        <f t="shared" si="9"/>
        <v>-44113278.75</v>
      </c>
      <c r="H47" s="74">
        <f t="shared" si="9"/>
        <v>-29646334.5</v>
      </c>
      <c r="I47" s="74">
        <f t="shared" si="9"/>
        <v>-44046800.25</v>
      </c>
      <c r="J47" s="74">
        <f t="shared" si="9"/>
        <v>17152734</v>
      </c>
      <c r="K47" s="74">
        <f t="shared" si="9"/>
        <v>-13879731.75</v>
      </c>
      <c r="L47" s="74">
        <f t="shared" si="9"/>
        <v>30687802.5</v>
      </c>
      <c r="M47" s="74">
        <f t="shared" si="9"/>
        <v>-344663.25</v>
      </c>
      <c r="N47" s="74">
        <f t="shared" si="9"/>
        <v>44222871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Assumptions</vt:lpstr>
      <vt:lpstr>Area-Cost-Calcs</vt:lpstr>
      <vt:lpstr>Sales-Schedule</vt:lpstr>
      <vt:lpstr>Cash-Flow</vt:lpstr>
      <vt:lpstr>Project-Summary</vt:lpstr>
      <vt:lpstr>Scenarios</vt:lpstr>
    </vt:vector>
  </TitlesOfParts>
  <Company>Shortcut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Shortcut</dc:creator>
  <cp:lastModifiedBy>Hass | Andrey Lyubimov</cp:lastModifiedBy>
  <dcterms:created xsi:type="dcterms:W3CDTF">2025-05-22T23:41:35Z</dcterms:created>
  <dcterms:modified xsi:type="dcterms:W3CDTF">2026-04-20T17:52:41Z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hortcut_file_id">
    <vt:lpwstr>e734d93d-0ba8-411e-a863-bb5657a00a29</vt:lpwstr>
  </property>
</Properties>
</file>