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D:\INVESTMENTS\Kenya - ProMind\"/>
    </mc:Choice>
  </mc:AlternateContent>
  <xr:revisionPtr revIDLastSave="0" documentId="8_{36AF4B3A-17DD-42B7-B6C2-38016D77E768}" xr6:coauthVersionLast="47" xr6:coauthVersionMax="47" xr10:uidLastSave="{00000000-0000-0000-0000-000000000000}"/>
  <bookViews>
    <workbookView xWindow="28680" yWindow="2730" windowWidth="29040" windowHeight="15720" xr2:uid="{57F5D4A1-F515-4981-823D-E826F524894E}"/>
  </bookViews>
  <sheets>
    <sheet name="Summary" sheetId="1" r:id="rId1"/>
    <sheet name="CAPEX" sheetId="3" r:id="rId2"/>
    <sheet name="CAPEX backup" sheetId="2" r:id="rId3"/>
    <sheet name="Insurance" sheetId="4" r:id="rId4"/>
  </sheets>
  <definedNames>
    <definedName name="_xlnm.Print_Area" localSheetId="0">Summary!$A$1:$J$96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1" l="1"/>
  <c r="D23" i="3"/>
  <c r="CC58" i="1"/>
  <c r="CB58" i="1"/>
  <c r="CA58" i="1"/>
  <c r="BZ58" i="1"/>
  <c r="BY58" i="1"/>
  <c r="BX58" i="1"/>
  <c r="BW58" i="1"/>
  <c r="BV58" i="1"/>
  <c r="BU58" i="1"/>
  <c r="BT58" i="1"/>
  <c r="BS58" i="1"/>
  <c r="BR58" i="1"/>
  <c r="BO58" i="1"/>
  <c r="BN58" i="1"/>
  <c r="BM58" i="1"/>
  <c r="BL58" i="1"/>
  <c r="BK58" i="1"/>
  <c r="BJ58" i="1"/>
  <c r="BI58" i="1"/>
  <c r="BH58" i="1"/>
  <c r="BG58" i="1"/>
  <c r="BF58" i="1"/>
  <c r="BE58" i="1"/>
  <c r="BD58" i="1"/>
  <c r="BA58" i="1"/>
  <c r="AZ58" i="1"/>
  <c r="AY58" i="1"/>
  <c r="AX58" i="1"/>
  <c r="AW58" i="1"/>
  <c r="AV58" i="1"/>
  <c r="AU58" i="1"/>
  <c r="AT58" i="1"/>
  <c r="AS58" i="1"/>
  <c r="AR58" i="1"/>
  <c r="AQ58" i="1"/>
  <c r="AP58" i="1"/>
  <c r="AM58" i="1"/>
  <c r="AL58" i="1"/>
  <c r="AK58" i="1"/>
  <c r="AJ58" i="1"/>
  <c r="AI58" i="1"/>
  <c r="AH58" i="1"/>
  <c r="AG58" i="1"/>
  <c r="AF58" i="1"/>
  <c r="AE58" i="1"/>
  <c r="AD58" i="1"/>
  <c r="AC58" i="1"/>
  <c r="AB58" i="1"/>
  <c r="Y58" i="1"/>
  <c r="X58" i="1"/>
  <c r="W58" i="1"/>
  <c r="V58" i="1"/>
  <c r="U58" i="1"/>
  <c r="T58" i="1"/>
  <c r="S58" i="1"/>
  <c r="R58" i="1"/>
  <c r="Q58" i="1"/>
  <c r="P58" i="1"/>
  <c r="O58" i="1"/>
  <c r="N58" i="1"/>
  <c r="C58" i="1"/>
  <c r="CC57" i="1"/>
  <c r="CB57" i="1"/>
  <c r="CA57" i="1"/>
  <c r="BZ57" i="1"/>
  <c r="BY57" i="1"/>
  <c r="BX57" i="1"/>
  <c r="BW57" i="1"/>
  <c r="BV57" i="1"/>
  <c r="BU57" i="1"/>
  <c r="BT57" i="1"/>
  <c r="BS57" i="1"/>
  <c r="BR57" i="1"/>
  <c r="BO57" i="1"/>
  <c r="BN57" i="1"/>
  <c r="BM57" i="1"/>
  <c r="BL57" i="1"/>
  <c r="BK57" i="1"/>
  <c r="BJ57" i="1"/>
  <c r="BI57" i="1"/>
  <c r="BH57" i="1"/>
  <c r="BG57" i="1"/>
  <c r="BF57" i="1"/>
  <c r="BE57" i="1"/>
  <c r="BD57" i="1"/>
  <c r="BA57" i="1"/>
  <c r="AZ57" i="1"/>
  <c r="AY57" i="1"/>
  <c r="AX57" i="1"/>
  <c r="AW57" i="1"/>
  <c r="AV57" i="1"/>
  <c r="AU57" i="1"/>
  <c r="AT57" i="1"/>
  <c r="AS57" i="1"/>
  <c r="AR57" i="1"/>
  <c r="AQ57" i="1"/>
  <c r="AP57" i="1"/>
  <c r="AM57" i="1"/>
  <c r="AL57" i="1"/>
  <c r="AK57" i="1"/>
  <c r="AJ57" i="1"/>
  <c r="AI57" i="1"/>
  <c r="AH57" i="1"/>
  <c r="AG57" i="1"/>
  <c r="AF57" i="1"/>
  <c r="AE57" i="1"/>
  <c r="AD57" i="1"/>
  <c r="AC57" i="1"/>
  <c r="AB57" i="1"/>
  <c r="Y57" i="1"/>
  <c r="X57" i="1"/>
  <c r="W57" i="1"/>
  <c r="V57" i="1"/>
  <c r="U57" i="1"/>
  <c r="T57" i="1"/>
  <c r="S57" i="1"/>
  <c r="R57" i="1"/>
  <c r="Q57" i="1"/>
  <c r="P57" i="1"/>
  <c r="O57" i="1"/>
  <c r="N57" i="1"/>
  <c r="C57" i="1"/>
  <c r="AD77" i="1"/>
  <c r="G77" i="1" s="1"/>
  <c r="AD76" i="1"/>
  <c r="G76" i="1" s="1"/>
  <c r="B61" i="1"/>
  <c r="BX61" i="1" s="1"/>
  <c r="J27" i="1"/>
  <c r="I27" i="1"/>
  <c r="H27" i="1"/>
  <c r="G27" i="1"/>
  <c r="F27" i="1"/>
  <c r="J28" i="1"/>
  <c r="I28" i="1"/>
  <c r="H28" i="1"/>
  <c r="G28" i="1"/>
  <c r="F28" i="1"/>
  <c r="J30" i="1"/>
  <c r="I30" i="1"/>
  <c r="H30" i="1"/>
  <c r="G30" i="1"/>
  <c r="F30" i="1"/>
  <c r="B22" i="1"/>
  <c r="BU22" i="1" s="1"/>
  <c r="CC21" i="1"/>
  <c r="CB21" i="1"/>
  <c r="CA21" i="1"/>
  <c r="BZ21" i="1"/>
  <c r="BY21" i="1"/>
  <c r="BX21" i="1"/>
  <c r="BW21" i="1"/>
  <c r="BV21" i="1"/>
  <c r="BU21" i="1"/>
  <c r="BT21" i="1"/>
  <c r="BS21" i="1"/>
  <c r="BR21" i="1"/>
  <c r="BO21" i="1"/>
  <c r="BN21" i="1"/>
  <c r="BM21" i="1"/>
  <c r="BL21" i="1"/>
  <c r="BK21" i="1"/>
  <c r="BJ21" i="1"/>
  <c r="BI21" i="1"/>
  <c r="BH21" i="1"/>
  <c r="BG21" i="1"/>
  <c r="BF21" i="1"/>
  <c r="BE21" i="1"/>
  <c r="BD21" i="1"/>
  <c r="BA21" i="1"/>
  <c r="AZ21" i="1"/>
  <c r="AY21" i="1"/>
  <c r="AX21" i="1"/>
  <c r="AW21" i="1"/>
  <c r="AV21" i="1"/>
  <c r="AU21" i="1"/>
  <c r="AT21" i="1"/>
  <c r="AS21" i="1"/>
  <c r="AR21" i="1"/>
  <c r="AQ21" i="1"/>
  <c r="AP21" i="1"/>
  <c r="AM21" i="1"/>
  <c r="AL21" i="1"/>
  <c r="AK21" i="1"/>
  <c r="AJ21" i="1"/>
  <c r="AI21" i="1"/>
  <c r="AH21" i="1"/>
  <c r="AG21" i="1"/>
  <c r="AF21" i="1"/>
  <c r="AE21" i="1"/>
  <c r="AD21" i="1"/>
  <c r="AC21" i="1"/>
  <c r="AB21" i="1"/>
  <c r="Y21" i="1"/>
  <c r="X21" i="1"/>
  <c r="W21" i="1"/>
  <c r="V21" i="1"/>
  <c r="U21" i="1"/>
  <c r="T21" i="1"/>
  <c r="S21" i="1"/>
  <c r="R21" i="1"/>
  <c r="Q21" i="1"/>
  <c r="P21" i="1"/>
  <c r="O21" i="1"/>
  <c r="N21" i="1"/>
  <c r="F15" i="1" l="1"/>
  <c r="E15" i="1"/>
  <c r="C15" i="1"/>
  <c r="J58" i="1"/>
  <c r="G58" i="1"/>
  <c r="I58" i="1"/>
  <c r="H58" i="1"/>
  <c r="H57" i="1"/>
  <c r="F57" i="1"/>
  <c r="F58" i="1"/>
  <c r="I57" i="1"/>
  <c r="J57" i="1"/>
  <c r="G57" i="1"/>
  <c r="AE61" i="1"/>
  <c r="AF61" i="1"/>
  <c r="AZ61" i="1"/>
  <c r="BD61" i="1"/>
  <c r="BE61" i="1"/>
  <c r="N61" i="1"/>
  <c r="AI61" i="1"/>
  <c r="AJ61" i="1"/>
  <c r="BI61" i="1"/>
  <c r="P61" i="1"/>
  <c r="BJ61" i="1"/>
  <c r="Q61" i="1"/>
  <c r="BM61" i="1"/>
  <c r="F29" i="1"/>
  <c r="AM61" i="1"/>
  <c r="S61" i="1"/>
  <c r="BO61" i="1"/>
  <c r="T61" i="1"/>
  <c r="BR61" i="1"/>
  <c r="AV61" i="1"/>
  <c r="BT61" i="1"/>
  <c r="AW61" i="1"/>
  <c r="X61" i="1"/>
  <c r="AX61" i="1"/>
  <c r="BW61" i="1"/>
  <c r="AH61" i="1"/>
  <c r="BF61" i="1"/>
  <c r="O61" i="1"/>
  <c r="AK61" i="1"/>
  <c r="AL61" i="1"/>
  <c r="R61" i="1"/>
  <c r="BN61" i="1"/>
  <c r="AQ61" i="1"/>
  <c r="AS61" i="1"/>
  <c r="U61" i="1"/>
  <c r="V61" i="1"/>
  <c r="BV61" i="1"/>
  <c r="Y61" i="1"/>
  <c r="AY61" i="1"/>
  <c r="BZ61" i="1"/>
  <c r="AG61" i="1"/>
  <c r="BA61" i="1"/>
  <c r="CA61" i="1"/>
  <c r="BS61" i="1"/>
  <c r="BU61" i="1"/>
  <c r="W61" i="1"/>
  <c r="AP61" i="1"/>
  <c r="BG61" i="1"/>
  <c r="BY61" i="1"/>
  <c r="C61" i="1"/>
  <c r="AC61" i="1"/>
  <c r="AT61" i="1"/>
  <c r="BK61" i="1"/>
  <c r="CB61" i="1"/>
  <c r="AD61" i="1"/>
  <c r="AU61" i="1"/>
  <c r="BL61" i="1"/>
  <c r="CC61" i="1"/>
  <c r="AB61" i="1"/>
  <c r="AR61" i="1"/>
  <c r="BH61" i="1"/>
  <c r="G29" i="1"/>
  <c r="H29" i="1"/>
  <c r="I29" i="1"/>
  <c r="J29" i="1"/>
  <c r="X22" i="1"/>
  <c r="Y22" i="1"/>
  <c r="AB22" i="1"/>
  <c r="AP22" i="1"/>
  <c r="AQ22" i="1"/>
  <c r="AR22" i="1"/>
  <c r="BF22" i="1"/>
  <c r="BG22" i="1"/>
  <c r="BH22" i="1"/>
  <c r="BV22" i="1"/>
  <c r="BW22" i="1"/>
  <c r="BX22" i="1"/>
  <c r="AC22" i="1"/>
  <c r="N22" i="1"/>
  <c r="CA22" i="1"/>
  <c r="AV22" i="1"/>
  <c r="Q22" i="1"/>
  <c r="CC22" i="1"/>
  <c r="BN22" i="1"/>
  <c r="S22" i="1"/>
  <c r="AI22" i="1"/>
  <c r="AY22" i="1"/>
  <c r="BO22" i="1"/>
  <c r="AS22" i="1"/>
  <c r="BI22" i="1"/>
  <c r="BY22" i="1"/>
  <c r="AD22" i="1"/>
  <c r="AT22" i="1"/>
  <c r="BJ22" i="1"/>
  <c r="BZ22" i="1"/>
  <c r="O22" i="1"/>
  <c r="AE22" i="1"/>
  <c r="AU22" i="1"/>
  <c r="BK22" i="1"/>
  <c r="P22" i="1"/>
  <c r="AF22" i="1"/>
  <c r="BL22" i="1"/>
  <c r="CB22" i="1"/>
  <c r="AG22" i="1"/>
  <c r="AW22" i="1"/>
  <c r="BM22" i="1"/>
  <c r="R22" i="1"/>
  <c r="AH22" i="1"/>
  <c r="AX22" i="1"/>
  <c r="T22" i="1"/>
  <c r="AJ22" i="1"/>
  <c r="AZ22" i="1"/>
  <c r="BR22" i="1"/>
  <c r="U22" i="1"/>
  <c r="AK22" i="1"/>
  <c r="BA22" i="1"/>
  <c r="BS22" i="1"/>
  <c r="V22" i="1"/>
  <c r="AL22" i="1"/>
  <c r="BD22" i="1"/>
  <c r="BT22" i="1"/>
  <c r="W22" i="1"/>
  <c r="AM22" i="1"/>
  <c r="BE22" i="1"/>
  <c r="F61" i="1" l="1"/>
  <c r="J61" i="1"/>
  <c r="G61" i="1"/>
  <c r="I61" i="1"/>
  <c r="H61" i="1"/>
  <c r="AB20" i="1"/>
  <c r="AC20" i="1"/>
  <c r="AQ20" i="1" s="1"/>
  <c r="AD20" i="1"/>
  <c r="AE20" i="1"/>
  <c r="AS20" i="1" s="1"/>
  <c r="BG20" i="1" s="1"/>
  <c r="BU20" i="1" s="1"/>
  <c r="AF20" i="1"/>
  <c r="AT20" i="1" s="1"/>
  <c r="BH20" i="1" s="1"/>
  <c r="BV20" i="1" s="1"/>
  <c r="AG20" i="1"/>
  <c r="AU20" i="1" s="1"/>
  <c r="BI20" i="1" s="1"/>
  <c r="BW20" i="1" s="1"/>
  <c r="AH20" i="1"/>
  <c r="AV20" i="1" s="1"/>
  <c r="BJ20" i="1" s="1"/>
  <c r="BX20" i="1" s="1"/>
  <c r="AI20" i="1"/>
  <c r="AW20" i="1" s="1"/>
  <c r="BK20" i="1" s="1"/>
  <c r="BY20" i="1" s="1"/>
  <c r="AJ20" i="1"/>
  <c r="AX20" i="1" s="1"/>
  <c r="BL20" i="1" s="1"/>
  <c r="BZ20" i="1" s="1"/>
  <c r="AK20" i="1"/>
  <c r="AY20" i="1" s="1"/>
  <c r="BM20" i="1" s="1"/>
  <c r="CA20" i="1" s="1"/>
  <c r="AL20" i="1"/>
  <c r="AZ20" i="1" s="1"/>
  <c r="BN20" i="1" s="1"/>
  <c r="CB20" i="1" s="1"/>
  <c r="AM20" i="1"/>
  <c r="BA20" i="1" s="1"/>
  <c r="BO20" i="1" s="1"/>
  <c r="CC20" i="1" s="1"/>
  <c r="CC29" i="1"/>
  <c r="CB29" i="1"/>
  <c r="CA29" i="1"/>
  <c r="BZ29" i="1"/>
  <c r="BY29" i="1"/>
  <c r="BX29" i="1"/>
  <c r="BW29" i="1"/>
  <c r="BV29" i="1"/>
  <c r="BU29" i="1"/>
  <c r="BT29" i="1"/>
  <c r="BS29" i="1"/>
  <c r="BR29" i="1"/>
  <c r="CC25" i="1"/>
  <c r="CB25" i="1"/>
  <c r="CA25" i="1"/>
  <c r="BZ25" i="1"/>
  <c r="BY25" i="1"/>
  <c r="BX25" i="1"/>
  <c r="BW25" i="1"/>
  <c r="BV25" i="1"/>
  <c r="BU25" i="1"/>
  <c r="BT25" i="1"/>
  <c r="BS25" i="1"/>
  <c r="BR25" i="1"/>
  <c r="BO29" i="1"/>
  <c r="BN29" i="1"/>
  <c r="BM29" i="1"/>
  <c r="BL29" i="1"/>
  <c r="BK29" i="1"/>
  <c r="BJ29" i="1"/>
  <c r="BI29" i="1"/>
  <c r="BH29" i="1"/>
  <c r="BG29" i="1"/>
  <c r="BF29" i="1"/>
  <c r="BE29" i="1"/>
  <c r="BD29" i="1"/>
  <c r="BO25" i="1"/>
  <c r="BN25" i="1"/>
  <c r="BM25" i="1"/>
  <c r="BL25" i="1"/>
  <c r="BK25" i="1"/>
  <c r="BJ25" i="1"/>
  <c r="BI25" i="1"/>
  <c r="BH25" i="1"/>
  <c r="BG25" i="1"/>
  <c r="BF25" i="1"/>
  <c r="BE25" i="1"/>
  <c r="BD25" i="1"/>
  <c r="BA29" i="1"/>
  <c r="AZ29" i="1"/>
  <c r="AY29" i="1"/>
  <c r="AX29" i="1"/>
  <c r="AW29" i="1"/>
  <c r="AV29" i="1"/>
  <c r="AU29" i="1"/>
  <c r="AT29" i="1"/>
  <c r="AS29" i="1"/>
  <c r="AR29" i="1"/>
  <c r="AQ29" i="1"/>
  <c r="AP29" i="1"/>
  <c r="BA25" i="1"/>
  <c r="AZ25" i="1"/>
  <c r="AY25" i="1"/>
  <c r="AX25" i="1"/>
  <c r="AW25" i="1"/>
  <c r="AV25" i="1"/>
  <c r="AU25" i="1"/>
  <c r="AT25" i="1"/>
  <c r="AS25" i="1"/>
  <c r="AR25" i="1"/>
  <c r="AQ25" i="1"/>
  <c r="AP25" i="1"/>
  <c r="AM29" i="1"/>
  <c r="AL29" i="1"/>
  <c r="AK29" i="1"/>
  <c r="AJ29" i="1"/>
  <c r="AI29" i="1"/>
  <c r="AH29" i="1"/>
  <c r="AG29" i="1"/>
  <c r="AF29" i="1"/>
  <c r="AE29" i="1"/>
  <c r="AD29" i="1"/>
  <c r="AC29" i="1"/>
  <c r="AB29" i="1"/>
  <c r="AM25" i="1"/>
  <c r="AL25" i="1"/>
  <c r="AK25" i="1"/>
  <c r="AJ25" i="1"/>
  <c r="AI25" i="1"/>
  <c r="AH25" i="1"/>
  <c r="AG25" i="1"/>
  <c r="AF25" i="1"/>
  <c r="AE25" i="1"/>
  <c r="AD25" i="1"/>
  <c r="AC25" i="1"/>
  <c r="AB25" i="1"/>
  <c r="Y25" i="1"/>
  <c r="X25" i="1"/>
  <c r="W25" i="1"/>
  <c r="V25" i="1"/>
  <c r="U25" i="1"/>
  <c r="T25" i="1"/>
  <c r="S25" i="1"/>
  <c r="R25" i="1"/>
  <c r="Q25" i="1"/>
  <c r="P25" i="1"/>
  <c r="O25" i="1"/>
  <c r="N25" i="1"/>
  <c r="Y29" i="1"/>
  <c r="X29" i="1"/>
  <c r="W29" i="1"/>
  <c r="V29" i="1"/>
  <c r="U29" i="1"/>
  <c r="T29" i="1"/>
  <c r="S29" i="1"/>
  <c r="R29" i="1"/>
  <c r="Q29" i="1"/>
  <c r="P29" i="1"/>
  <c r="O29" i="1"/>
  <c r="N29" i="1"/>
  <c r="B102" i="1"/>
  <c r="B14" i="1"/>
  <c r="B15" i="1" l="1"/>
  <c r="D15" i="1" s="1"/>
  <c r="D14" i="1"/>
  <c r="G25" i="1"/>
  <c r="G26" i="1" s="1"/>
  <c r="F25" i="1"/>
  <c r="F26" i="1" s="1"/>
  <c r="J25" i="1"/>
  <c r="J26" i="1" s="1"/>
  <c r="BE20" i="1"/>
  <c r="AR20" i="1"/>
  <c r="I25" i="1"/>
  <c r="I26" i="1" s="1"/>
  <c r="H25" i="1"/>
  <c r="H26" i="1" s="1"/>
  <c r="AP20" i="1"/>
  <c r="Y77" i="1"/>
  <c r="V77" i="1"/>
  <c r="S77" i="1"/>
  <c r="P77" i="1"/>
  <c r="F99" i="1" l="1"/>
  <c r="G99" i="1"/>
  <c r="BF20" i="1"/>
  <c r="BS20" i="1"/>
  <c r="BD20" i="1"/>
  <c r="F77" i="1"/>
  <c r="BT20" i="1" l="1"/>
  <c r="BR20" i="1"/>
  <c r="C64" i="1"/>
  <c r="BV64" i="1"/>
  <c r="B63" i="1"/>
  <c r="BO63" i="1" s="1"/>
  <c r="CC47" i="1"/>
  <c r="CB47" i="1"/>
  <c r="CA47" i="1"/>
  <c r="BZ47" i="1"/>
  <c r="BY47" i="1"/>
  <c r="BX47" i="1"/>
  <c r="BW47" i="1"/>
  <c r="BV47" i="1"/>
  <c r="BU47" i="1"/>
  <c r="BT47" i="1"/>
  <c r="BS47" i="1"/>
  <c r="BR47" i="1"/>
  <c r="CC46" i="1"/>
  <c r="CB46" i="1"/>
  <c r="CA46" i="1"/>
  <c r="BZ46" i="1"/>
  <c r="BY46" i="1"/>
  <c r="BX46" i="1"/>
  <c r="BW46" i="1"/>
  <c r="BV46" i="1"/>
  <c r="BU46" i="1"/>
  <c r="BT46" i="1"/>
  <c r="BS46" i="1"/>
  <c r="BR46" i="1"/>
  <c r="CC45" i="1"/>
  <c r="CB45" i="1"/>
  <c r="CA45" i="1"/>
  <c r="BZ45" i="1"/>
  <c r="BY45" i="1"/>
  <c r="BX45" i="1"/>
  <c r="BW45" i="1"/>
  <c r="BV45" i="1"/>
  <c r="BU45" i="1"/>
  <c r="BT45" i="1"/>
  <c r="BS45" i="1"/>
  <c r="BR45" i="1"/>
  <c r="CC44" i="1"/>
  <c r="CB44" i="1"/>
  <c r="CA44" i="1"/>
  <c r="BZ44" i="1"/>
  <c r="BY44" i="1"/>
  <c r="BX44" i="1"/>
  <c r="BW44" i="1"/>
  <c r="BV44" i="1"/>
  <c r="BU44" i="1"/>
  <c r="BT44" i="1"/>
  <c r="BS44" i="1"/>
  <c r="BR44" i="1"/>
  <c r="CC43" i="1"/>
  <c r="CB43" i="1"/>
  <c r="CA43" i="1"/>
  <c r="BZ43" i="1"/>
  <c r="BY43" i="1"/>
  <c r="BX43" i="1"/>
  <c r="BW43" i="1"/>
  <c r="BV43" i="1"/>
  <c r="BU43" i="1"/>
  <c r="BT43" i="1"/>
  <c r="BS43" i="1"/>
  <c r="BR43" i="1"/>
  <c r="BO47" i="1"/>
  <c r="BN47" i="1"/>
  <c r="BM47" i="1"/>
  <c r="BL47" i="1"/>
  <c r="BK47" i="1"/>
  <c r="BJ47" i="1"/>
  <c r="BI47" i="1"/>
  <c r="BH47" i="1"/>
  <c r="BG47" i="1"/>
  <c r="BF47" i="1"/>
  <c r="BE47" i="1"/>
  <c r="BD47" i="1"/>
  <c r="BO46" i="1"/>
  <c r="BN46" i="1"/>
  <c r="BM46" i="1"/>
  <c r="BL46" i="1"/>
  <c r="BK46" i="1"/>
  <c r="BJ46" i="1"/>
  <c r="BI46" i="1"/>
  <c r="BH46" i="1"/>
  <c r="BG46" i="1"/>
  <c r="BF46" i="1"/>
  <c r="BE46" i="1"/>
  <c r="BD46" i="1"/>
  <c r="BO45" i="1"/>
  <c r="BN45" i="1"/>
  <c r="BM45" i="1"/>
  <c r="BL45" i="1"/>
  <c r="BK45" i="1"/>
  <c r="BJ45" i="1"/>
  <c r="BI45" i="1"/>
  <c r="BH45" i="1"/>
  <c r="BG45" i="1"/>
  <c r="BF45" i="1"/>
  <c r="BE45" i="1"/>
  <c r="BD45" i="1"/>
  <c r="BO44" i="1"/>
  <c r="BN44" i="1"/>
  <c r="BM44" i="1"/>
  <c r="BL44" i="1"/>
  <c r="BK44" i="1"/>
  <c r="BJ44" i="1"/>
  <c r="BI44" i="1"/>
  <c r="BH44" i="1"/>
  <c r="BG44" i="1"/>
  <c r="BF44" i="1"/>
  <c r="BE44" i="1"/>
  <c r="BD44" i="1"/>
  <c r="BO43" i="1"/>
  <c r="BN43" i="1"/>
  <c r="BM43" i="1"/>
  <c r="BL43" i="1"/>
  <c r="BK43" i="1"/>
  <c r="BJ43" i="1"/>
  <c r="BI43" i="1"/>
  <c r="BH43" i="1"/>
  <c r="BG43" i="1"/>
  <c r="BF43" i="1"/>
  <c r="BE43" i="1"/>
  <c r="BD43" i="1"/>
  <c r="BA47" i="1"/>
  <c r="AZ47" i="1"/>
  <c r="AY47" i="1"/>
  <c r="AX47" i="1"/>
  <c r="AW47" i="1"/>
  <c r="AV47" i="1"/>
  <c r="AU47" i="1"/>
  <c r="AT47" i="1"/>
  <c r="AS47" i="1"/>
  <c r="AR47" i="1"/>
  <c r="AQ47" i="1"/>
  <c r="AP47" i="1"/>
  <c r="BA46" i="1"/>
  <c r="AZ46" i="1"/>
  <c r="AY46" i="1"/>
  <c r="AX46" i="1"/>
  <c r="AW46" i="1"/>
  <c r="AV46" i="1"/>
  <c r="AU46" i="1"/>
  <c r="AT46" i="1"/>
  <c r="AS46" i="1"/>
  <c r="AR46" i="1"/>
  <c r="AQ46" i="1"/>
  <c r="AP46" i="1"/>
  <c r="BA45" i="1"/>
  <c r="AZ45" i="1"/>
  <c r="AY45" i="1"/>
  <c r="AX45" i="1"/>
  <c r="AW45" i="1"/>
  <c r="AV45" i="1"/>
  <c r="AU45" i="1"/>
  <c r="AT45" i="1"/>
  <c r="AS45" i="1"/>
  <c r="AR45" i="1"/>
  <c r="AQ45" i="1"/>
  <c r="AP45" i="1"/>
  <c r="BA44" i="1"/>
  <c r="AZ44" i="1"/>
  <c r="AY44" i="1"/>
  <c r="AX44" i="1"/>
  <c r="AW44" i="1"/>
  <c r="AV44" i="1"/>
  <c r="AU44" i="1"/>
  <c r="AT44" i="1"/>
  <c r="AS44" i="1"/>
  <c r="AR44" i="1"/>
  <c r="AQ44" i="1"/>
  <c r="AP44" i="1"/>
  <c r="BA43" i="1"/>
  <c r="AZ43" i="1"/>
  <c r="AY43" i="1"/>
  <c r="AX43" i="1"/>
  <c r="AW43" i="1"/>
  <c r="AV43" i="1"/>
  <c r="AU43" i="1"/>
  <c r="AT43" i="1"/>
  <c r="AS43" i="1"/>
  <c r="AR43" i="1"/>
  <c r="AQ43" i="1"/>
  <c r="AP43" i="1"/>
  <c r="AM47" i="1"/>
  <c r="AL47" i="1"/>
  <c r="AK47" i="1"/>
  <c r="AJ47" i="1"/>
  <c r="AI47" i="1"/>
  <c r="AH47" i="1"/>
  <c r="AG47" i="1"/>
  <c r="AF47" i="1"/>
  <c r="AE47" i="1"/>
  <c r="AD47" i="1"/>
  <c r="AC47" i="1"/>
  <c r="AB47" i="1"/>
  <c r="AM46" i="1"/>
  <c r="AL46" i="1"/>
  <c r="AK46" i="1"/>
  <c r="AJ46" i="1"/>
  <c r="AI46" i="1"/>
  <c r="AH46" i="1"/>
  <c r="AG46" i="1"/>
  <c r="AF46" i="1"/>
  <c r="AE46" i="1"/>
  <c r="AD46" i="1"/>
  <c r="AC46" i="1"/>
  <c r="AB46" i="1"/>
  <c r="AM45" i="1"/>
  <c r="AL45" i="1"/>
  <c r="AK45" i="1"/>
  <c r="AJ45" i="1"/>
  <c r="AI45" i="1"/>
  <c r="AH45" i="1"/>
  <c r="AG45" i="1"/>
  <c r="AF45" i="1"/>
  <c r="AE45" i="1"/>
  <c r="AD45" i="1"/>
  <c r="AC45" i="1"/>
  <c r="AB45" i="1"/>
  <c r="AM44" i="1"/>
  <c r="AL44" i="1"/>
  <c r="AK44" i="1"/>
  <c r="AJ44" i="1"/>
  <c r="AI44" i="1"/>
  <c r="AH44" i="1"/>
  <c r="AG44" i="1"/>
  <c r="AF44" i="1"/>
  <c r="AE44" i="1"/>
  <c r="AD44" i="1"/>
  <c r="AC44" i="1"/>
  <c r="AB44" i="1"/>
  <c r="AM43" i="1"/>
  <c r="AL43" i="1"/>
  <c r="AK43" i="1"/>
  <c r="AJ43" i="1"/>
  <c r="AI43" i="1"/>
  <c r="AH43" i="1"/>
  <c r="AG43" i="1"/>
  <c r="AF43" i="1"/>
  <c r="AE43" i="1"/>
  <c r="AD43" i="1"/>
  <c r="AC43" i="1"/>
  <c r="AB43" i="1"/>
  <c r="Y47" i="1"/>
  <c r="X47" i="1"/>
  <c r="W47" i="1"/>
  <c r="V47" i="1"/>
  <c r="U47" i="1"/>
  <c r="T47" i="1"/>
  <c r="S47" i="1"/>
  <c r="R47" i="1"/>
  <c r="Q47" i="1"/>
  <c r="P47" i="1"/>
  <c r="O47" i="1"/>
  <c r="N47" i="1"/>
  <c r="Y46" i="1"/>
  <c r="X46" i="1"/>
  <c r="W46" i="1"/>
  <c r="V46" i="1"/>
  <c r="U46" i="1"/>
  <c r="T46" i="1"/>
  <c r="S46" i="1"/>
  <c r="R46" i="1"/>
  <c r="Q46" i="1"/>
  <c r="P46" i="1"/>
  <c r="O46" i="1"/>
  <c r="N46" i="1"/>
  <c r="Y45" i="1"/>
  <c r="X45" i="1"/>
  <c r="W45" i="1"/>
  <c r="V45" i="1"/>
  <c r="U45" i="1"/>
  <c r="T45" i="1"/>
  <c r="S45" i="1"/>
  <c r="R45" i="1"/>
  <c r="Q45" i="1"/>
  <c r="P45" i="1"/>
  <c r="O45" i="1"/>
  <c r="N45" i="1"/>
  <c r="Y44" i="1"/>
  <c r="X44" i="1"/>
  <c r="W44" i="1"/>
  <c r="V44" i="1"/>
  <c r="U44" i="1"/>
  <c r="T44" i="1"/>
  <c r="S44" i="1"/>
  <c r="R44" i="1"/>
  <c r="Q44" i="1"/>
  <c r="P44" i="1"/>
  <c r="O44" i="1"/>
  <c r="N44" i="1"/>
  <c r="Y43" i="1"/>
  <c r="X43" i="1"/>
  <c r="W43" i="1"/>
  <c r="V43" i="1"/>
  <c r="U43" i="1"/>
  <c r="T43" i="1"/>
  <c r="S43" i="1"/>
  <c r="R43" i="1"/>
  <c r="Q43" i="1"/>
  <c r="P43" i="1"/>
  <c r="O43" i="1"/>
  <c r="N43" i="1"/>
  <c r="C60" i="1"/>
  <c r="BZ64" i="1"/>
  <c r="BY64" i="1"/>
  <c r="BX64" i="1"/>
  <c r="BW64" i="1"/>
  <c r="BJ64" i="1"/>
  <c r="BI64" i="1"/>
  <c r="BH64" i="1"/>
  <c r="BG64" i="1"/>
  <c r="AT64" i="1"/>
  <c r="AS64" i="1"/>
  <c r="AR64" i="1"/>
  <c r="AQ64" i="1"/>
  <c r="AD64" i="1"/>
  <c r="AC64" i="1"/>
  <c r="AB64" i="1"/>
  <c r="Y64" i="1"/>
  <c r="N64" i="1"/>
  <c r="CC62" i="1"/>
  <c r="CB62" i="1"/>
  <c r="CA62" i="1"/>
  <c r="BZ62" i="1"/>
  <c r="BY62" i="1"/>
  <c r="BX62" i="1"/>
  <c r="BW62" i="1"/>
  <c r="BV62" i="1"/>
  <c r="BU62" i="1"/>
  <c r="BT62" i="1"/>
  <c r="BS62" i="1"/>
  <c r="BR62" i="1"/>
  <c r="BO62" i="1"/>
  <c r="BN62" i="1"/>
  <c r="BM62" i="1"/>
  <c r="BL62" i="1"/>
  <c r="BK62" i="1"/>
  <c r="BJ62" i="1"/>
  <c r="BI62" i="1"/>
  <c r="BH62" i="1"/>
  <c r="BG62" i="1"/>
  <c r="BF62" i="1"/>
  <c r="BE62" i="1"/>
  <c r="BD62" i="1"/>
  <c r="BA62" i="1"/>
  <c r="AZ62" i="1"/>
  <c r="AY62" i="1"/>
  <c r="AX62" i="1"/>
  <c r="AW62" i="1"/>
  <c r="AV62" i="1"/>
  <c r="AU62" i="1"/>
  <c r="AT62" i="1"/>
  <c r="AS62" i="1"/>
  <c r="AR62" i="1"/>
  <c r="AQ62" i="1"/>
  <c r="AP62" i="1"/>
  <c r="AM62" i="1"/>
  <c r="AL62" i="1"/>
  <c r="AK62" i="1"/>
  <c r="AJ62" i="1"/>
  <c r="AI62" i="1"/>
  <c r="AH62" i="1"/>
  <c r="AG62" i="1"/>
  <c r="AF62" i="1"/>
  <c r="AE62" i="1"/>
  <c r="AD62" i="1"/>
  <c r="AC62" i="1"/>
  <c r="AB62" i="1"/>
  <c r="Y62" i="1"/>
  <c r="X62" i="1"/>
  <c r="W62" i="1"/>
  <c r="V62" i="1"/>
  <c r="U62" i="1"/>
  <c r="T62" i="1"/>
  <c r="S62" i="1"/>
  <c r="R62" i="1"/>
  <c r="Q62" i="1"/>
  <c r="P62" i="1"/>
  <c r="O62" i="1"/>
  <c r="N62" i="1"/>
  <c r="CC60" i="1"/>
  <c r="CB60" i="1"/>
  <c r="CA60" i="1"/>
  <c r="BZ60" i="1"/>
  <c r="BY60" i="1"/>
  <c r="BX60" i="1"/>
  <c r="BW60" i="1"/>
  <c r="BV60" i="1"/>
  <c r="BU60" i="1"/>
  <c r="BT60" i="1"/>
  <c r="BS60" i="1"/>
  <c r="BR60" i="1"/>
  <c r="BO60" i="1"/>
  <c r="BN60" i="1"/>
  <c r="BM60" i="1"/>
  <c r="BL60" i="1"/>
  <c r="BK60" i="1"/>
  <c r="BJ60" i="1"/>
  <c r="BI60" i="1"/>
  <c r="BH60" i="1"/>
  <c r="BG60" i="1"/>
  <c r="BF60" i="1"/>
  <c r="BE60" i="1"/>
  <c r="BD60" i="1"/>
  <c r="BA60" i="1"/>
  <c r="AZ60" i="1"/>
  <c r="AY60" i="1"/>
  <c r="AX60" i="1"/>
  <c r="AW60" i="1"/>
  <c r="AV60" i="1"/>
  <c r="AU60" i="1"/>
  <c r="AT60" i="1"/>
  <c r="AS60" i="1"/>
  <c r="AR60" i="1"/>
  <c r="AQ60" i="1"/>
  <c r="AP60" i="1"/>
  <c r="AM60" i="1"/>
  <c r="AL60" i="1"/>
  <c r="AK60" i="1"/>
  <c r="AJ60" i="1"/>
  <c r="AI60" i="1"/>
  <c r="AH60" i="1"/>
  <c r="AG60" i="1"/>
  <c r="AF60" i="1"/>
  <c r="AE60" i="1"/>
  <c r="AD60" i="1"/>
  <c r="AC60" i="1"/>
  <c r="AB60" i="1"/>
  <c r="Y60" i="1"/>
  <c r="X60" i="1"/>
  <c r="W60" i="1"/>
  <c r="V60" i="1"/>
  <c r="U60" i="1"/>
  <c r="T60" i="1"/>
  <c r="S60" i="1"/>
  <c r="R60" i="1"/>
  <c r="Q60" i="1"/>
  <c r="P60" i="1"/>
  <c r="O60" i="1"/>
  <c r="N60" i="1"/>
  <c r="CC59" i="1"/>
  <c r="CB59" i="1"/>
  <c r="CA59" i="1"/>
  <c r="BZ59" i="1"/>
  <c r="BY59" i="1"/>
  <c r="BX59" i="1"/>
  <c r="BW59" i="1"/>
  <c r="BV59" i="1"/>
  <c r="BU59" i="1"/>
  <c r="BT59" i="1"/>
  <c r="BS59" i="1"/>
  <c r="BR59" i="1"/>
  <c r="BO59" i="1"/>
  <c r="BN59" i="1"/>
  <c r="BM59" i="1"/>
  <c r="BL59" i="1"/>
  <c r="BK59" i="1"/>
  <c r="BJ59" i="1"/>
  <c r="BI59" i="1"/>
  <c r="BH59" i="1"/>
  <c r="BG59" i="1"/>
  <c r="BF59" i="1"/>
  <c r="BE59" i="1"/>
  <c r="BD59" i="1"/>
  <c r="BA59" i="1"/>
  <c r="AZ59" i="1"/>
  <c r="AY59" i="1"/>
  <c r="AX59" i="1"/>
  <c r="AW59" i="1"/>
  <c r="AV59" i="1"/>
  <c r="AU59" i="1"/>
  <c r="AT59" i="1"/>
  <c r="AS59" i="1"/>
  <c r="AR59" i="1"/>
  <c r="AQ59" i="1"/>
  <c r="AP59" i="1"/>
  <c r="AM59" i="1"/>
  <c r="AL59" i="1"/>
  <c r="AK59" i="1"/>
  <c r="AJ59" i="1"/>
  <c r="AI59" i="1"/>
  <c r="AH59" i="1"/>
  <c r="AG59" i="1"/>
  <c r="AF59" i="1"/>
  <c r="AE59" i="1"/>
  <c r="AD59" i="1"/>
  <c r="AC59" i="1"/>
  <c r="AB59" i="1"/>
  <c r="Y59" i="1"/>
  <c r="X59" i="1"/>
  <c r="W59" i="1"/>
  <c r="V59" i="1"/>
  <c r="U59" i="1"/>
  <c r="T59" i="1"/>
  <c r="S59" i="1"/>
  <c r="R59" i="1"/>
  <c r="Q59" i="1"/>
  <c r="P59" i="1"/>
  <c r="O59" i="1"/>
  <c r="N59" i="1"/>
  <c r="CC56" i="1"/>
  <c r="CB56" i="1"/>
  <c r="CA56" i="1"/>
  <c r="BZ56" i="1"/>
  <c r="BY56" i="1"/>
  <c r="BX56" i="1"/>
  <c r="BW56" i="1"/>
  <c r="BV56" i="1"/>
  <c r="BU56" i="1"/>
  <c r="BT56" i="1"/>
  <c r="BS56" i="1"/>
  <c r="BR56" i="1"/>
  <c r="BO56" i="1"/>
  <c r="BN56" i="1"/>
  <c r="BM56" i="1"/>
  <c r="BL56" i="1"/>
  <c r="BK56" i="1"/>
  <c r="BJ56" i="1"/>
  <c r="BI56" i="1"/>
  <c r="BH56" i="1"/>
  <c r="BG56" i="1"/>
  <c r="BF56" i="1"/>
  <c r="BE56" i="1"/>
  <c r="BD56" i="1"/>
  <c r="BA56" i="1"/>
  <c r="AZ56" i="1"/>
  <c r="AY56" i="1"/>
  <c r="AX56" i="1"/>
  <c r="AW56" i="1"/>
  <c r="AV56" i="1"/>
  <c r="AU56" i="1"/>
  <c r="AT56" i="1"/>
  <c r="AS56" i="1"/>
  <c r="AR56" i="1"/>
  <c r="AQ56" i="1"/>
  <c r="AP56" i="1"/>
  <c r="AM56" i="1"/>
  <c r="AL56" i="1"/>
  <c r="AK56" i="1"/>
  <c r="AJ56" i="1"/>
  <c r="AI56" i="1"/>
  <c r="AH56" i="1"/>
  <c r="AG56" i="1"/>
  <c r="AF56" i="1"/>
  <c r="AE56" i="1"/>
  <c r="AD56" i="1"/>
  <c r="AC56" i="1"/>
  <c r="AB56" i="1"/>
  <c r="Y56" i="1"/>
  <c r="X56" i="1"/>
  <c r="W56" i="1"/>
  <c r="V56" i="1"/>
  <c r="U56" i="1"/>
  <c r="T56" i="1"/>
  <c r="S56" i="1"/>
  <c r="R56" i="1"/>
  <c r="Q56" i="1"/>
  <c r="P56" i="1"/>
  <c r="O56" i="1"/>
  <c r="N56" i="1"/>
  <c r="CC40" i="1"/>
  <c r="CB40" i="1"/>
  <c r="CA40" i="1"/>
  <c r="BZ40" i="1"/>
  <c r="BY40" i="1"/>
  <c r="BX40" i="1"/>
  <c r="BW40" i="1"/>
  <c r="BV40" i="1"/>
  <c r="BU40" i="1"/>
  <c r="BT40" i="1"/>
  <c r="BS40" i="1"/>
  <c r="BR40" i="1"/>
  <c r="BO40" i="1"/>
  <c r="BN40" i="1"/>
  <c r="BM40" i="1"/>
  <c r="BL40" i="1"/>
  <c r="BK40" i="1"/>
  <c r="BJ40" i="1"/>
  <c r="BI40" i="1"/>
  <c r="BH40" i="1"/>
  <c r="BG40" i="1"/>
  <c r="BF40" i="1"/>
  <c r="BE40" i="1"/>
  <c r="BD40" i="1"/>
  <c r="BA40" i="1"/>
  <c r="AZ40" i="1"/>
  <c r="AY40" i="1"/>
  <c r="AX40" i="1"/>
  <c r="AW40" i="1"/>
  <c r="AV40" i="1"/>
  <c r="AU40" i="1"/>
  <c r="AT40" i="1"/>
  <c r="AS40" i="1"/>
  <c r="AR40" i="1"/>
  <c r="AQ40" i="1"/>
  <c r="AP40" i="1"/>
  <c r="AM40" i="1"/>
  <c r="AL40" i="1"/>
  <c r="AK40" i="1"/>
  <c r="AJ40" i="1"/>
  <c r="AI40" i="1"/>
  <c r="AH40" i="1"/>
  <c r="AG40" i="1"/>
  <c r="AF40" i="1"/>
  <c r="AE40" i="1"/>
  <c r="AD40" i="1"/>
  <c r="AC40" i="1"/>
  <c r="AB40" i="1"/>
  <c r="Y40" i="1"/>
  <c r="X40" i="1"/>
  <c r="W40" i="1"/>
  <c r="V40" i="1"/>
  <c r="U40" i="1"/>
  <c r="T40" i="1"/>
  <c r="S40" i="1"/>
  <c r="R40" i="1"/>
  <c r="Q40" i="1"/>
  <c r="P40" i="1"/>
  <c r="O40" i="1"/>
  <c r="N40" i="1"/>
  <c r="B12" i="1"/>
  <c r="B23" i="1" s="1"/>
  <c r="C592" i="2"/>
  <c r="E28" i="3"/>
  <c r="D27" i="3"/>
  <c r="E570" i="2"/>
  <c r="BY32" i="1" l="1"/>
  <c r="BY36" i="1" s="1"/>
  <c r="AM32" i="1"/>
  <c r="AM36" i="1" s="1"/>
  <c r="BA32" i="1"/>
  <c r="BA36" i="1" s="1"/>
  <c r="AC32" i="1"/>
  <c r="AC36" i="1" s="1"/>
  <c r="BR32" i="1"/>
  <c r="AF32" i="1"/>
  <c r="AF36" i="1" s="1"/>
  <c r="BU32" i="1"/>
  <c r="BU36" i="1" s="1"/>
  <c r="X32" i="1"/>
  <c r="X36" i="1" s="1"/>
  <c r="BI32" i="1"/>
  <c r="BI36" i="1" s="1"/>
  <c r="AL32" i="1"/>
  <c r="AL36" i="1" s="1"/>
  <c r="AX32" i="1"/>
  <c r="AX36" i="1" s="1"/>
  <c r="CA32" i="1"/>
  <c r="CA36" i="1" s="1"/>
  <c r="R32" i="1"/>
  <c r="R36" i="1" s="1"/>
  <c r="BV32" i="1"/>
  <c r="BV36" i="1" s="1"/>
  <c r="BE32" i="1"/>
  <c r="BE36" i="1" s="1"/>
  <c r="AE32" i="1"/>
  <c r="AE36" i="1" s="1"/>
  <c r="AT32" i="1"/>
  <c r="AT36" i="1" s="1"/>
  <c r="AR32" i="1"/>
  <c r="AR36" i="1" s="1"/>
  <c r="BF32" i="1"/>
  <c r="BF36" i="1" s="1"/>
  <c r="BH32" i="1"/>
  <c r="BH36" i="1" s="1"/>
  <c r="AB32" i="1"/>
  <c r="S32" i="1"/>
  <c r="S36" i="1" s="1"/>
  <c r="AZ32" i="1"/>
  <c r="AZ36" i="1" s="1"/>
  <c r="AU32" i="1"/>
  <c r="AU36" i="1" s="1"/>
  <c r="BM32" i="1"/>
  <c r="BM36" i="1" s="1"/>
  <c r="AY32" i="1"/>
  <c r="AY36" i="1" s="1"/>
  <c r="AJ32" i="1"/>
  <c r="AJ36" i="1" s="1"/>
  <c r="T32" i="1"/>
  <c r="T36" i="1" s="1"/>
  <c r="BX32" i="1"/>
  <c r="BX36" i="1" s="1"/>
  <c r="U32" i="1"/>
  <c r="U36" i="1" s="1"/>
  <c r="P32" i="1"/>
  <c r="P36" i="1" s="1"/>
  <c r="BL32" i="1"/>
  <c r="BL36" i="1" s="1"/>
  <c r="BW32" i="1"/>
  <c r="BW36" i="1" s="1"/>
  <c r="Y32" i="1"/>
  <c r="Y36" i="1" s="1"/>
  <c r="BJ32" i="1"/>
  <c r="BJ36" i="1" s="1"/>
  <c r="AK32" i="1"/>
  <c r="AK36" i="1" s="1"/>
  <c r="CC32" i="1"/>
  <c r="CC36" i="1" s="1"/>
  <c r="N32" i="1"/>
  <c r="BD32" i="1"/>
  <c r="O32" i="1"/>
  <c r="O36" i="1" s="1"/>
  <c r="AW32" i="1"/>
  <c r="AW36" i="1" s="1"/>
  <c r="CB32" i="1"/>
  <c r="CB36" i="1" s="1"/>
  <c r="AH32" i="1"/>
  <c r="AH36" i="1" s="1"/>
  <c r="AI32" i="1"/>
  <c r="AI36" i="1" s="1"/>
  <c r="V32" i="1"/>
  <c r="V36" i="1" s="1"/>
  <c r="AG32" i="1"/>
  <c r="AG36" i="1" s="1"/>
  <c r="AP32" i="1"/>
  <c r="AQ32" i="1"/>
  <c r="AQ36" i="1" s="1"/>
  <c r="W32" i="1"/>
  <c r="W36" i="1" s="1"/>
  <c r="AS32" i="1"/>
  <c r="AS36" i="1" s="1"/>
  <c r="BO32" i="1"/>
  <c r="BO36" i="1" s="1"/>
  <c r="BZ32" i="1"/>
  <c r="BZ36" i="1" s="1"/>
  <c r="AD32" i="1"/>
  <c r="AD36" i="1" s="1"/>
  <c r="BS32" i="1"/>
  <c r="BS36" i="1" s="1"/>
  <c r="BK32" i="1"/>
  <c r="BK36" i="1" s="1"/>
  <c r="Q32" i="1"/>
  <c r="Q36" i="1" s="1"/>
  <c r="BG32" i="1"/>
  <c r="BG36" i="1" s="1"/>
  <c r="AV32" i="1"/>
  <c r="AV36" i="1" s="1"/>
  <c r="BT32" i="1"/>
  <c r="BT36" i="1" s="1"/>
  <c r="BN32" i="1"/>
  <c r="BN36" i="1" s="1"/>
  <c r="BY33" i="1"/>
  <c r="BK33" i="1"/>
  <c r="BF33" i="1"/>
  <c r="AU33" i="1"/>
  <c r="CC33" i="1"/>
  <c r="AH33" i="1"/>
  <c r="N34" i="1"/>
  <c r="BA33" i="1"/>
  <c r="BU33" i="1"/>
  <c r="BI33" i="1"/>
  <c r="X33" i="1"/>
  <c r="W33" i="1"/>
  <c r="AR33" i="1"/>
  <c r="CA33" i="1"/>
  <c r="AY33" i="1"/>
  <c r="BD33" i="1"/>
  <c r="BE33" i="1"/>
  <c r="AZ33" i="1"/>
  <c r="BJ33" i="1"/>
  <c r="S33" i="1"/>
  <c r="BM33" i="1"/>
  <c r="BN33" i="1"/>
  <c r="AT33" i="1"/>
  <c r="AE33" i="1"/>
  <c r="AD33" i="1"/>
  <c r="AB33" i="1"/>
  <c r="BX33" i="1"/>
  <c r="BW33" i="1"/>
  <c r="BR33" i="1"/>
  <c r="AI33" i="1"/>
  <c r="AF33" i="1"/>
  <c r="R33" i="1"/>
  <c r="U33" i="1"/>
  <c r="O33" i="1"/>
  <c r="AM33" i="1"/>
  <c r="V33" i="1"/>
  <c r="AK33" i="1"/>
  <c r="AS33" i="1"/>
  <c r="AQ33" i="1"/>
  <c r="CB33" i="1"/>
  <c r="AX33" i="1"/>
  <c r="BG33" i="1"/>
  <c r="AL33" i="1"/>
  <c r="T33" i="1"/>
  <c r="P33" i="1"/>
  <c r="BS33" i="1"/>
  <c r="AJ33" i="1"/>
  <c r="BV33" i="1"/>
  <c r="BZ33" i="1"/>
  <c r="AP33" i="1"/>
  <c r="BL33" i="1"/>
  <c r="AC33" i="1"/>
  <c r="Q33" i="1"/>
  <c r="N33" i="1"/>
  <c r="BH33" i="1"/>
  <c r="BT33" i="1"/>
  <c r="BO33" i="1"/>
  <c r="AV33" i="1"/>
  <c r="AG33" i="1"/>
  <c r="AW33" i="1"/>
  <c r="Y33" i="1"/>
  <c r="BY31" i="1"/>
  <c r="AU31" i="1"/>
  <c r="BN31" i="1"/>
  <c r="T31" i="1"/>
  <c r="BE31" i="1"/>
  <c r="AC31" i="1"/>
  <c r="AV31" i="1"/>
  <c r="AT31" i="1"/>
  <c r="AJ31" i="1"/>
  <c r="BU31" i="1"/>
  <c r="AS31" i="1"/>
  <c r="AX31" i="1"/>
  <c r="U31" i="1"/>
  <c r="O31" i="1"/>
  <c r="AK31" i="1"/>
  <c r="BV31" i="1"/>
  <c r="BJ31" i="1"/>
  <c r="P31" i="1"/>
  <c r="CB31" i="1"/>
  <c r="BS31" i="1"/>
  <c r="AQ31" i="1"/>
  <c r="BK31" i="1"/>
  <c r="Q31" i="1"/>
  <c r="BW31" i="1"/>
  <c r="BL31" i="1"/>
  <c r="BD31" i="1"/>
  <c r="AB31" i="1"/>
  <c r="R31" i="1"/>
  <c r="BM31" i="1"/>
  <c r="W31" i="1"/>
  <c r="AD31" i="1"/>
  <c r="BX31" i="1"/>
  <c r="AW31" i="1"/>
  <c r="AE31" i="1"/>
  <c r="AZ31" i="1"/>
  <c r="X31" i="1"/>
  <c r="BI31" i="1"/>
  <c r="AF31" i="1"/>
  <c r="BF31" i="1"/>
  <c r="CA31" i="1"/>
  <c r="AG31" i="1"/>
  <c r="Y31" i="1"/>
  <c r="AH31" i="1"/>
  <c r="V31" i="1"/>
  <c r="CC31" i="1"/>
  <c r="S31" i="1"/>
  <c r="AI31" i="1"/>
  <c r="AR31" i="1"/>
  <c r="AY31" i="1"/>
  <c r="BH31" i="1"/>
  <c r="BO31" i="1"/>
  <c r="AM31" i="1"/>
  <c r="N31" i="1"/>
  <c r="BZ31" i="1"/>
  <c r="BR31" i="1"/>
  <c r="AP31" i="1"/>
  <c r="BA31" i="1"/>
  <c r="BG31" i="1"/>
  <c r="AL31" i="1"/>
  <c r="BT31" i="1"/>
  <c r="BZ34" i="1"/>
  <c r="AB34" i="1"/>
  <c r="BD34" i="1"/>
  <c r="BN34" i="1"/>
  <c r="BK34" i="1"/>
  <c r="BJ34" i="1"/>
  <c r="BW34" i="1"/>
  <c r="AL34" i="1"/>
  <c r="AX34" i="1"/>
  <c r="AU34" i="1"/>
  <c r="AT34" i="1"/>
  <c r="BG34" i="1"/>
  <c r="V34" i="1"/>
  <c r="AH34" i="1"/>
  <c r="AE34" i="1"/>
  <c r="AD34" i="1"/>
  <c r="AQ34" i="1"/>
  <c r="BS34" i="1"/>
  <c r="R34" i="1"/>
  <c r="O34" i="1"/>
  <c r="Y34" i="1"/>
  <c r="BA34" i="1"/>
  <c r="CC34" i="1"/>
  <c r="AZ34" i="1"/>
  <c r="BV34" i="1"/>
  <c r="AK34" i="1"/>
  <c r="BM34" i="1"/>
  <c r="BL34" i="1"/>
  <c r="BF34" i="1"/>
  <c r="U34" i="1"/>
  <c r="AW34" i="1"/>
  <c r="BY34" i="1"/>
  <c r="AP34" i="1"/>
  <c r="BR34" i="1"/>
  <c r="AG34" i="1"/>
  <c r="BI34" i="1"/>
  <c r="X34" i="1"/>
  <c r="AJ34" i="1"/>
  <c r="Q34" i="1"/>
  <c r="AS34" i="1"/>
  <c r="BU34" i="1"/>
  <c r="T34" i="1"/>
  <c r="CB34" i="1"/>
  <c r="AC34" i="1"/>
  <c r="BE34" i="1"/>
  <c r="BO34" i="1"/>
  <c r="AV34" i="1"/>
  <c r="BX34" i="1"/>
  <c r="AM34" i="1"/>
  <c r="AY34" i="1"/>
  <c r="AF34" i="1"/>
  <c r="BH34" i="1"/>
  <c r="W34" i="1"/>
  <c r="AI34" i="1"/>
  <c r="P34" i="1"/>
  <c r="AR34" i="1"/>
  <c r="BT34" i="1"/>
  <c r="S34" i="1"/>
  <c r="CA34" i="1"/>
  <c r="AT51" i="1"/>
  <c r="AH50" i="1"/>
  <c r="AJ50" i="1"/>
  <c r="BL51" i="1"/>
  <c r="BL50" i="1"/>
  <c r="BR50" i="1"/>
  <c r="BX51" i="1"/>
  <c r="BZ51" i="1"/>
  <c r="AE51" i="1"/>
  <c r="AQ52" i="1"/>
  <c r="BY52" i="1"/>
  <c r="AG51" i="1"/>
  <c r="BD52" i="1"/>
  <c r="AR52" i="1"/>
  <c r="AR51" i="1"/>
  <c r="AU51" i="1"/>
  <c r="BM51" i="1"/>
  <c r="AF51" i="1"/>
  <c r="AZ53" i="1"/>
  <c r="BN50" i="1"/>
  <c r="BV52" i="1"/>
  <c r="BO50" i="1"/>
  <c r="BW52" i="1"/>
  <c r="BM50" i="1"/>
  <c r="R51" i="1"/>
  <c r="R50" i="1"/>
  <c r="AD52" i="1"/>
  <c r="AJ53" i="1"/>
  <c r="AP50" i="1"/>
  <c r="AP51" i="1"/>
  <c r="AP53" i="1"/>
  <c r="AT52" i="1"/>
  <c r="AV51" i="1"/>
  <c r="AV50" i="1"/>
  <c r="AX50" i="1"/>
  <c r="BD51" i="1"/>
  <c r="BD50" i="1"/>
  <c r="BF53" i="1"/>
  <c r="BF52" i="1"/>
  <c r="BH52" i="1"/>
  <c r="BH51" i="1"/>
  <c r="BJ52" i="1"/>
  <c r="BJ51" i="1"/>
  <c r="BR52" i="1"/>
  <c r="BR51" i="1"/>
  <c r="BR53" i="1"/>
  <c r="BT50" i="1"/>
  <c r="BT53" i="1"/>
  <c r="BT52" i="1"/>
  <c r="BV53" i="1"/>
  <c r="BY51" i="1"/>
  <c r="R53" i="1"/>
  <c r="AK52" i="1"/>
  <c r="AK51" i="1"/>
  <c r="AK53" i="1"/>
  <c r="AY52" i="1"/>
  <c r="AY51" i="1"/>
  <c r="AY50" i="1"/>
  <c r="BM53" i="1"/>
  <c r="BM52" i="1"/>
  <c r="CA50" i="1"/>
  <c r="CA53" i="1"/>
  <c r="CA52" i="1"/>
  <c r="CA51" i="1"/>
  <c r="X51" i="1"/>
  <c r="X50" i="1"/>
  <c r="X53" i="1"/>
  <c r="X52" i="1"/>
  <c r="AL51" i="1"/>
  <c r="AL50" i="1"/>
  <c r="BN51" i="1"/>
  <c r="BN52" i="1"/>
  <c r="BN53" i="1"/>
  <c r="CB53" i="1"/>
  <c r="CB52" i="1"/>
  <c r="Y51" i="1"/>
  <c r="Y50" i="1"/>
  <c r="Y53" i="1"/>
  <c r="Y52" i="1"/>
  <c r="AM51" i="1"/>
  <c r="AM50" i="1"/>
  <c r="BA52" i="1"/>
  <c r="BA51" i="1"/>
  <c r="BA50" i="1"/>
  <c r="BA53" i="1"/>
  <c r="BO51" i="1"/>
  <c r="BO52" i="1"/>
  <c r="BO53" i="1"/>
  <c r="CC53" i="1"/>
  <c r="CC52" i="1"/>
  <c r="O51" i="1"/>
  <c r="Q51" i="1"/>
  <c r="Q50" i="1"/>
  <c r="S50" i="1"/>
  <c r="S53" i="1"/>
  <c r="U53" i="1"/>
  <c r="AC52" i="1"/>
  <c r="AC51" i="1"/>
  <c r="AI53" i="1"/>
  <c r="AI50" i="1"/>
  <c r="AS52" i="1"/>
  <c r="AS51" i="1"/>
  <c r="AW51" i="1"/>
  <c r="AW50" i="1"/>
  <c r="BE53" i="1"/>
  <c r="BE52" i="1"/>
  <c r="BG52" i="1"/>
  <c r="BI52" i="1"/>
  <c r="BI51" i="1"/>
  <c r="BK51" i="1"/>
  <c r="BS53" i="1"/>
  <c r="BS50" i="1"/>
  <c r="BU53" i="1"/>
  <c r="BU52" i="1"/>
  <c r="N53" i="1"/>
  <c r="N50" i="1"/>
  <c r="N52" i="1"/>
  <c r="N51" i="1"/>
  <c r="P51" i="1"/>
  <c r="P50" i="1"/>
  <c r="T50" i="1"/>
  <c r="V53" i="1"/>
  <c r="V52" i="1"/>
  <c r="AB50" i="1"/>
  <c r="AB53" i="1"/>
  <c r="AB52" i="1"/>
  <c r="AB51" i="1"/>
  <c r="AH51" i="1"/>
  <c r="AH53" i="1"/>
  <c r="O50" i="1"/>
  <c r="S51" i="1"/>
  <c r="AC50" i="1"/>
  <c r="AE52" i="1"/>
  <c r="AI51" i="1"/>
  <c r="AQ51" i="1"/>
  <c r="AU52" i="1"/>
  <c r="BE50" i="1"/>
  <c r="BG53" i="1"/>
  <c r="BK52" i="1"/>
  <c r="BS52" i="1"/>
  <c r="BU50" i="1"/>
  <c r="BW53" i="1"/>
  <c r="T53" i="1"/>
  <c r="P52" i="1"/>
  <c r="T51" i="1"/>
  <c r="AD53" i="1"/>
  <c r="AF52" i="1"/>
  <c r="AR50" i="1"/>
  <c r="AV52" i="1"/>
  <c r="BF51" i="1"/>
  <c r="BH53" i="1"/>
  <c r="BT51" i="1"/>
  <c r="BV50" i="1"/>
  <c r="BX53" i="1"/>
  <c r="CB51" i="1"/>
  <c r="AL53" i="1"/>
  <c r="CC50" i="1"/>
  <c r="CC51" i="1"/>
  <c r="AM53" i="1"/>
  <c r="U50" i="1"/>
  <c r="AD51" i="1"/>
  <c r="AX53" i="1"/>
  <c r="V50" i="1"/>
  <c r="AM52" i="1"/>
  <c r="AY53" i="1"/>
  <c r="AF50" i="1"/>
  <c r="AP52" i="1"/>
  <c r="W50" i="1"/>
  <c r="W51" i="1"/>
  <c r="W53" i="1"/>
  <c r="W52" i="1"/>
  <c r="AZ51" i="1"/>
  <c r="AZ52" i="1"/>
  <c r="AZ50" i="1"/>
  <c r="AK50" i="1"/>
  <c r="BX52" i="1"/>
  <c r="CB50" i="1"/>
  <c r="AL52" i="1"/>
  <c r="AG50" i="1"/>
  <c r="BD53" i="1"/>
  <c r="Q53" i="1"/>
  <c r="U51" i="1"/>
  <c r="AE50" i="1"/>
  <c r="AG52" i="1"/>
  <c r="AS53" i="1"/>
  <c r="AW52" i="1"/>
  <c r="BG51" i="1"/>
  <c r="BI53" i="1"/>
  <c r="BU51" i="1"/>
  <c r="BW50" i="1"/>
  <c r="BY53" i="1"/>
  <c r="R52" i="1"/>
  <c r="AF53" i="1"/>
  <c r="AH52" i="1"/>
  <c r="AT53" i="1"/>
  <c r="BH50" i="1"/>
  <c r="BJ53" i="1"/>
  <c r="BV51" i="1"/>
  <c r="BX50" i="1"/>
  <c r="S52" i="1"/>
  <c r="AG53" i="1"/>
  <c r="AI52" i="1"/>
  <c r="AU50" i="1"/>
  <c r="BI50" i="1"/>
  <c r="BK53" i="1"/>
  <c r="BW51" i="1"/>
  <c r="BY50" i="1"/>
  <c r="T52" i="1"/>
  <c r="AV53" i="1"/>
  <c r="BJ50" i="1"/>
  <c r="U52" i="1"/>
  <c r="AW53" i="1"/>
  <c r="BK50" i="1"/>
  <c r="V51" i="1"/>
  <c r="AJ52" i="1"/>
  <c r="AJ51" i="1"/>
  <c r="AX52" i="1"/>
  <c r="AX51" i="1"/>
  <c r="BL52" i="1"/>
  <c r="BL53" i="1"/>
  <c r="BZ50" i="1"/>
  <c r="BZ53" i="1"/>
  <c r="BZ52" i="1"/>
  <c r="O52" i="1"/>
  <c r="AQ53" i="1"/>
  <c r="BF50" i="1"/>
  <c r="AR53" i="1"/>
  <c r="AQ50" i="1"/>
  <c r="BG50" i="1"/>
  <c r="BS51" i="1"/>
  <c r="Q52" i="1"/>
  <c r="AC53" i="1"/>
  <c r="AS50" i="1"/>
  <c r="BE51" i="1"/>
  <c r="O53" i="1"/>
  <c r="AE53" i="1"/>
  <c r="AU53" i="1"/>
  <c r="AD50" i="1"/>
  <c r="AT50" i="1"/>
  <c r="P53" i="1"/>
  <c r="F76" i="1"/>
  <c r="AZ63" i="1"/>
  <c r="AL63" i="1"/>
  <c r="BA63" i="1"/>
  <c r="BD63" i="1"/>
  <c r="BR63" i="1"/>
  <c r="BS63" i="1"/>
  <c r="BT63" i="1"/>
  <c r="W63" i="1"/>
  <c r="X63" i="1"/>
  <c r="Y63" i="1"/>
  <c r="AJ63" i="1"/>
  <c r="AK63" i="1"/>
  <c r="AM63" i="1"/>
  <c r="BE63" i="1"/>
  <c r="BU63" i="1"/>
  <c r="C63" i="1"/>
  <c r="AP63" i="1"/>
  <c r="BF63" i="1"/>
  <c r="BV63" i="1"/>
  <c r="N63" i="1"/>
  <c r="AQ63" i="1"/>
  <c r="BG63" i="1"/>
  <c r="BW63" i="1"/>
  <c r="O63" i="1"/>
  <c r="AB63" i="1"/>
  <c r="AR63" i="1"/>
  <c r="BH63" i="1"/>
  <c r="BX63" i="1"/>
  <c r="P63" i="1"/>
  <c r="AC63" i="1"/>
  <c r="AS63" i="1"/>
  <c r="BI63" i="1"/>
  <c r="BY63" i="1"/>
  <c r="Q63" i="1"/>
  <c r="AD63" i="1"/>
  <c r="AT63" i="1"/>
  <c r="BJ63" i="1"/>
  <c r="BZ63" i="1"/>
  <c r="R63" i="1"/>
  <c r="AE63" i="1"/>
  <c r="AU63" i="1"/>
  <c r="BK63" i="1"/>
  <c r="CA63" i="1"/>
  <c r="S63" i="1"/>
  <c r="AF63" i="1"/>
  <c r="AV63" i="1"/>
  <c r="BL63" i="1"/>
  <c r="CB63" i="1"/>
  <c r="T63" i="1"/>
  <c r="AG63" i="1"/>
  <c r="AW63" i="1"/>
  <c r="BM63" i="1"/>
  <c r="CC63" i="1"/>
  <c r="U63" i="1"/>
  <c r="AH63" i="1"/>
  <c r="AX63" i="1"/>
  <c r="BN63" i="1"/>
  <c r="V63" i="1"/>
  <c r="AI63" i="1"/>
  <c r="AY63" i="1"/>
  <c r="O64" i="1"/>
  <c r="AE64" i="1"/>
  <c r="AU64" i="1"/>
  <c r="BK64" i="1"/>
  <c r="CA64" i="1"/>
  <c r="P64" i="1"/>
  <c r="AF64" i="1"/>
  <c r="AV64" i="1"/>
  <c r="BL64" i="1"/>
  <c r="CB64" i="1"/>
  <c r="Q64" i="1"/>
  <c r="AG64" i="1"/>
  <c r="AW64" i="1"/>
  <c r="BM64" i="1"/>
  <c r="CC64" i="1"/>
  <c r="R64" i="1"/>
  <c r="AH64" i="1"/>
  <c r="AX64" i="1"/>
  <c r="BN64" i="1"/>
  <c r="S64" i="1"/>
  <c r="AI64" i="1"/>
  <c r="AY64" i="1"/>
  <c r="BO64" i="1"/>
  <c r="T64" i="1"/>
  <c r="AJ64" i="1"/>
  <c r="AZ64" i="1"/>
  <c r="BR64" i="1"/>
  <c r="U64" i="1"/>
  <c r="AK64" i="1"/>
  <c r="BA64" i="1"/>
  <c r="BS64" i="1"/>
  <c r="V64" i="1"/>
  <c r="AL64" i="1"/>
  <c r="BD64" i="1"/>
  <c r="BT64" i="1"/>
  <c r="W64" i="1"/>
  <c r="AM64" i="1"/>
  <c r="BE64" i="1"/>
  <c r="BU64" i="1"/>
  <c r="X64" i="1"/>
  <c r="AP64" i="1"/>
  <c r="BF64" i="1"/>
  <c r="J44" i="1"/>
  <c r="J45" i="1"/>
  <c r="J46" i="1"/>
  <c r="G43" i="1"/>
  <c r="F46" i="1"/>
  <c r="G45" i="1"/>
  <c r="I44" i="1"/>
  <c r="J43" i="1"/>
  <c r="I47" i="1"/>
  <c r="H44" i="1"/>
  <c r="H45" i="1"/>
  <c r="H46" i="1"/>
  <c r="I43" i="1"/>
  <c r="J47" i="1"/>
  <c r="G44" i="1"/>
  <c r="G46" i="1"/>
  <c r="H43" i="1"/>
  <c r="F45" i="1"/>
  <c r="F44" i="1"/>
  <c r="H47" i="1"/>
  <c r="G47" i="1"/>
  <c r="I46" i="1"/>
  <c r="F43" i="1"/>
  <c r="F47" i="1"/>
  <c r="I45" i="1"/>
  <c r="G60" i="1"/>
  <c r="F62" i="1"/>
  <c r="G40" i="1"/>
  <c r="G56" i="1"/>
  <c r="F40" i="1"/>
  <c r="H56" i="1"/>
  <c r="I56" i="1"/>
  <c r="J56" i="1"/>
  <c r="F59" i="1"/>
  <c r="G59" i="1"/>
  <c r="J59" i="1"/>
  <c r="F60" i="1"/>
  <c r="G62" i="1"/>
  <c r="H62" i="1"/>
  <c r="I62" i="1"/>
  <c r="J62" i="1"/>
  <c r="I59" i="1"/>
  <c r="H40" i="1"/>
  <c r="I40" i="1"/>
  <c r="F56" i="1"/>
  <c r="H59" i="1"/>
  <c r="J60" i="1"/>
  <c r="J40" i="1"/>
  <c r="I60" i="1"/>
  <c r="H60" i="1"/>
  <c r="D26" i="3"/>
  <c r="AP36" i="1" l="1"/>
  <c r="H32" i="1"/>
  <c r="BR36" i="1"/>
  <c r="J32" i="1"/>
  <c r="G98" i="1"/>
  <c r="BD36" i="1"/>
  <c r="I32" i="1"/>
  <c r="N36" i="1"/>
  <c r="F32" i="1"/>
  <c r="AB36" i="1"/>
  <c r="G32" i="1"/>
  <c r="N73" i="1"/>
  <c r="I33" i="1"/>
  <c r="J33" i="1"/>
  <c r="F33" i="1"/>
  <c r="G33" i="1"/>
  <c r="H33" i="1"/>
  <c r="AY73" i="1"/>
  <c r="BI73" i="1"/>
  <c r="BA73" i="1"/>
  <c r="AX73" i="1"/>
  <c r="AF73" i="1"/>
  <c r="X73" i="1"/>
  <c r="CC73" i="1"/>
  <c r="AU73" i="1"/>
  <c r="AM73" i="1"/>
  <c r="AG73" i="1"/>
  <c r="Y73" i="1"/>
  <c r="AL73" i="1"/>
  <c r="BX73" i="1"/>
  <c r="BW73" i="1"/>
  <c r="AV73" i="1"/>
  <c r="AP73" i="1"/>
  <c r="O73" i="1"/>
  <c r="BJ73" i="1"/>
  <c r="BO73" i="1"/>
  <c r="BY73" i="1"/>
  <c r="R73" i="1"/>
  <c r="BK73" i="1"/>
  <c r="CA73" i="1"/>
  <c r="BE73" i="1"/>
  <c r="AW73" i="1"/>
  <c r="BS73" i="1"/>
  <c r="BN73" i="1"/>
  <c r="S73" i="1"/>
  <c r="AC73" i="1"/>
  <c r="U73" i="1"/>
  <c r="AQ73" i="1"/>
  <c r="BD73" i="1"/>
  <c r="BT73" i="1"/>
  <c r="CB73" i="1"/>
  <c r="BF73" i="1"/>
  <c r="AD73" i="1"/>
  <c r="AB73" i="1"/>
  <c r="AR73" i="1"/>
  <c r="T73" i="1"/>
  <c r="BL73" i="1"/>
  <c r="AE73" i="1"/>
  <c r="BZ73" i="1"/>
  <c r="P73" i="1"/>
  <c r="BU73" i="1"/>
  <c r="BM73" i="1"/>
  <c r="AH73" i="1"/>
  <c r="BR73" i="1"/>
  <c r="AI73" i="1"/>
  <c r="AS73" i="1"/>
  <c r="AK73" i="1"/>
  <c r="V73" i="1"/>
  <c r="W73" i="1"/>
  <c r="Q73" i="1"/>
  <c r="BV73" i="1"/>
  <c r="BG73" i="1"/>
  <c r="BH73" i="1"/>
  <c r="AJ73" i="1"/>
  <c r="AZ73" i="1"/>
  <c r="AT73" i="1"/>
  <c r="AP67" i="1"/>
  <c r="AP69" i="1"/>
  <c r="AP71" i="1"/>
  <c r="AP68" i="1"/>
  <c r="AP70" i="1"/>
  <c r="Y69" i="1"/>
  <c r="Y71" i="1"/>
  <c r="Y67" i="1"/>
  <c r="Y70" i="1"/>
  <c r="Y68" i="1"/>
  <c r="R67" i="1"/>
  <c r="R70" i="1"/>
  <c r="R71" i="1"/>
  <c r="R68" i="1"/>
  <c r="R69" i="1"/>
  <c r="O71" i="1"/>
  <c r="O67" i="1"/>
  <c r="O68" i="1"/>
  <c r="O70" i="1"/>
  <c r="O69" i="1"/>
  <c r="BR71" i="1"/>
  <c r="BR67" i="1"/>
  <c r="BR69" i="1"/>
  <c r="BR68" i="1"/>
  <c r="BR70" i="1"/>
  <c r="AG68" i="1"/>
  <c r="AG69" i="1"/>
  <c r="AG67" i="1"/>
  <c r="AG71" i="1"/>
  <c r="AG70" i="1"/>
  <c r="AB69" i="1"/>
  <c r="AB67" i="1"/>
  <c r="AB71" i="1"/>
  <c r="AB68" i="1"/>
  <c r="AB70" i="1"/>
  <c r="U69" i="1"/>
  <c r="U68" i="1"/>
  <c r="U67" i="1"/>
  <c r="U70" i="1"/>
  <c r="U71" i="1"/>
  <c r="CA70" i="1"/>
  <c r="CA67" i="1"/>
  <c r="CA71" i="1"/>
  <c r="CA68" i="1"/>
  <c r="CA69" i="1"/>
  <c r="BL71" i="1"/>
  <c r="BL70" i="1"/>
  <c r="BL69" i="1"/>
  <c r="BL67" i="1"/>
  <c r="BL68" i="1"/>
  <c r="AF67" i="1"/>
  <c r="AF69" i="1"/>
  <c r="AF71" i="1"/>
  <c r="AF68" i="1"/>
  <c r="AF70" i="1"/>
  <c r="BO71" i="1"/>
  <c r="BO67" i="1"/>
  <c r="BO68" i="1"/>
  <c r="BO69" i="1"/>
  <c r="BO70" i="1"/>
  <c r="BI70" i="1"/>
  <c r="BI69" i="1"/>
  <c r="BI68" i="1"/>
  <c r="BI67" i="1"/>
  <c r="BI71" i="1"/>
  <c r="Q71" i="1"/>
  <c r="Q68" i="1"/>
  <c r="Q69" i="1"/>
  <c r="Q70" i="1"/>
  <c r="Q67" i="1"/>
  <c r="AJ69" i="1"/>
  <c r="AJ68" i="1"/>
  <c r="AJ67" i="1"/>
  <c r="AJ71" i="1"/>
  <c r="AJ70" i="1"/>
  <c r="BH67" i="1"/>
  <c r="BH71" i="1"/>
  <c r="BH68" i="1"/>
  <c r="BH69" i="1"/>
  <c r="BH70" i="1"/>
  <c r="X68" i="1"/>
  <c r="X69" i="1"/>
  <c r="X67" i="1"/>
  <c r="X71" i="1"/>
  <c r="X70" i="1"/>
  <c r="BK67" i="1"/>
  <c r="BK71" i="1"/>
  <c r="BK68" i="1"/>
  <c r="BK69" i="1"/>
  <c r="BK70" i="1"/>
  <c r="AT70" i="1"/>
  <c r="AT67" i="1"/>
  <c r="AT69" i="1"/>
  <c r="AT71" i="1"/>
  <c r="AT68" i="1"/>
  <c r="BD68" i="1"/>
  <c r="BD70" i="1"/>
  <c r="BD67" i="1"/>
  <c r="BD71" i="1"/>
  <c r="BD69" i="1"/>
  <c r="F34" i="1"/>
  <c r="N71" i="1"/>
  <c r="N70" i="1"/>
  <c r="N67" i="1"/>
  <c r="N68" i="1"/>
  <c r="N69" i="1"/>
  <c r="BF69" i="1"/>
  <c r="BF71" i="1"/>
  <c r="BF67" i="1"/>
  <c r="BF70" i="1"/>
  <c r="BF68" i="1"/>
  <c r="BW70" i="1"/>
  <c r="BW68" i="1"/>
  <c r="BW71" i="1"/>
  <c r="BW69" i="1"/>
  <c r="BW67" i="1"/>
  <c r="AQ71" i="1"/>
  <c r="AQ70" i="1"/>
  <c r="AQ69" i="1"/>
  <c r="AQ68" i="1"/>
  <c r="AQ67" i="1"/>
  <c r="CB67" i="1"/>
  <c r="CB68" i="1"/>
  <c r="CB69" i="1"/>
  <c r="CB71" i="1"/>
  <c r="CB70" i="1"/>
  <c r="AL69" i="1"/>
  <c r="AL70" i="1"/>
  <c r="AL67" i="1"/>
  <c r="AL68" i="1"/>
  <c r="AL71" i="1"/>
  <c r="CC68" i="1"/>
  <c r="CC69" i="1"/>
  <c r="CC71" i="1"/>
  <c r="CC70" i="1"/>
  <c r="CC67" i="1"/>
  <c r="AD69" i="1"/>
  <c r="AD67" i="1"/>
  <c r="AD68" i="1"/>
  <c r="AD70" i="1"/>
  <c r="AD71" i="1"/>
  <c r="BJ69" i="1"/>
  <c r="BJ67" i="1"/>
  <c r="BJ70" i="1"/>
  <c r="BJ68" i="1"/>
  <c r="BJ71" i="1"/>
  <c r="BN70" i="1"/>
  <c r="BN67" i="1"/>
  <c r="BN71" i="1"/>
  <c r="BN69" i="1"/>
  <c r="BN68" i="1"/>
  <c r="BZ69" i="1"/>
  <c r="BZ67" i="1"/>
  <c r="BZ71" i="1"/>
  <c r="BZ68" i="1"/>
  <c r="BZ70" i="1"/>
  <c r="AX69" i="1"/>
  <c r="AX68" i="1"/>
  <c r="AX71" i="1"/>
  <c r="AX67" i="1"/>
  <c r="AX70" i="1"/>
  <c r="AS67" i="1"/>
  <c r="AS71" i="1"/>
  <c r="AS68" i="1"/>
  <c r="AS69" i="1"/>
  <c r="AS70" i="1"/>
  <c r="AM67" i="1"/>
  <c r="AM68" i="1"/>
  <c r="AM70" i="1"/>
  <c r="AM71" i="1"/>
  <c r="AM69" i="1"/>
  <c r="BU69" i="1"/>
  <c r="BU67" i="1"/>
  <c r="BU68" i="1"/>
  <c r="BU71" i="1"/>
  <c r="BU70" i="1"/>
  <c r="AY70" i="1"/>
  <c r="AY69" i="1"/>
  <c r="AY67" i="1"/>
  <c r="AY68" i="1"/>
  <c r="AY71" i="1"/>
  <c r="AZ70" i="1"/>
  <c r="AZ69" i="1"/>
  <c r="AZ71" i="1"/>
  <c r="AZ68" i="1"/>
  <c r="AZ67" i="1"/>
  <c r="AV69" i="1"/>
  <c r="AV71" i="1"/>
  <c r="AV70" i="1"/>
  <c r="AV68" i="1"/>
  <c r="AV67" i="1"/>
  <c r="AR70" i="1"/>
  <c r="AR71" i="1"/>
  <c r="AR69" i="1"/>
  <c r="AR67" i="1"/>
  <c r="AR68" i="1"/>
  <c r="AE71" i="1"/>
  <c r="AE69" i="1"/>
  <c r="AE70" i="1"/>
  <c r="AE68" i="1"/>
  <c r="AE67" i="1"/>
  <c r="BS68" i="1"/>
  <c r="BS71" i="1"/>
  <c r="BS67" i="1"/>
  <c r="BS69" i="1"/>
  <c r="BS70" i="1"/>
  <c r="AC69" i="1"/>
  <c r="AC71" i="1"/>
  <c r="AC68" i="1"/>
  <c r="AC67" i="1"/>
  <c r="AC70" i="1"/>
  <c r="AI68" i="1"/>
  <c r="AI71" i="1"/>
  <c r="AI70" i="1"/>
  <c r="AI69" i="1"/>
  <c r="AI67" i="1"/>
  <c r="AW69" i="1"/>
  <c r="AW70" i="1"/>
  <c r="AW67" i="1"/>
  <c r="AW68" i="1"/>
  <c r="AW71" i="1"/>
  <c r="BE69" i="1"/>
  <c r="BE71" i="1"/>
  <c r="BE70" i="1"/>
  <c r="BE67" i="1"/>
  <c r="BE68" i="1"/>
  <c r="BT71" i="1"/>
  <c r="BT67" i="1"/>
  <c r="BT68" i="1"/>
  <c r="BT70" i="1"/>
  <c r="BT69" i="1"/>
  <c r="S71" i="1"/>
  <c r="S70" i="1"/>
  <c r="S67" i="1"/>
  <c r="S69" i="1"/>
  <c r="S68" i="1"/>
  <c r="BX69" i="1"/>
  <c r="BX70" i="1"/>
  <c r="BX71" i="1"/>
  <c r="BX67" i="1"/>
  <c r="BX68" i="1"/>
  <c r="P67" i="1"/>
  <c r="P71" i="1"/>
  <c r="P68" i="1"/>
  <c r="P70" i="1"/>
  <c r="P69" i="1"/>
  <c r="T69" i="1"/>
  <c r="T70" i="1"/>
  <c r="T67" i="1"/>
  <c r="T68" i="1"/>
  <c r="T71" i="1"/>
  <c r="BG68" i="1"/>
  <c r="BG67" i="1"/>
  <c r="BG71" i="1"/>
  <c r="BG70" i="1"/>
  <c r="BG69" i="1"/>
  <c r="V69" i="1"/>
  <c r="V68" i="1"/>
  <c r="V70" i="1"/>
  <c r="V71" i="1"/>
  <c r="V67" i="1"/>
  <c r="W68" i="1"/>
  <c r="W70" i="1"/>
  <c r="W69" i="1"/>
  <c r="W67" i="1"/>
  <c r="W71" i="1"/>
  <c r="BV67" i="1"/>
  <c r="BV69" i="1"/>
  <c r="BV70" i="1"/>
  <c r="BV68" i="1"/>
  <c r="BV71" i="1"/>
  <c r="AU71" i="1"/>
  <c r="AU67" i="1"/>
  <c r="AU70" i="1"/>
  <c r="AU68" i="1"/>
  <c r="AU69" i="1"/>
  <c r="BA70" i="1"/>
  <c r="BA67" i="1"/>
  <c r="BA69" i="1"/>
  <c r="BA68" i="1"/>
  <c r="BA71" i="1"/>
  <c r="AH70" i="1"/>
  <c r="AH67" i="1"/>
  <c r="AH69" i="1"/>
  <c r="AH71" i="1"/>
  <c r="AH68" i="1"/>
  <c r="BM70" i="1"/>
  <c r="BM71" i="1"/>
  <c r="BM69" i="1"/>
  <c r="BM68" i="1"/>
  <c r="BM67" i="1"/>
  <c r="AK70" i="1"/>
  <c r="AK71" i="1"/>
  <c r="AK69" i="1"/>
  <c r="AK67" i="1"/>
  <c r="AK68" i="1"/>
  <c r="BY67" i="1"/>
  <c r="BY69" i="1"/>
  <c r="BY70" i="1"/>
  <c r="BY68" i="1"/>
  <c r="BY71" i="1"/>
  <c r="F31" i="1"/>
  <c r="J63" i="1"/>
  <c r="I63" i="1"/>
  <c r="F63" i="1"/>
  <c r="I64" i="1"/>
  <c r="H63" i="1"/>
  <c r="G63" i="1"/>
  <c r="F64" i="1"/>
  <c r="H64" i="1"/>
  <c r="J64" i="1"/>
  <c r="G64" i="1"/>
  <c r="F22" i="3"/>
  <c r="E22" i="3"/>
  <c r="D22" i="3"/>
  <c r="F20" i="3"/>
  <c r="E20" i="3"/>
  <c r="D20" i="3"/>
  <c r="D16" i="3"/>
  <c r="F15" i="3"/>
  <c r="E15" i="3"/>
  <c r="D15" i="3"/>
  <c r="B8" i="3"/>
  <c r="H25" i="3" s="1"/>
  <c r="J75" i="1" s="1"/>
  <c r="D6" i="3"/>
  <c r="B6" i="3"/>
  <c r="E18" i="3"/>
  <c r="F18" i="3" s="1"/>
  <c r="D13" i="3"/>
  <c r="J73" i="1" l="1"/>
  <c r="I73" i="1"/>
  <c r="G73" i="1"/>
  <c r="H73" i="1"/>
  <c r="F73" i="1"/>
  <c r="F36" i="1"/>
  <c r="D19" i="3"/>
  <c r="D17" i="3"/>
  <c r="B5" i="3"/>
  <c r="D28" i="3" s="1"/>
  <c r="D25" i="3"/>
  <c r="F16" i="3"/>
  <c r="F17" i="3" s="1"/>
  <c r="E16" i="3"/>
  <c r="E17" i="3" s="1"/>
  <c r="B4" i="3"/>
  <c r="D4" i="3" s="1"/>
  <c r="E21" i="3"/>
  <c r="J79" i="1" l="1"/>
  <c r="E95" i="1" s="1"/>
  <c r="F19" i="3"/>
  <c r="E19" i="3"/>
  <c r="G25" i="3"/>
  <c r="AM19" i="1"/>
  <c r="BA19" i="1" s="1"/>
  <c r="BO19" i="1" s="1"/>
  <c r="CC19" i="1" s="1"/>
  <c r="AL19" i="1"/>
  <c r="AZ19" i="1" s="1"/>
  <c r="BN19" i="1" s="1"/>
  <c r="CB19" i="1" s="1"/>
  <c r="AK19" i="1"/>
  <c r="AY19" i="1" s="1"/>
  <c r="BM19" i="1" s="1"/>
  <c r="CA19" i="1" s="1"/>
  <c r="AJ19" i="1"/>
  <c r="AX19" i="1" s="1"/>
  <c r="BL19" i="1" s="1"/>
  <c r="BZ19" i="1" s="1"/>
  <c r="AI19" i="1"/>
  <c r="AW19" i="1" s="1"/>
  <c r="BK19" i="1" s="1"/>
  <c r="BY19" i="1" s="1"/>
  <c r="AH19" i="1"/>
  <c r="AV19" i="1" s="1"/>
  <c r="BJ19" i="1" s="1"/>
  <c r="BX19" i="1" s="1"/>
  <c r="AG19" i="1"/>
  <c r="AU19" i="1" s="1"/>
  <c r="BI19" i="1" s="1"/>
  <c r="BW19" i="1" s="1"/>
  <c r="AF19" i="1"/>
  <c r="AT19" i="1" s="1"/>
  <c r="BH19" i="1" s="1"/>
  <c r="BV19" i="1" s="1"/>
  <c r="AE19" i="1"/>
  <c r="AS19" i="1" s="1"/>
  <c r="BG19" i="1" s="1"/>
  <c r="BU19" i="1" s="1"/>
  <c r="AD19" i="1"/>
  <c r="AR19" i="1" s="1"/>
  <c r="BF19" i="1" s="1"/>
  <c r="BT19" i="1" s="1"/>
  <c r="AC19" i="1"/>
  <c r="AQ19" i="1" s="1"/>
  <c r="BE19" i="1" s="1"/>
  <c r="BS19" i="1" s="1"/>
  <c r="AB19" i="1"/>
  <c r="AP19" i="1" s="1"/>
  <c r="BD19" i="1" s="1"/>
  <c r="BR19" i="1" s="1"/>
  <c r="AB18" i="1"/>
  <c r="AC18" i="1" s="1"/>
  <c r="AD18" i="1" s="1"/>
  <c r="AE18" i="1" s="1"/>
  <c r="AF18" i="1" s="1"/>
  <c r="AG18" i="1" s="1"/>
  <c r="AH18" i="1" s="1"/>
  <c r="AI18" i="1" s="1"/>
  <c r="AJ18" i="1" s="1"/>
  <c r="AK18" i="1" s="1"/>
  <c r="AL18" i="1" s="1"/>
  <c r="AM18" i="1" s="1"/>
  <c r="O18" i="1"/>
  <c r="P18" i="1" s="1"/>
  <c r="Q18" i="1" s="1"/>
  <c r="R18" i="1" s="1"/>
  <c r="S18" i="1" s="1"/>
  <c r="T18" i="1" s="1"/>
  <c r="U18" i="1" s="1"/>
  <c r="V18" i="1" s="1"/>
  <c r="W18" i="1" s="1"/>
  <c r="X18" i="1" s="1"/>
  <c r="Y18" i="1" s="1"/>
  <c r="C56" i="1"/>
  <c r="C62" i="1"/>
  <c r="C59" i="1"/>
  <c r="C40" i="1"/>
  <c r="E574" i="2" s="1"/>
  <c r="E571" i="2" s="1"/>
  <c r="E572" i="2" s="1"/>
  <c r="D31" i="3" s="1"/>
  <c r="B5" i="1"/>
  <c r="B4" i="1"/>
  <c r="C4" i="1" s="1"/>
  <c r="G31" i="1" l="1"/>
  <c r="O81" i="1"/>
  <c r="D30" i="3"/>
  <c r="D32" i="3"/>
  <c r="D33" i="3"/>
  <c r="AP18" i="1"/>
  <c r="AQ18" i="1" s="1"/>
  <c r="AR18" i="1" s="1"/>
  <c r="AS18" i="1" s="1"/>
  <c r="AT18" i="1" s="1"/>
  <c r="AU18" i="1" s="1"/>
  <c r="AV18" i="1" s="1"/>
  <c r="AW18" i="1" s="1"/>
  <c r="AX18" i="1" s="1"/>
  <c r="AY18" i="1" s="1"/>
  <c r="AZ18" i="1" s="1"/>
  <c r="BA18" i="1" s="1"/>
  <c r="H30" i="3" l="1"/>
  <c r="D35" i="3"/>
  <c r="AI81" i="1"/>
  <c r="AK81" i="1"/>
  <c r="AE81" i="1"/>
  <c r="V81" i="1"/>
  <c r="AD81" i="1"/>
  <c r="P81" i="1"/>
  <c r="U81" i="1"/>
  <c r="N81" i="1"/>
  <c r="T81" i="1"/>
  <c r="S81" i="1"/>
  <c r="R81" i="1"/>
  <c r="Q81" i="1"/>
  <c r="AM81" i="1"/>
  <c r="AL81" i="1"/>
  <c r="AC81" i="1"/>
  <c r="AB81" i="1"/>
  <c r="AF81" i="1"/>
  <c r="AJ81" i="1"/>
  <c r="AH81" i="1"/>
  <c r="AG81" i="1"/>
  <c r="G34" i="1"/>
  <c r="BD18" i="1"/>
  <c r="BE18" i="1" s="1"/>
  <c r="BF18" i="1" s="1"/>
  <c r="BG18" i="1" s="1"/>
  <c r="BH18" i="1" s="1"/>
  <c r="BI18" i="1" s="1"/>
  <c r="BJ18" i="1" s="1"/>
  <c r="BK18" i="1" s="1"/>
  <c r="BL18" i="1" s="1"/>
  <c r="BM18" i="1" s="1"/>
  <c r="BN18" i="1" s="1"/>
  <c r="BO18" i="1" s="1"/>
  <c r="G36" i="1" l="1"/>
  <c r="G81" i="1" s="1"/>
  <c r="H31" i="1"/>
  <c r="AQ81" i="1"/>
  <c r="I31" i="1"/>
  <c r="W81" i="1"/>
  <c r="AT81" i="1"/>
  <c r="AU81" i="1"/>
  <c r="AX81" i="1"/>
  <c r="AY81" i="1"/>
  <c r="AV81" i="1"/>
  <c r="AW81" i="1"/>
  <c r="AR81" i="1"/>
  <c r="AP81" i="1"/>
  <c r="BA81" i="1"/>
  <c r="BF81" i="1"/>
  <c r="H34" i="1"/>
  <c r="BR18" i="1"/>
  <c r="BS18" i="1" s="1"/>
  <c r="BT18" i="1" s="1"/>
  <c r="BU18" i="1" s="1"/>
  <c r="BV18" i="1" s="1"/>
  <c r="BW18" i="1" s="1"/>
  <c r="BX18" i="1" s="1"/>
  <c r="BY18" i="1" s="1"/>
  <c r="BZ18" i="1" s="1"/>
  <c r="CA18" i="1" s="1"/>
  <c r="CB18" i="1" s="1"/>
  <c r="CC18" i="1" s="1"/>
  <c r="H36" i="1" l="1"/>
  <c r="H81" i="1" s="1"/>
  <c r="BG81" i="1"/>
  <c r="BN81" i="1"/>
  <c r="X81" i="1"/>
  <c r="BI81" i="1"/>
  <c r="BK81" i="1"/>
  <c r="BD81" i="1"/>
  <c r="BJ81" i="1"/>
  <c r="AS81" i="1"/>
  <c r="BL81" i="1"/>
  <c r="BO81" i="1"/>
  <c r="AZ81" i="1"/>
  <c r="BM81" i="1"/>
  <c r="BT81" i="1"/>
  <c r="BE81" i="1"/>
  <c r="BH81" i="1"/>
  <c r="I34" i="1"/>
  <c r="I36" i="1" l="1"/>
  <c r="I81" i="1" s="1"/>
  <c r="J31" i="1"/>
  <c r="BU81" i="1"/>
  <c r="BZ81" i="1"/>
  <c r="BR81" i="1"/>
  <c r="BS81" i="1"/>
  <c r="Y81" i="1"/>
  <c r="CB81" i="1"/>
  <c r="CA81" i="1"/>
  <c r="CC81" i="1"/>
  <c r="BW81" i="1"/>
  <c r="BX81" i="1"/>
  <c r="BY81" i="1"/>
  <c r="J34" i="1"/>
  <c r="J36" i="1" l="1"/>
  <c r="J81" i="1" s="1"/>
  <c r="BV81" i="1"/>
  <c r="E75" i="1"/>
  <c r="E85" i="1" s="1"/>
  <c r="F50" i="1"/>
  <c r="J50" i="1"/>
  <c r="I50" i="1"/>
  <c r="H50" i="1"/>
  <c r="G50" i="1"/>
  <c r="H51" i="1"/>
  <c r="G51" i="1"/>
  <c r="I51" i="1"/>
  <c r="J51" i="1"/>
  <c r="H52" i="1"/>
  <c r="I53" i="1"/>
  <c r="F53" i="1"/>
  <c r="G52" i="1"/>
  <c r="J52" i="1"/>
  <c r="F51" i="1"/>
  <c r="H53" i="1"/>
  <c r="F52" i="1"/>
  <c r="I52" i="1"/>
  <c r="G53" i="1"/>
  <c r="J53" i="1"/>
  <c r="E86" i="1" l="1"/>
  <c r="F81" i="1"/>
  <c r="E100" i="1" l="1"/>
  <c r="F100" i="1" s="1"/>
  <c r="G100" i="1" s="1"/>
  <c r="E101" i="1" l="1"/>
  <c r="F101" i="1"/>
  <c r="G101" i="1"/>
  <c r="H100" i="1"/>
  <c r="I100" i="1" l="1"/>
  <c r="H101" i="1"/>
  <c r="I101" i="1" l="1"/>
  <c r="J100" i="1"/>
  <c r="J101" i="1" s="1"/>
  <c r="B101" i="1" l="1"/>
  <c r="N66" i="1" l="1"/>
  <c r="N85" i="1" s="1"/>
  <c r="BV66" i="1"/>
  <c r="BV85" i="1" s="1"/>
  <c r="BU66" i="1"/>
  <c r="BU85" i="1" s="1"/>
  <c r="Y66" i="1"/>
  <c r="Y85" i="1" s="1"/>
  <c r="CB66" i="1"/>
  <c r="CB85" i="1" s="1"/>
  <c r="BW66" i="1"/>
  <c r="BW85" i="1" s="1"/>
  <c r="BZ66" i="1"/>
  <c r="BZ85" i="1" s="1"/>
  <c r="BS66" i="1"/>
  <c r="BS85" i="1" s="1"/>
  <c r="CA66" i="1"/>
  <c r="CA85" i="1" s="1"/>
  <c r="CC66" i="1"/>
  <c r="CC85" i="1" s="1"/>
  <c r="BX66" i="1"/>
  <c r="BX85" i="1" s="1"/>
  <c r="BY66" i="1"/>
  <c r="BY85" i="1" s="1"/>
  <c r="BE66" i="1"/>
  <c r="BE85" i="1" s="1"/>
  <c r="BL66" i="1"/>
  <c r="BL85" i="1" s="1"/>
  <c r="BO66" i="1"/>
  <c r="BO85" i="1" s="1"/>
  <c r="BN66" i="1"/>
  <c r="BN85" i="1" s="1"/>
  <c r="BM66" i="1"/>
  <c r="BM85" i="1" s="1"/>
  <c r="X66" i="1"/>
  <c r="X85" i="1" s="1"/>
  <c r="BH66" i="1"/>
  <c r="BH85" i="1" s="1"/>
  <c r="BI66" i="1"/>
  <c r="BI85" i="1" s="1"/>
  <c r="BJ66" i="1"/>
  <c r="BJ85" i="1" s="1"/>
  <c r="AS66" i="1"/>
  <c r="AS85" i="1" s="1"/>
  <c r="BT66" i="1"/>
  <c r="BT85" i="1" s="1"/>
  <c r="BK66" i="1"/>
  <c r="BK85" i="1" s="1"/>
  <c r="AZ66" i="1"/>
  <c r="AZ85" i="1" s="1"/>
  <c r="BG66" i="1"/>
  <c r="BG85" i="1" s="1"/>
  <c r="AV66" i="1"/>
  <c r="AV85" i="1" s="1"/>
  <c r="AU66" i="1"/>
  <c r="AU85" i="1" s="1"/>
  <c r="AY66" i="1"/>
  <c r="AY85" i="1" s="1"/>
  <c r="AW66" i="1"/>
  <c r="AW85" i="1" s="1"/>
  <c r="AR66" i="1"/>
  <c r="AR85" i="1" s="1"/>
  <c r="BF66" i="1"/>
  <c r="W66" i="1"/>
  <c r="W85" i="1" s="1"/>
  <c r="BA66" i="1"/>
  <c r="BA85" i="1" s="1"/>
  <c r="AT66" i="1"/>
  <c r="AT85" i="1" s="1"/>
  <c r="AQ66" i="1"/>
  <c r="AQ85" i="1" s="1"/>
  <c r="AX66" i="1"/>
  <c r="AX85" i="1" s="1"/>
  <c r="U66" i="1"/>
  <c r="U85" i="1" s="1"/>
  <c r="S66" i="1"/>
  <c r="S85" i="1" s="1"/>
  <c r="AM66" i="1"/>
  <c r="AM85" i="1" s="1"/>
  <c r="R66" i="1"/>
  <c r="R85" i="1" s="1"/>
  <c r="AC66" i="1"/>
  <c r="AC85" i="1" s="1"/>
  <c r="AF66" i="1"/>
  <c r="AF85" i="1" s="1"/>
  <c r="AL66" i="1"/>
  <c r="AL85" i="1" s="1"/>
  <c r="AJ66" i="1"/>
  <c r="AJ85" i="1" s="1"/>
  <c r="AK66" i="1"/>
  <c r="AK85" i="1" s="1"/>
  <c r="AH66" i="1"/>
  <c r="AH85" i="1" s="1"/>
  <c r="AE66" i="1"/>
  <c r="AE85" i="1" s="1"/>
  <c r="AG66" i="1"/>
  <c r="AG85" i="1" s="1"/>
  <c r="V66" i="1"/>
  <c r="V85" i="1" s="1"/>
  <c r="AD66" i="1"/>
  <c r="AD85" i="1" s="1"/>
  <c r="Q66" i="1"/>
  <c r="Q85" i="1" s="1"/>
  <c r="AI66" i="1"/>
  <c r="AI85" i="1" s="1"/>
  <c r="P66" i="1"/>
  <c r="P85" i="1" s="1"/>
  <c r="T66" i="1"/>
  <c r="T85" i="1" s="1"/>
  <c r="O66" i="1"/>
  <c r="O85" i="1" s="1"/>
  <c r="BR66" i="1"/>
  <c r="BR85" i="1" s="1"/>
  <c r="BD66" i="1"/>
  <c r="BD85" i="1" s="1"/>
  <c r="AP66" i="1"/>
  <c r="AB66" i="1"/>
  <c r="AB85" i="1" s="1"/>
  <c r="AC86" i="1" l="1"/>
  <c r="AB86" i="1"/>
  <c r="AM86" i="1"/>
  <c r="AL86" i="1"/>
  <c r="AK86" i="1"/>
  <c r="AJ86" i="1"/>
  <c r="AI86" i="1"/>
  <c r="AH86" i="1"/>
  <c r="AG86" i="1"/>
  <c r="AF86" i="1"/>
  <c r="AE86" i="1"/>
  <c r="AD86" i="1"/>
  <c r="J72" i="1"/>
  <c r="G72" i="1"/>
  <c r="F72" i="1"/>
  <c r="H72" i="1"/>
  <c r="I72" i="1"/>
  <c r="V86" i="1"/>
  <c r="S86" i="1"/>
  <c r="W86" i="1"/>
  <c r="U86" i="1"/>
  <c r="T86" i="1"/>
  <c r="Q86" i="1"/>
  <c r="R86" i="1"/>
  <c r="X86" i="1"/>
  <c r="BF85" i="1"/>
  <c r="AP85" i="1"/>
  <c r="P86" i="1"/>
  <c r="O86" i="1"/>
  <c r="N86" i="1"/>
  <c r="Y86" i="1"/>
  <c r="G85" i="1" l="1"/>
  <c r="G87" i="1"/>
  <c r="H85" i="1"/>
  <c r="H87" i="1"/>
  <c r="J85" i="1"/>
  <c r="J87" i="1"/>
  <c r="I85" i="1"/>
  <c r="I87" i="1"/>
  <c r="F85" i="1"/>
  <c r="F87" i="1"/>
  <c r="BN86" i="1"/>
  <c r="BG86" i="1"/>
  <c r="BH86" i="1"/>
  <c r="BI86" i="1"/>
  <c r="AU86" i="1"/>
  <c r="BL86" i="1"/>
  <c r="AW86" i="1"/>
  <c r="BM86" i="1"/>
  <c r="BW86" i="1"/>
  <c r="AR86" i="1"/>
  <c r="BX86" i="1"/>
  <c r="AS86" i="1"/>
  <c r="BY86" i="1"/>
  <c r="AT86" i="1"/>
  <c r="BA86" i="1"/>
  <c r="BJ86" i="1"/>
  <c r="CC86" i="1"/>
  <c r="AZ86" i="1"/>
  <c r="BV86" i="1"/>
  <c r="BZ86" i="1"/>
  <c r="BO86" i="1"/>
  <c r="AY86" i="1"/>
  <c r="BK86" i="1"/>
  <c r="BR86" i="1"/>
  <c r="CA86" i="1"/>
  <c r="BS86" i="1"/>
  <c r="BT86" i="1"/>
  <c r="AV86" i="1"/>
  <c r="BD86" i="1"/>
  <c r="BU86" i="1"/>
  <c r="CB86" i="1"/>
  <c r="BE86" i="1"/>
  <c r="BF86" i="1"/>
  <c r="AX86" i="1"/>
  <c r="AP86" i="1"/>
  <c r="AQ86" i="1"/>
  <c r="F98" i="1" l="1"/>
  <c r="F86" i="1"/>
  <c r="E96" i="1"/>
  <c r="H86" i="1"/>
  <c r="J86" i="1"/>
  <c r="E90" i="1"/>
  <c r="G86" i="1"/>
  <c r="E89" i="1"/>
  <c r="E91" i="1"/>
  <c r="I86" i="1"/>
  <c r="F96" i="1"/>
  <c r="M100" i="1"/>
  <c r="E92" i="1" a="1"/>
  <c r="E92" i="1" s="1"/>
  <c r="F9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Dmitry Markov</author>
  </authors>
  <commentList>
    <comment ref="B57" authorId="0" shapeId="0" xr:uid="{507A8539-1064-4599-B14D-B4B307F8FAEC}">
      <text>
        <r>
          <rPr>
            <b/>
            <sz val="9"/>
            <color indexed="81"/>
            <rFont val="Tahoma"/>
            <charset val="1"/>
          </rPr>
          <t>Dmitry Markov:</t>
        </r>
        <r>
          <rPr>
            <sz val="9"/>
            <color indexed="81"/>
            <rFont val="Tahoma"/>
            <charset val="1"/>
          </rPr>
          <t xml:space="preserve">
Item,Calculation Logic,Est. Monthly Cost (USD)
Solar Maintenance,Battery replacement fund + cleaning,$150 – $250
Generator Fuel,3 hours/day avg @ 4L/hr (Diesel),$600 – $800
Gen-Set Service,Oil/Filters every 250 hours,$100
Total Power OPEX,Combined Utility Cost,"$850 – $1,150"</t>
        </r>
      </text>
    </comment>
    <comment ref="B58" authorId="0" shapeId="0" xr:uid="{665EEC13-F1C7-45DD-96ED-C124A33461F5}">
      <text>
        <r>
          <rPr>
            <b/>
            <sz val="9"/>
            <color indexed="81"/>
            <rFont val="Tahoma"/>
            <charset val="1"/>
          </rPr>
          <t>Dmitry Markov:</t>
        </r>
        <r>
          <rPr>
            <sz val="9"/>
            <color indexed="81"/>
            <rFont val="Tahoma"/>
            <charset val="1"/>
          </rPr>
          <t xml:space="preserve">
Item,Est. Monthly Cost (USD),Frequency / Type
Private Collection Fee,$80 – $150,1–2 times per week pickup by NEMA-licensed private contractor.
Hazardous/Medical Waste,$20 – $40,"Specialized disposal for ""sharp"" waste or chemicals (required for compliance)."
On-site Management,$50 – $110,"Wages for staff time spent on composting, glass crushing, and plastic sorting."
Total Monthly Budget,$150 – $300,"Plug $250/mo into your model as a safe ""Base"" figure."</t>
        </r>
      </text>
    </comment>
    <comment ref="B66" authorId="0" shapeId="0" xr:uid="{3FEB86AB-E868-45EA-9082-CDB4F6043B37}">
      <text>
        <r>
          <rPr>
            <b/>
            <sz val="9"/>
            <color indexed="81"/>
            <rFont val="Tahoma"/>
            <family val="2"/>
          </rPr>
          <t>Dmitry Markov:</t>
        </r>
        <r>
          <rPr>
            <sz val="9"/>
            <color indexed="81"/>
            <rFont val="Tahoma"/>
            <family val="2"/>
          </rPr>
          <t xml:space="preserve">
$25 – $40 Includes fresh meats, local produce, and dry goods. Higher in Amboseli (remote) than Diani (coastal city).</t>
        </r>
      </text>
    </comment>
    <comment ref="B69" authorId="0" shapeId="0" xr:uid="{55839107-724E-4464-9EBF-E1A1AAB48483}">
      <text>
        <r>
          <rPr>
            <b/>
            <sz val="9"/>
            <color indexed="81"/>
            <rFont val="Tahoma"/>
            <family val="2"/>
          </rPr>
          <t>Dmitry Markov:</t>
        </r>
        <r>
          <rPr>
            <sz val="9"/>
            <color indexed="81"/>
            <rFont val="Tahoma"/>
            <family val="2"/>
          </rPr>
          <t xml:space="preserve">
$15 – $25 Wages for a head chef, sous-chef, and kitchen stewards.</t>
        </r>
      </text>
    </comment>
    <comment ref="B70" authorId="0" shapeId="0" xr:uid="{D351831F-2E07-4B26-9A97-4657119487EE}">
      <text>
        <r>
          <rPr>
            <b/>
            <sz val="9"/>
            <color indexed="81"/>
            <rFont val="Tahoma"/>
            <family val="2"/>
          </rPr>
          <t>Dmitry Markov:</t>
        </r>
        <r>
          <rPr>
            <sz val="9"/>
            <color indexed="81"/>
            <rFont val="Tahoma"/>
            <family val="2"/>
          </rPr>
          <t xml:space="preserve">
$5 – $15 Fuel, vehicle maintenance, and "bush" premiums for transport.</t>
        </r>
      </text>
    </comment>
    <comment ref="B71" authorId="0" shapeId="0" xr:uid="{E7F8B5AE-5595-4A7A-B17E-814F410C16A9}">
      <text>
        <r>
          <rPr>
            <b/>
            <sz val="9"/>
            <color indexed="81"/>
            <rFont val="Tahoma"/>
            <family val="2"/>
          </rPr>
          <t>Dmitry Markov:</t>
        </r>
        <r>
          <rPr>
            <sz val="9"/>
            <color indexed="81"/>
            <rFont val="Tahoma"/>
            <family val="2"/>
          </rPr>
          <t xml:space="preserve">
$5 – $10 Cooking gas (LPG) and refrigeration power.</t>
        </r>
      </text>
    </comment>
    <comment ref="J79" authorId="0" shapeId="0" xr:uid="{EA297215-D7E9-4129-BABC-446310981DD5}">
      <text>
        <r>
          <rPr>
            <b/>
            <sz val="9"/>
            <color indexed="81"/>
            <rFont val="Tahoma"/>
            <family val="2"/>
          </rPr>
          <t>Operator bonus taking into account that Operator takes 20% of the profit.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Dmitry Markov</author>
  </authors>
  <commentList>
    <comment ref="B574" authorId="0" shapeId="0" xr:uid="{0A2A8F88-1796-4A80-A9EE-A2AF3BED4196}">
      <text>
        <r>
          <rPr>
            <sz val="9"/>
            <color indexed="81"/>
            <rFont val="Tahoma"/>
            <family val="2"/>
          </rPr>
          <t>The Land Lease: If your $500k includes the land or a long-term lease, your legal costs will rise. A property lawyer will charge roughly 1% to 2% of the lease value to conduct due diligence (ensuring the land isn't a "wildlife corridor" or community-owned land with disputed title).</t>
        </r>
      </text>
    </comment>
    <comment ref="B576" authorId="0" shapeId="0" xr:uid="{94DFA860-D164-401D-B942-19D96BD3F17C}">
      <text>
        <r>
          <rPr>
            <sz val="9"/>
            <color indexed="81"/>
            <rFont val="Tahoma"/>
            <family val="2"/>
          </rPr>
          <t>Tourism Licenses: You will specifically need a TRA (Tourism Regulatory Authority) license, which is required before you can legally host a single guest.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<sst xmlns="http://schemas.openxmlformats.org/spreadsheetml/2006/main" count="844" uniqueCount="757">
  <si>
    <t>per month</t>
  </si>
  <si>
    <t>Project:</t>
  </si>
  <si>
    <t>Promind</t>
  </si>
  <si>
    <t>Place:</t>
  </si>
  <si>
    <t>Kenya</t>
  </si>
  <si>
    <t>number</t>
  </si>
  <si>
    <t>Standard tent</t>
  </si>
  <si>
    <t>https://promind.life/retreat-africa/</t>
  </si>
  <si>
    <t>Website:</t>
  </si>
  <si>
    <t>Number of units</t>
  </si>
  <si>
    <t>Area</t>
  </si>
  <si>
    <t>Bathroom fixtures &amp; plumbing</t>
  </si>
  <si>
    <t>Heaters</t>
  </si>
  <si>
    <t>Fencing</t>
  </si>
  <si>
    <t>1 USD =</t>
  </si>
  <si>
    <t>KSH</t>
  </si>
  <si>
    <t>Perimeter</t>
  </si>
  <si>
    <t>Silent Diesel Generator (70–90 kVA) - installation, ATS panel, cabling, fuel tank, transport</t>
  </si>
  <si>
    <t>CASH PROCEEDS</t>
  </si>
  <si>
    <t>Number of tents</t>
  </si>
  <si>
    <t>per annum</t>
  </si>
  <si>
    <t>Camping area rent</t>
  </si>
  <si>
    <t>Manager</t>
  </si>
  <si>
    <t>Security</t>
  </si>
  <si>
    <t>Cleaning</t>
  </si>
  <si>
    <t>Technical staff</t>
  </si>
  <si>
    <t>NSSF</t>
  </si>
  <si>
    <t>National Social Security Fund - Social Pension Contribution</t>
  </si>
  <si>
    <t>Housing levy</t>
  </si>
  <si>
    <t>Intoduced recently</t>
  </si>
  <si>
    <t>WIBA Insurance</t>
  </si>
  <si>
    <t>NITA</t>
  </si>
  <si>
    <t>Work Injury Benefit</t>
  </si>
  <si>
    <t>National Industrial Training Authority</t>
  </si>
  <si>
    <t>Taxes on salaries</t>
  </si>
  <si>
    <t>Basic salaries (incl. 6% NSSF +1.5% housing levy employee rate)</t>
  </si>
  <si>
    <t>Lawyers and Accountants</t>
  </si>
  <si>
    <t>Marketing</t>
  </si>
  <si>
    <t>Materials: consumables, tent repairs etc</t>
  </si>
  <si>
    <t>Bribes and kick-backs</t>
  </si>
  <si>
    <t>Contingencies</t>
  </si>
  <si>
    <t>Discount rate</t>
  </si>
  <si>
    <t>YEAR 0</t>
  </si>
  <si>
    <t>YEAR 1</t>
  </si>
  <si>
    <t>YEAR 2</t>
  </si>
  <si>
    <t>YEAR 3</t>
  </si>
  <si>
    <t>YEAR 4</t>
  </si>
  <si>
    <t>Tent 1 - Kitchen</t>
  </si>
  <si>
    <t>Tent 2 - Retreat</t>
  </si>
  <si>
    <t>Kitchen, refrigerators, freezers, gas installation, storage shelving</t>
  </si>
  <si>
    <t>YEAR 5</t>
  </si>
  <si>
    <t>Platform &amp; deck</t>
  </si>
  <si>
    <t>CEO (fixed)</t>
  </si>
  <si>
    <t>salary per month</t>
  </si>
  <si>
    <t>ha</t>
  </si>
  <si>
    <t>Dimensions of the land plot</t>
  </si>
  <si>
    <t>For a retreat center, a "sand and advanced ground-level" foundation is an excellent middle ground. It provides better drainage and aesthetics than bare earth while remaining significantly cheaper than a raised wooden deck.</t>
  </si>
  <si>
    <r>
      <t xml:space="preserve">In Kenya, this is often called a </t>
    </r>
    <r>
      <rPr>
        <b/>
        <sz val="10"/>
        <color rgb="FF1F1F1F"/>
        <rFont val="Arial"/>
        <family val="2"/>
      </rPr>
      <t>"Cabro" (Paving Block)</t>
    </r>
    <r>
      <rPr>
        <sz val="10"/>
        <color rgb="FF1F1F1F"/>
        <rFont val="Arial"/>
        <family val="2"/>
      </rPr>
      <t xml:space="preserve"> or </t>
    </r>
    <r>
      <rPr>
        <b/>
        <sz val="10"/>
        <color rgb="FF1F1F1F"/>
        <rFont val="Arial"/>
        <family val="2"/>
      </rPr>
      <t>"Ballast-Murram"</t>
    </r>
    <r>
      <rPr>
        <sz val="10"/>
        <color rgb="FF1F1F1F"/>
        <rFont val="Arial"/>
        <family val="2"/>
      </rPr>
      <t xml:space="preserve"> base.</t>
    </r>
  </si>
  <si>
    <t>1. The "Advanced Ground-Level" Tech</t>
  </si>
  <si>
    <t>Instead of just pitching the tent on dirt, you create a layered, "floating" floor:</t>
  </si>
  <si>
    <r>
      <t>Layer 1:</t>
    </r>
    <r>
      <rPr>
        <sz val="10"/>
        <color rgb="FF1F1F1F"/>
        <rFont val="Arial"/>
        <family val="2"/>
      </rPr>
      <t xml:space="preserve"> Excavation of topsoil (</t>
    </r>
    <r>
      <rPr>
        <sz val="13.3"/>
        <color rgb="FF1F1F1F"/>
        <rFont val="Times New Roman"/>
        <family val="1"/>
      </rPr>
      <t>15 cm</t>
    </r>
    <r>
      <rPr>
        <sz val="10"/>
        <color rgb="FF1F1F1F"/>
        <rFont val="Arial"/>
        <family val="2"/>
      </rPr>
      <t xml:space="preserve"> deep).</t>
    </r>
  </si>
  <si>
    <r>
      <t>Layer 2:</t>
    </r>
    <r>
      <rPr>
        <sz val="10"/>
        <color rgb="FF1F1F1F"/>
        <rFont val="Arial"/>
        <family val="2"/>
      </rPr>
      <t xml:space="preserve"> Compacted </t>
    </r>
    <r>
      <rPr>
        <b/>
        <sz val="10"/>
        <color rgb="FF1F1F1F"/>
        <rFont val="Arial"/>
        <family val="2"/>
      </rPr>
      <t>Murram</t>
    </r>
    <r>
      <rPr>
        <sz val="10"/>
        <color rgb="FF1F1F1F"/>
        <rFont val="Arial"/>
        <family val="2"/>
      </rPr>
      <t xml:space="preserve"> (quarry soil) or </t>
    </r>
    <r>
      <rPr>
        <b/>
        <sz val="10"/>
        <color rgb="FF1F1F1F"/>
        <rFont val="Arial"/>
        <family val="2"/>
      </rPr>
      <t>Hardcore</t>
    </r>
    <r>
      <rPr>
        <sz val="10"/>
        <color rgb="FF1F1F1F"/>
        <rFont val="Arial"/>
        <family val="2"/>
      </rPr>
      <t xml:space="preserve"> (crushed stones) for stability.</t>
    </r>
  </si>
  <si>
    <r>
      <t>Layer 3:</t>
    </r>
    <r>
      <rPr>
        <sz val="10"/>
        <color rgb="FF1F1F1F"/>
        <rFont val="Arial"/>
        <family val="2"/>
      </rPr>
      <t xml:space="preserve"> </t>
    </r>
    <r>
      <rPr>
        <b/>
        <sz val="10"/>
        <color rgb="FF1F1F1F"/>
        <rFont val="Arial"/>
        <family val="2"/>
      </rPr>
      <t>Damp Proof Membrane (Polythene)</t>
    </r>
    <r>
      <rPr>
        <sz val="10"/>
        <color rgb="FF1F1F1F"/>
        <rFont val="Arial"/>
        <family val="2"/>
      </rPr>
      <t xml:space="preserve"> to stop underground moisture from reaching the tent.</t>
    </r>
  </si>
  <si>
    <r>
      <t>Layer 4:</t>
    </r>
    <r>
      <rPr>
        <sz val="10"/>
        <color rgb="FF1F1F1F"/>
        <rFont val="Arial"/>
        <family val="2"/>
      </rPr>
      <t xml:space="preserve"> </t>
    </r>
    <r>
      <rPr>
        <b/>
        <sz val="10"/>
        <color rgb="FF1F1F1F"/>
        <rFont val="Arial"/>
        <family val="2"/>
      </rPr>
      <t>Sand Blinding</t>
    </r>
    <r>
      <rPr>
        <sz val="10"/>
        <color rgb="FF1F1F1F"/>
        <rFont val="Arial"/>
        <family val="2"/>
      </rPr>
      <t xml:space="preserve"> (fine sand) to level the surface.</t>
    </r>
  </si>
  <si>
    <r>
      <t>Layer 5 (The Finish):</t>
    </r>
    <r>
      <rPr>
        <sz val="10"/>
        <color rgb="FF1F1F1F"/>
        <rFont val="Arial"/>
        <family val="2"/>
      </rPr>
      <t xml:space="preserve"> </t>
    </r>
    <r>
      <rPr>
        <b/>
        <sz val="10"/>
        <color rgb="FF1F1F1F"/>
        <rFont val="Arial"/>
        <family val="2"/>
      </rPr>
      <t>Cabro blocks</t>
    </r>
    <r>
      <rPr>
        <sz val="10"/>
        <color rgb="FF1F1F1F"/>
        <rFont val="Arial"/>
        <family val="2"/>
      </rPr>
      <t xml:space="preserve"> (paving stones) or </t>
    </r>
    <r>
      <rPr>
        <b/>
        <sz val="10"/>
        <color rgb="FF1F1F1F"/>
        <rFont val="Arial"/>
        <family val="2"/>
      </rPr>
      <t>Sisal mats</t>
    </r>
    <r>
      <rPr>
        <sz val="10"/>
        <color rgb="FF1F1F1F"/>
        <rFont val="Arial"/>
        <family val="2"/>
      </rPr>
      <t xml:space="preserve"> over the sand.</t>
    </r>
  </si>
  <si>
    <t>2. Estimated Cost Breakdown (50 sqm in Kenya)</t>
  </si>
  <si>
    <r>
      <t xml:space="preserve">Note: </t>
    </r>
    <r>
      <rPr>
        <i/>
        <sz val="13.3"/>
        <color rgb="FF1F1F1F"/>
        <rFont val="Times New Roman"/>
        <family val="1"/>
      </rPr>
      <t>1 USD≈130 KES</t>
    </r>
    <r>
      <rPr>
        <i/>
        <sz val="10"/>
        <color rgb="FF1F1F1F"/>
        <rFont val="Arial"/>
        <family val="2"/>
      </rPr>
      <t xml:space="preserve"> (approximate 2026 rate).</t>
    </r>
  </si>
  <si>
    <t>Item</t>
  </si>
  <si>
    <t>Estimated Cost (KES)</t>
  </si>
  <si>
    <t>Estimated Cost (USD)</t>
  </si>
  <si>
    <t>Site Clearing &amp; Levelling</t>
  </si>
  <si>
    <t>KES 5,000 – 10,000</t>
  </si>
  <si>
    <t>$40 – $75</t>
  </si>
  <si>
    <t>Murram/Hardcore (1 Lorry)</t>
  </si>
  <si>
    <t>KES 15,000 – 25,000</t>
  </si>
  <si>
    <t>$115 – $190</t>
  </si>
  <si>
    <t>Sand (1 Lorry)</t>
  </si>
  <si>
    <t>KES 30,000 – 36,000</t>
  </si>
  <si>
    <t>$230 – $275</t>
  </si>
  <si>
    <t>Damp Proof Polythene</t>
  </si>
  <si>
    <t>KES 5,000 – 8,000</t>
  </si>
  <si>
    <t>$40 – $60</t>
  </si>
  <si>
    <t>Cabro Blocks (Standard)</t>
  </si>
  <si>
    <t>KES 45,000 – 60,000</t>
  </si>
  <si>
    <t>$350 – $460</t>
  </si>
  <si>
    <t>Labor (Fundis &amp; Casuals)</t>
  </si>
  <si>
    <t>KES 25,000 – 40,000</t>
  </si>
  <si>
    <t>$190 – $310</t>
  </si>
  <si>
    <t>TOTAL ESTIMATE</t>
  </si>
  <si>
    <t>KES 125,000 – 179,000</t>
  </si>
  <si>
    <t>$965 – $1,370</t>
  </si>
  <si>
    <r>
      <t>Termite Proof:</t>
    </r>
    <r>
      <rPr>
        <sz val="10"/>
        <color rgb="FF1F1F1F"/>
        <rFont val="Arial"/>
        <family val="2"/>
      </rPr>
      <t xml:space="preserve"> Unlike the wooden construction, there is nothing for termites to eat.</t>
    </r>
  </si>
  <si>
    <r>
      <t>Thermal Mass:</t>
    </r>
    <r>
      <rPr>
        <sz val="10"/>
        <color rgb="FF1F1F1F"/>
        <rFont val="Arial"/>
        <family val="2"/>
      </rPr>
      <t xml:space="preserve"> The stone/sand base stays cool during the day and releases a bit of heat at night, making the tent interior more comfortable.</t>
    </r>
  </si>
  <si>
    <r>
      <t>Dryness:</t>
    </r>
    <r>
      <rPr>
        <sz val="10"/>
        <color rgb="FF1F1F1F"/>
        <rFont val="Arial"/>
        <family val="2"/>
      </rPr>
      <t xml:space="preserve"> The </t>
    </r>
    <r>
      <rPr>
        <b/>
        <sz val="10"/>
        <color rgb="FF1F1F1F"/>
        <rFont val="Arial"/>
        <family val="2"/>
      </rPr>
      <t>Damp Proof Membrane</t>
    </r>
    <r>
      <rPr>
        <sz val="10"/>
        <color rgb="FF1F1F1F"/>
        <rFont val="Arial"/>
        <family val="2"/>
      </rPr>
      <t xml:space="preserve"> is the "secret sauce"—it prevents that "old basement" smell that often ruins ground-level tents.</t>
    </r>
  </si>
  <si>
    <r>
      <t>Drainage:</t>
    </r>
    <r>
      <rPr>
        <sz val="10"/>
        <color rgb="FF1F1F1F"/>
        <rFont val="Arial"/>
        <family val="2"/>
      </rPr>
      <t xml:space="preserve"> If you slope the area slightly away from the tent, rain will run off into the sand rather than pooling under your guests' feet.</t>
    </r>
  </si>
  <si>
    <t>4. Summary Comparison</t>
  </si>
  <si>
    <r>
      <t>Basic Ground (Stakes only):</t>
    </r>
    <r>
      <rPr>
        <sz val="10"/>
        <color rgb="FF1F1F1F"/>
        <rFont val="Arial"/>
        <family val="2"/>
      </rPr>
      <t xml:space="preserve"> ~$150 – $300</t>
    </r>
  </si>
  <si>
    <t>Bathroom fixtures &amp; plumbing for a 40 sqm retreat camp. price in USD in Kenya?</t>
  </si>
  <si>
    <r>
      <t xml:space="preserve">For a </t>
    </r>
    <r>
      <rPr>
        <b/>
        <sz val="10"/>
        <color rgb="FF1F1F1F"/>
        <rFont val="Arial"/>
        <family val="2"/>
      </rPr>
      <t>40 sqm (approx. 430 sq. ft.)</t>
    </r>
    <r>
      <rPr>
        <sz val="10"/>
        <color rgb="FF1F1F1F"/>
        <rFont val="Arial"/>
        <family val="2"/>
      </rPr>
      <t xml:space="preserve"> retreat camp in Kenya, you are likely looking at a "tiny house" or studio-style layout. Typically, this includes </t>
    </r>
    <r>
      <rPr>
        <b/>
        <sz val="10"/>
        <color rgb="FF1F1F1F"/>
        <rFont val="Arial"/>
        <family val="2"/>
      </rPr>
      <t>one full bathroom</t>
    </r>
    <r>
      <rPr>
        <sz val="10"/>
        <color rgb="FF1F1F1F"/>
        <rFont val="Arial"/>
        <family val="2"/>
      </rPr>
      <t xml:space="preserve"> (toilet, shower, basin) and </t>
    </r>
    <r>
      <rPr>
        <b/>
        <sz val="10"/>
        <color rgb="FF1F1F1F"/>
        <rFont val="Arial"/>
        <family val="2"/>
      </rPr>
      <t>one kitchenette sink</t>
    </r>
    <r>
      <rPr>
        <sz val="10"/>
        <color rgb="FF1F1F1F"/>
        <rFont val="Arial"/>
        <family val="2"/>
      </rPr>
      <t>.</t>
    </r>
  </si>
  <si>
    <r>
      <t xml:space="preserve">Based on current 2026 market rates in Kenya, here is the cost breakdown in </t>
    </r>
    <r>
      <rPr>
        <b/>
        <sz val="10"/>
        <color rgb="FF1F1F1F"/>
        <rFont val="Arial"/>
        <family val="2"/>
      </rPr>
      <t>USD</t>
    </r>
    <r>
      <rPr>
        <sz val="10"/>
        <color rgb="FF1F1F1F"/>
        <rFont val="Arial"/>
        <family val="2"/>
      </rPr>
      <t>.</t>
    </r>
  </si>
  <si>
    <t>1. Fixtures &amp; Sanitary Ware (Material Costs)</t>
  </si>
  <si>
    <r>
      <t xml:space="preserve">Prices in Kenya vary between standard "contractor grade" (widely available in hardware stores like </t>
    </r>
    <r>
      <rPr>
        <i/>
        <sz val="10"/>
        <color rgb="FF1F1F1F"/>
        <rFont val="Arial"/>
        <family val="2"/>
      </rPr>
      <t>Classic Mouldings</t>
    </r>
    <r>
      <rPr>
        <sz val="10"/>
        <color rgb="FF1F1F1F"/>
        <rFont val="Arial"/>
        <family val="2"/>
      </rPr>
      <t xml:space="preserve"> or </t>
    </r>
    <r>
      <rPr>
        <i/>
        <sz val="10"/>
        <color rgb="FF1F1F1F"/>
        <rFont val="Arial"/>
        <family val="2"/>
      </rPr>
      <t>Cedar Clink</t>
    </r>
    <r>
      <rPr>
        <sz val="10"/>
        <color rgb="FF1F1F1F"/>
        <rFont val="Arial"/>
        <family val="2"/>
      </rPr>
      <t>) and premium imported brands.</t>
    </r>
  </si>
  <si>
    <t>Standard Quality (USD)</t>
  </si>
  <si>
    <t>Premium/Modern (USD)</t>
  </si>
  <si>
    <t>Toilet (Close-coupled/Water closet)</t>
  </si>
  <si>
    <t>$120 – $180</t>
  </si>
  <si>
    <t>$250 – $450</t>
  </si>
  <si>
    <t>Wash Basin (Pedestal or Wall-mount)</t>
  </si>
  <si>
    <t>$40 – $70</t>
  </si>
  <si>
    <t>$120 – $200</t>
  </si>
  <si>
    <t>Shower Head &amp; Mixer Set</t>
  </si>
  <si>
    <t>$50 – $100</t>
  </si>
  <si>
    <t>$150 – $300</t>
  </si>
  <si>
    <t>Kitchen Sink (Stainless Steel)</t>
  </si>
  <si>
    <t>$30 – $60</t>
  </si>
  <si>
    <t>$100 – $180</t>
  </si>
  <si>
    <t>Taps / Faucets (Basin &amp; Kitchen)</t>
  </si>
  <si>
    <t>$40 – $80</t>
  </si>
  <si>
    <t>$100 – $200</t>
  </si>
  <si>
    <t>Instant Shower Heater (e.g., Lorenzetti)</t>
  </si>
  <si>
    <t>$30 – $50</t>
  </si>
  <si>
    <t>$120 (Multipoint)</t>
  </si>
  <si>
    <t>Accessories (Towel rails, mirrors, etc.)</t>
  </si>
  <si>
    <t>$50 – $80</t>
  </si>
  <si>
    <t>$150 – $250</t>
  </si>
  <si>
    <t>SUBTOTAL (Fixtures)</t>
  </si>
  <si>
    <t>$360 – $620</t>
  </si>
  <si>
    <t>$990 – $1,700</t>
  </si>
  <si>
    <t>2. Rough-In Plumbing (Piping &amp; Fittings)</t>
  </si>
  <si>
    <t>For a 40 sqm space, the distance between the bathroom and kitchen is usually small, keeping piping costs low.</t>
  </si>
  <si>
    <r>
      <t>PPR Pipes &amp; Fittings:</t>
    </r>
    <r>
      <rPr>
        <sz val="10"/>
        <color rgb="FF1F1F1F"/>
        <rFont val="Arial"/>
        <family val="2"/>
      </rPr>
      <t xml:space="preserve"> Used for hot/cold water supply.</t>
    </r>
  </si>
  <si>
    <r>
      <t>PVC Pipes:</t>
    </r>
    <r>
      <rPr>
        <sz val="10"/>
        <color rgb="FF1F1F1F"/>
        <rFont val="Arial"/>
        <family val="2"/>
      </rPr>
      <t xml:space="preserve"> Used for drainage and waste (sewerage).</t>
    </r>
  </si>
  <si>
    <r>
      <t>Estimated Cost:</t>
    </r>
    <r>
      <rPr>
        <sz val="10"/>
        <color rgb="FF1F1F1F"/>
        <rFont val="Arial"/>
        <family val="2"/>
      </rPr>
      <t xml:space="preserve"> </t>
    </r>
    <r>
      <rPr>
        <b/>
        <sz val="10"/>
        <color rgb="FF1F1F1F"/>
        <rFont val="Arial"/>
        <family val="2"/>
      </rPr>
      <t>$300 – $500</t>
    </r>
    <r>
      <rPr>
        <sz val="10"/>
        <color rgb="FF1F1F1F"/>
        <rFont val="Arial"/>
        <family val="2"/>
      </rPr>
      <t xml:space="preserve"> (depending on the distance to the septic tank or main sewer line).</t>
    </r>
  </si>
  <si>
    <t>3. Labor &amp; Installation</t>
  </si>
  <si>
    <t>In Kenya, "fundis" (technicians) often charge per "point" (e.g., one toilet is one point, one shower is another).</t>
  </si>
  <si>
    <r>
      <t>Skilled Plumber Labor:</t>
    </r>
    <r>
      <rPr>
        <sz val="10"/>
        <color rgb="FF1F1F1F"/>
        <rFont val="Arial"/>
        <family val="2"/>
      </rPr>
      <t xml:space="preserve"> $100 – $250 total for a small unit.</t>
    </r>
  </si>
  <si>
    <r>
      <t>Installation Time:</t>
    </r>
    <r>
      <rPr>
        <sz val="10"/>
        <color rgb="FF1F1F1F"/>
        <rFont val="Arial"/>
        <family val="2"/>
      </rPr>
      <t xml:space="preserve"> Usually 3–5 days for a unit of this size.</t>
    </r>
  </si>
  <si>
    <t>4. Total Estimated Project Cost</t>
  </si>
  <si>
    <t>Category</t>
  </si>
  <si>
    <t>Budget Range (USD)</t>
  </si>
  <si>
    <t>Fixtures &amp; Hardware</t>
  </si>
  <si>
    <t>Piping &amp; Materials</t>
  </si>
  <si>
    <t>$300 – $500</t>
  </si>
  <si>
    <t>Labor</t>
  </si>
  <si>
    <t>$100 – $250</t>
  </si>
  <si>
    <t>$760 – $1,370</t>
  </si>
  <si>
    <t>Key Local Considerations:</t>
  </si>
  <si>
    <r>
      <t>Water Quality:</t>
    </r>
    <r>
      <rPr>
        <sz val="10"/>
        <color rgb="FF1F1F1F"/>
        <rFont val="Arial"/>
        <family val="2"/>
      </rPr>
      <t xml:space="preserve"> If your camp is in a coastal or borehole area (like Diani or Naivasha), the water may be "hard." You should invest in </t>
    </r>
    <r>
      <rPr>
        <b/>
        <sz val="10"/>
        <color rgb="FF1F1F1F"/>
        <rFont val="Arial"/>
        <family val="2"/>
      </rPr>
      <t>brass or stainless steel</t>
    </r>
    <r>
      <rPr>
        <sz val="10"/>
        <color rgb="FF1F1F1F"/>
        <rFont val="Arial"/>
        <family val="2"/>
      </rPr>
      <t xml:space="preserve"> fittings rather than cheap chrome-plated plastic, which will corrode quickly.</t>
    </r>
  </si>
  <si>
    <r>
      <t>The "Retreat" Aesthetic:</t>
    </r>
    <r>
      <rPr>
        <sz val="10"/>
        <color rgb="FF1F1F1F"/>
        <rFont val="Arial"/>
        <family val="2"/>
      </rPr>
      <t xml:space="preserve"> If this is for a luxury camp, many developers in Kenya are currently using </t>
    </r>
    <r>
      <rPr>
        <b/>
        <sz val="10"/>
        <color rgb="FF1F1F1F"/>
        <rFont val="Arial"/>
        <family val="2"/>
      </rPr>
      <t>Black Matte</t>
    </r>
    <r>
      <rPr>
        <sz val="10"/>
        <color rgb="FF1F1F1F"/>
        <rFont val="Arial"/>
        <family val="2"/>
      </rPr>
      <t xml:space="preserve"> or </t>
    </r>
    <r>
      <rPr>
        <b/>
        <sz val="10"/>
        <color rgb="FF1F1F1F"/>
        <rFont val="Arial"/>
        <family val="2"/>
      </rPr>
      <t>Brushed Gold</t>
    </r>
    <r>
      <rPr>
        <sz val="10"/>
        <color rgb="FF1F1F1F"/>
        <rFont val="Arial"/>
        <family val="2"/>
      </rPr>
      <t xml:space="preserve"> fixtures. These are readily available in Nairobi (along Mombasa Road or in Westlands) but can increase your fixture budget by 40%.</t>
    </r>
  </si>
  <si>
    <r>
      <t>Waste Management:</t>
    </r>
    <r>
      <rPr>
        <sz val="10"/>
        <color rgb="FF1F1F1F"/>
        <rFont val="Arial"/>
        <family val="2"/>
      </rPr>
      <t xml:space="preserve"> Since it's a "camp," don't forget the cost of a </t>
    </r>
    <r>
      <rPr>
        <b/>
        <sz val="10"/>
        <color rgb="FF1F1F1F"/>
        <rFont val="Arial"/>
        <family val="2"/>
      </rPr>
      <t>Biodigester</t>
    </r>
    <r>
      <rPr>
        <sz val="10"/>
        <color rgb="FF1F1F1F"/>
        <rFont val="Arial"/>
        <family val="2"/>
      </rPr>
      <t xml:space="preserve"> or </t>
    </r>
    <r>
      <rPr>
        <b/>
        <sz val="10"/>
        <color rgb="FF1F1F1F"/>
        <rFont val="Arial"/>
        <family val="2"/>
      </rPr>
      <t>Septic Tank</t>
    </r>
    <r>
      <rPr>
        <sz val="10"/>
        <color rgb="FF1F1F1F"/>
        <rFont val="Arial"/>
        <family val="2"/>
      </rPr>
      <t xml:space="preserve"> if the site isn't serviced by a municipal sewer. A small biodigester for a single unit costs roughly </t>
    </r>
    <r>
      <rPr>
        <b/>
        <sz val="10"/>
        <color rgb="FF1F1F1F"/>
        <rFont val="Arial"/>
        <family val="2"/>
      </rPr>
      <t>$600 – $800</t>
    </r>
    <r>
      <rPr>
        <sz val="10"/>
        <color rgb="FF1F1F1F"/>
        <rFont val="Arial"/>
        <family val="2"/>
      </rPr>
      <t>.</t>
    </r>
  </si>
  <si>
    <t>Are you planning to use a biodigester, or is the site already connected to a main sewer line?</t>
  </si>
  <si>
    <t>Ваш запрос</t>
  </si>
  <si>
    <t>bio toilet how much it can cost?</t>
  </si>
  <si>
    <r>
      <t xml:space="preserve">In Kenya, a </t>
    </r>
    <r>
      <rPr>
        <b/>
        <sz val="10"/>
        <color rgb="FF1F1F1F"/>
        <rFont val="Arial"/>
        <family val="2"/>
      </rPr>
      <t>bio toilet</t>
    </r>
    <r>
      <rPr>
        <sz val="10"/>
        <color rgb="FF1F1F1F"/>
        <rFont val="Arial"/>
        <family val="2"/>
      </rPr>
      <t xml:space="preserve"> usually refers to one of three things: a modern </t>
    </r>
    <r>
      <rPr>
        <b/>
        <sz val="10"/>
        <color rgb="FF1F1F1F"/>
        <rFont val="Arial"/>
        <family val="2"/>
      </rPr>
      <t>biodigester system</t>
    </r>
    <r>
      <rPr>
        <sz val="10"/>
        <color rgb="FF1F1F1F"/>
        <rFont val="Arial"/>
        <family val="2"/>
      </rPr>
      <t xml:space="preserve"> (the most common for retreats), a </t>
    </r>
    <r>
      <rPr>
        <b/>
        <sz val="10"/>
        <color rgb="FF1F1F1F"/>
        <rFont val="Arial"/>
        <family val="2"/>
      </rPr>
      <t>HomeBiogas</t>
    </r>
    <r>
      <rPr>
        <sz val="10"/>
        <color rgb="FF1F1F1F"/>
        <rFont val="Arial"/>
        <family val="2"/>
      </rPr>
      <t xml:space="preserve"> system, or a </t>
    </r>
    <r>
      <rPr>
        <b/>
        <sz val="10"/>
        <color rgb="FF1F1F1F"/>
        <rFont val="Arial"/>
        <family val="2"/>
      </rPr>
      <t>portable camping toilet</t>
    </r>
    <r>
      <rPr>
        <sz val="10"/>
        <color rgb="FF1F1F1F"/>
        <rFont val="Arial"/>
        <family val="2"/>
      </rPr>
      <t>.</t>
    </r>
  </si>
  <si>
    <t>Since you are building a 40 sqm retreat, you are likely looking for a solution that feels like a standard toilet but processes waste biologically.</t>
  </si>
  <si>
    <t>1. The Biodigester System (Most Recommended)</t>
  </si>
  <si>
    <t>This replaces a traditional septic tank. It uses bacteria and enzymes to break down waste into water that can be soaked into the ground or used for irrigation.</t>
  </si>
  <si>
    <r>
      <t>Cost for a Small Unit (1-15 users):</t>
    </r>
    <r>
      <rPr>
        <sz val="10"/>
        <color rgb="FF1F1F1F"/>
        <rFont val="Arial"/>
        <family val="2"/>
      </rPr>
      <t xml:space="preserve"> </t>
    </r>
    <r>
      <rPr>
        <b/>
        <sz val="10"/>
        <color rgb="FF1F1F1F"/>
        <rFont val="Arial"/>
        <family val="2"/>
      </rPr>
      <t>$650 – $800</t>
    </r>
  </si>
  <si>
    <r>
      <t>What it includes:</t>
    </r>
    <r>
      <rPr>
        <sz val="10"/>
        <color rgb="FF1F1F1F"/>
        <rFont val="Arial"/>
        <family val="2"/>
      </rPr>
      <t xml:space="preserve"> The digester tank, initial enzyme supply, and basic installation labor.</t>
    </r>
  </si>
  <si>
    <r>
      <t>Why use it:</t>
    </r>
    <r>
      <rPr>
        <sz val="10"/>
        <color rgb="FF1F1F1F"/>
        <rFont val="Arial"/>
        <family val="2"/>
      </rPr>
      <t xml:space="preserve"> It never needs to be "exhausted" (emptied by a truck), is odorless, and takes up very little space.</t>
    </r>
  </si>
  <si>
    <t>2. HomeBiogas System (Toilet + Cooking Gas)</t>
  </si>
  <si>
    <t>If you want your retreat to be fully off-grid and sustainable, you can get a system that converts toilet waste into gas for your kitchen stove.</t>
  </si>
  <si>
    <r>
      <t>Cost:</t>
    </r>
    <r>
      <rPr>
        <sz val="10"/>
        <color rgb="FF1F1F1F"/>
        <rFont val="Arial"/>
        <family val="2"/>
      </rPr>
      <t xml:space="preserve"> </t>
    </r>
    <r>
      <rPr>
        <b/>
        <sz val="10"/>
        <color rgb="FF1F1F1F"/>
        <rFont val="Arial"/>
        <family val="2"/>
      </rPr>
      <t>$1,500 – $2,100</t>
    </r>
  </si>
  <si>
    <r>
      <t>What it includes:</t>
    </r>
    <r>
      <rPr>
        <sz val="10"/>
        <color rgb="FF1F1F1F"/>
        <rFont val="Arial"/>
        <family val="2"/>
      </rPr>
      <t xml:space="preserve"> A specialized low-flush toilet, the biogas digester bag/unit, and the stove for the kitchen.</t>
    </r>
  </si>
  <si>
    <r>
      <t>Why use it:</t>
    </r>
    <r>
      <rPr>
        <sz val="10"/>
        <color rgb="FF1F1F1F"/>
        <rFont val="Arial"/>
        <family val="2"/>
      </rPr>
      <t xml:space="preserve"> You get "free" fuel for cooking while managing waste.</t>
    </r>
  </si>
  <si>
    <t>3. Portable "Porta-Potty" (Camping Style)</t>
  </si>
  <si>
    <t>For very low-budget or temporary setups, these are plastic units with a small internal tank.</t>
  </si>
  <si>
    <r>
      <t>Cost:</t>
    </r>
    <r>
      <rPr>
        <sz val="10"/>
        <color rgb="FF1F1F1F"/>
        <rFont val="Arial"/>
        <family val="2"/>
      </rPr>
      <t xml:space="preserve"> </t>
    </r>
    <r>
      <rPr>
        <b/>
        <sz val="10"/>
        <color rgb="FF1F1F1F"/>
        <rFont val="Arial"/>
        <family val="2"/>
      </rPr>
      <t>$150 – $300</t>
    </r>
  </si>
  <si>
    <r>
      <t>Cons:</t>
    </r>
    <r>
      <rPr>
        <sz val="10"/>
        <color rgb="FF1F1F1F"/>
        <rFont val="Arial"/>
        <family val="2"/>
      </rPr>
      <t xml:space="preserve"> You have to manually empty the waste tank, which isn't ideal for a "retreat" experience.</t>
    </r>
  </si>
  <si>
    <t>Comparison Table for your 40 sqm Retreat</t>
  </si>
  <si>
    <t>Feature</t>
  </si>
  <si>
    <t>Biodigester</t>
  </si>
  <si>
    <t>HomeBiogas</t>
  </si>
  <si>
    <t>Traditional Septic</t>
  </si>
  <si>
    <t>Est. Price (USD)</t>
  </si>
  <si>
    <t>$700</t>
  </si>
  <si>
    <t>$1,800</t>
  </si>
  <si>
    <t>$1,200+</t>
  </si>
  <si>
    <t>Space Needed</t>
  </si>
  <si>
    <t>Very Small</t>
  </si>
  <si>
    <t>Medium</t>
  </si>
  <si>
    <t>Large</t>
  </si>
  <si>
    <t>Maintenance</t>
  </si>
  <si>
    <t>Low (Add enzymes yearly)</t>
  </si>
  <si>
    <t>Low (Needs organic waste)</t>
  </si>
  <si>
    <t>High (Needs pumping)</t>
  </si>
  <si>
    <t>Experience</t>
  </si>
  <si>
    <t>Normal flush toilet</t>
  </si>
  <si>
    <t>Special manual flush</t>
  </si>
  <si>
    <t>Important Cost Note:</t>
  </si>
  <si>
    <r>
      <t xml:space="preserve">To keep your costs on the lower end, look for local suppliers like </t>
    </r>
    <r>
      <rPr>
        <b/>
        <sz val="10"/>
        <color rgb="FF1F1F1F"/>
        <rFont val="Arial"/>
        <family val="2"/>
      </rPr>
      <t>Biotank Africa</t>
    </r>
    <r>
      <rPr>
        <sz val="10"/>
        <color rgb="FF1F1F1F"/>
        <rFont val="Arial"/>
        <family val="2"/>
      </rPr>
      <t xml:space="preserve"> or </t>
    </r>
    <r>
      <rPr>
        <b/>
        <sz val="10"/>
        <color rgb="FF1F1F1F"/>
        <rFont val="Arial"/>
        <family val="2"/>
      </rPr>
      <t>Bio Digester Kenya</t>
    </r>
    <r>
      <rPr>
        <sz val="10"/>
        <color rgb="FF1F1F1F"/>
        <rFont val="Arial"/>
        <family val="2"/>
      </rPr>
      <t xml:space="preserve">. If your retreat is in a remote area (like Laikipia or the Mara), expect to add </t>
    </r>
    <r>
      <rPr>
        <b/>
        <sz val="10"/>
        <color rgb="FF1F1F1F"/>
        <rFont val="Arial"/>
        <family val="2"/>
      </rPr>
      <t>$100–$200</t>
    </r>
    <r>
      <rPr>
        <sz val="10"/>
        <color rgb="FF1F1F1F"/>
        <rFont val="Arial"/>
        <family val="2"/>
      </rPr>
      <t xml:space="preserve"> for transport and a small field allowance for the technicians.</t>
    </r>
  </si>
  <si>
    <t>Does your retreat have a kitchen, or is it just the bedroom and bathroom? (This affects whether the HomeBiogas system is worth the investment).</t>
  </si>
  <si>
    <t>Traditional septic 1200 USD + 1700 USD thus 2900 USD for this you can buy sanitary items (sink etc) and toilet, thus WC room will be completed, correct?</t>
  </si>
  <si>
    <r>
      <t xml:space="preserve">Your logic is mostly correct, but you might be </t>
    </r>
    <r>
      <rPr>
        <b/>
        <sz val="10"/>
        <color rgb="FF1F1F1F"/>
        <rFont val="Arial"/>
        <family val="2"/>
      </rPr>
      <t>over-budgeting on the septic system</t>
    </r>
    <r>
      <rPr>
        <sz val="10"/>
        <color rgb="FF1F1F1F"/>
        <rFont val="Arial"/>
        <family val="2"/>
      </rPr>
      <t xml:space="preserve"> and potentially </t>
    </r>
    <r>
      <rPr>
        <b/>
        <sz val="10"/>
        <color rgb="FF1F1F1F"/>
        <rFont val="Arial"/>
        <family val="2"/>
      </rPr>
      <t>under-budgeting for the finishings</t>
    </r>
    <r>
      <rPr>
        <sz val="10"/>
        <color rgb="FF1F1F1F"/>
        <rFont val="Arial"/>
        <family val="2"/>
      </rPr>
      <t>, depending on the level of "retreat" luxury you want.</t>
    </r>
  </si>
  <si>
    <r>
      <t xml:space="preserve">If you have a total budget of </t>
    </r>
    <r>
      <rPr>
        <b/>
        <sz val="10"/>
        <color rgb="FF1F1F1F"/>
        <rFont val="Arial"/>
        <family val="2"/>
      </rPr>
      <t>$2,900</t>
    </r>
    <r>
      <rPr>
        <sz val="10"/>
        <color rgb="FF1F1F1F"/>
        <rFont val="Arial"/>
        <family val="2"/>
      </rPr>
      <t xml:space="preserve"> ($1,200 for septic + $1,700 for the bathroom), here is how that looks in reality on the ground in Kenya:</t>
    </r>
  </si>
  <si>
    <t>1. The "Septic" Part ($1,200)</t>
  </si>
  <si>
    <t>In Kenya, $1,200 is actually quite a high budget for a 40 sqm unit's waste system.</t>
  </si>
  <si>
    <r>
      <t>Traditional Septic Tank:</t>
    </r>
    <r>
      <rPr>
        <sz val="10"/>
        <color rgb="FF1F1F1F"/>
        <rFont val="Arial"/>
        <family val="2"/>
      </rPr>
      <t xml:space="preserve"> You can build a standard concrete septic tank and soak pit for about </t>
    </r>
    <r>
      <rPr>
        <b/>
        <sz val="10"/>
        <color rgb="FF1F1F1F"/>
        <rFont val="Arial"/>
        <family val="2"/>
      </rPr>
      <t>$800 – $1,000</t>
    </r>
    <r>
      <rPr>
        <sz val="10"/>
        <color rgb="FF1F1F1F"/>
        <rFont val="Arial"/>
        <family val="2"/>
      </rPr>
      <t xml:space="preserve"> including labor and materials (stones, cement, waterproofed plaster).</t>
    </r>
  </si>
  <si>
    <r>
      <t>Better Alternative:</t>
    </r>
    <r>
      <rPr>
        <sz val="10"/>
        <color rgb="FF1F1F1F"/>
        <rFont val="Arial"/>
        <family val="2"/>
      </rPr>
      <t xml:space="preserve"> You could get a </t>
    </r>
    <r>
      <rPr>
        <b/>
        <sz val="10"/>
        <color rgb="FF1F1F1F"/>
        <rFont val="Arial"/>
        <family val="2"/>
      </rPr>
      <t>Biodigester</t>
    </r>
    <r>
      <rPr>
        <sz val="10"/>
        <color rgb="FF1F1F1F"/>
        <rFont val="Arial"/>
        <family val="2"/>
      </rPr>
      <t xml:space="preserve"> for </t>
    </r>
    <r>
      <rPr>
        <b/>
        <sz val="10"/>
        <color rgb="FF1F1F1F"/>
        <rFont val="Arial"/>
        <family val="2"/>
      </rPr>
      <t>$650 – $800</t>
    </r>
    <r>
      <rPr>
        <sz val="10"/>
        <color rgb="FF1F1F1F"/>
        <rFont val="Arial"/>
        <family val="2"/>
      </rPr>
      <t>. This is better for a "retreat" because it takes up less space, doesn't smell, and you don't have to pay for "honey-sucker" trucks to empty it later.</t>
    </r>
  </si>
  <si>
    <r>
      <t>Savings:</t>
    </r>
    <r>
      <rPr>
        <sz val="10"/>
        <color rgb="FF1F1F1F"/>
        <rFont val="Arial"/>
        <family val="2"/>
      </rPr>
      <t xml:space="preserve"> You could actually save about </t>
    </r>
    <r>
      <rPr>
        <b/>
        <sz val="10"/>
        <color rgb="FF1F1F1F"/>
        <rFont val="Arial"/>
        <family val="2"/>
      </rPr>
      <t>$400</t>
    </r>
    <r>
      <rPr>
        <sz val="10"/>
        <color rgb="FF1F1F1F"/>
        <rFont val="Arial"/>
        <family val="2"/>
      </rPr>
      <t xml:space="preserve"> here and move it to your fixtures.</t>
    </r>
  </si>
  <si>
    <t>2. The "Bathroom" Part ($1,700)</t>
  </si>
  <si>
    <t>With $1,700 for the inside of the WC/Bathroom, you can achieve a very high-end "boutique" look. In Kenya, this amount is more than enough for "standard" items and enters the "luxury" category.</t>
  </si>
  <si>
    <t>High-End Breakdown (USD):</t>
  </si>
  <si>
    <r>
      <t>Luxury Toilet:</t>
    </r>
    <r>
      <rPr>
        <sz val="10"/>
        <color rgb="FF1F1F1F"/>
        <rFont val="Arial"/>
        <family val="2"/>
      </rPr>
      <t xml:space="preserve"> $300 (One-piece, modern design)</t>
    </r>
  </si>
  <si>
    <r>
      <t>Rain Shower Set:</t>
    </r>
    <r>
      <rPr>
        <sz val="10"/>
        <color rgb="FF1F1F1F"/>
        <rFont val="Arial"/>
        <family val="2"/>
      </rPr>
      <t xml:space="preserve"> $250 (Wall-mounted with mixer)</t>
    </r>
  </si>
  <si>
    <r>
      <t>Vanity &amp; Basin:</t>
    </r>
    <r>
      <rPr>
        <sz val="10"/>
        <color rgb="FF1F1F1F"/>
        <rFont val="Arial"/>
        <family val="2"/>
      </rPr>
      <t xml:space="preserve"> $300 (Cabinet-style with a nice mirror)</t>
    </r>
  </si>
  <si>
    <r>
      <t>Instant Water Heater:</t>
    </r>
    <r>
      <rPr>
        <sz val="10"/>
        <color rgb="FF1F1F1F"/>
        <rFont val="Arial"/>
        <family val="2"/>
      </rPr>
      <t xml:space="preserve"> $100 (High-quality brand like Alpha or Ariston)</t>
    </r>
  </si>
  <si>
    <r>
      <t>Piping &amp; Labor:</t>
    </r>
    <r>
      <rPr>
        <sz val="10"/>
        <color rgb="FF1F1F1F"/>
        <rFont val="Arial"/>
        <family val="2"/>
      </rPr>
      <t xml:space="preserve"> $400 (PPR pipes, floor drains, and a pro plumber)</t>
    </r>
  </si>
  <si>
    <r>
      <t>Kitchen Sink + Tap:</t>
    </r>
    <r>
      <rPr>
        <sz val="10"/>
        <color rgb="FF1F1F1F"/>
        <rFont val="Arial"/>
        <family val="2"/>
      </rPr>
      <t xml:space="preserve"> $150</t>
    </r>
  </si>
  <si>
    <r>
      <t>Total:</t>
    </r>
    <r>
      <rPr>
        <sz val="10"/>
        <color rgb="FF1F1F1F"/>
        <rFont val="Arial"/>
        <family val="2"/>
      </rPr>
      <t xml:space="preserve"> </t>
    </r>
    <r>
      <rPr>
        <b/>
        <sz val="10"/>
        <color rgb="FF1F1F1F"/>
        <rFont val="Arial"/>
        <family val="2"/>
      </rPr>
      <t>$1,500</t>
    </r>
  </si>
  <si>
    <t>The Verdict: Is the room "Complete"?</t>
  </si>
  <si>
    <r>
      <t>Yes.</t>
    </r>
    <r>
      <rPr>
        <sz val="10"/>
        <color rgb="FF1F1F1F"/>
        <rFont val="Arial"/>
        <family val="2"/>
      </rPr>
      <t xml:space="preserve"> With </t>
    </r>
    <r>
      <rPr>
        <b/>
        <sz val="10"/>
        <color rgb="FF1F1F1F"/>
        <rFont val="Arial"/>
        <family val="2"/>
      </rPr>
      <t>$2,900</t>
    </r>
    <r>
      <rPr>
        <sz val="10"/>
        <color rgb="FF1F1F1F"/>
        <rFont val="Arial"/>
        <family val="2"/>
      </rPr>
      <t xml:space="preserve">, you are not just "completing" the room; you are building a </t>
    </r>
    <r>
      <rPr>
        <b/>
        <sz val="10"/>
        <color rgb="FF1F1F1F"/>
        <rFont val="Arial"/>
        <family val="2"/>
      </rPr>
      <t>high-end, luxury-finish bathroom.</t>
    </r>
  </si>
  <si>
    <r>
      <t xml:space="preserve">However, there is one "hidden" cost many people forget: </t>
    </r>
    <r>
      <rPr>
        <b/>
        <sz val="10"/>
        <color rgb="FF1F1F1F"/>
        <rFont val="Arial"/>
        <family val="2"/>
      </rPr>
      <t>Tiling.</t>
    </r>
    <r>
      <rPr>
        <sz val="10"/>
        <color rgb="FF1F1F1F"/>
        <rFont val="Arial"/>
        <family val="2"/>
      </rPr>
      <t xml:space="preserve"> In Kenya, tiling a small bathroom (floor and walls) can cost:</t>
    </r>
  </si>
  <si>
    <r>
      <t>Tiles:</t>
    </r>
    <r>
      <rPr>
        <sz val="10"/>
        <color rgb="FF1F1F1F"/>
        <rFont val="Arial"/>
        <family val="2"/>
      </rPr>
      <t xml:space="preserve"> $150 – $300 (depending on the m²)</t>
    </r>
  </si>
  <si>
    <r>
      <t>Tile Adhesive &amp; Grout:</t>
    </r>
    <r>
      <rPr>
        <sz val="10"/>
        <color rgb="FF1F1F1F"/>
        <rFont val="Arial"/>
        <family val="2"/>
      </rPr>
      <t xml:space="preserve"> $50</t>
    </r>
  </si>
  <si>
    <r>
      <t>Labor:</t>
    </r>
    <r>
      <rPr>
        <sz val="10"/>
        <color rgb="FF1F1F1F"/>
        <rFont val="Arial"/>
        <family val="2"/>
      </rPr>
      <t xml:space="preserve"> $100</t>
    </r>
  </si>
  <si>
    <r>
      <t>Total for Tiling:</t>
    </r>
    <r>
      <rPr>
        <sz val="10"/>
        <color rgb="FF1F1F1F"/>
        <rFont val="Arial"/>
        <family val="2"/>
      </rPr>
      <t xml:space="preserve"> </t>
    </r>
    <r>
      <rPr>
        <b/>
        <sz val="10"/>
        <color rgb="FF1F1F1F"/>
        <rFont val="Arial"/>
        <family val="2"/>
      </rPr>
      <t>$300 – $450</t>
    </r>
  </si>
  <si>
    <t>Final Strategy</t>
  </si>
  <si>
    <r>
      <t xml:space="preserve">If your </t>
    </r>
    <r>
      <rPr>
        <b/>
        <sz val="10"/>
        <color rgb="FF1F1F1F"/>
        <rFont val="Arial"/>
        <family val="2"/>
      </rPr>
      <t>$2,900</t>
    </r>
    <r>
      <rPr>
        <sz val="10"/>
        <color rgb="FF1F1F1F"/>
        <rFont val="Arial"/>
        <family val="2"/>
      </rPr>
      <t xml:space="preserve"> includes the tiles and the ceiling, you are perfectly on track for a beautiful finish.</t>
    </r>
  </si>
  <si>
    <t>Biodigester (Waste)</t>
  </si>
  <si>
    <t>$750</t>
  </si>
  <si>
    <t>Plumbing Fixtures (Toilet, Shower, Sinks)</t>
  </si>
  <si>
    <t>$1,000</t>
  </si>
  <si>
    <t>Pipes &amp; Internal Labor</t>
  </si>
  <si>
    <t>$450</t>
  </si>
  <si>
    <t>Tiles &amp; Tiling Labor</t>
  </si>
  <si>
    <t>$400</t>
  </si>
  <si>
    <t>Contingency (Transport/Misc)</t>
  </si>
  <si>
    <t>$300</t>
  </si>
  <si>
    <t>TOTAL</t>
  </si>
  <si>
    <t>$2,900</t>
  </si>
  <si>
    <r>
      <t>Summary:</t>
    </r>
    <r>
      <rPr>
        <sz val="10"/>
        <color rgb="FF1F1F1F"/>
        <rFont val="Arial"/>
        <family val="2"/>
      </rPr>
      <t xml:space="preserve"> You have a very healthy budget. You won't just have a "functional" bathroom; you will have a "resort-style" bathroom.</t>
    </r>
  </si>
  <si>
    <t>TENTS</t>
  </si>
  <si>
    <t>PLATFORM &amp; DECK</t>
  </si>
  <si>
    <t>Final Tip: If you want it to look "luxurious" but stay on the $1,000 budget, use the sand and murram base but finish it with heavy-duty Mazeras stones (local Kenyan natural slate). It looks incredibly high-end for a retreat and is very common in coastal and safari lodges.</t>
  </si>
  <si>
    <t>Furnishings &amp; sleeping arrangements (beds, matrasses,  tables and chairs etc)</t>
  </si>
  <si>
    <t>Indoor electric &amp; lighting</t>
  </si>
  <si>
    <t>Comments</t>
  </si>
  <si>
    <t>Items</t>
  </si>
  <si>
    <t>Tent areas, m2</t>
  </si>
  <si>
    <t>Tent price incl. steal constructions</t>
  </si>
  <si>
    <t>https://www.outstandingtent.com/safari-tents-and-glamping-lodges/safari-tent-wood/#:~:text=The%20Classic%20safari%20tent,your%20campsite%20or%20holiday%20park.</t>
  </si>
  <si>
    <t>Supplier 1</t>
  </si>
  <si>
    <t>https://falksontents.co.za/products/safari-lodge-lx</t>
  </si>
  <si>
    <t>Supplier 2</t>
  </si>
  <si>
    <t>South African Rand (ZAR)</t>
  </si>
  <si>
    <t>Kenyan Shillings (KSH)</t>
  </si>
  <si>
    <t>Manufacturer</t>
  </si>
  <si>
    <t>Known Large Models</t>
  </si>
  <si>
    <t>Approx. Size (m2)</t>
  </si>
  <si>
    <t>Price Estimate (USD)</t>
  </si>
  <si>
    <t>Bushtec Safari</t>
  </si>
  <si>
    <t>Luxury Shaka / Custom Villas</t>
  </si>
  <si>
    <t>120 – 180+ $m^2$</t>
  </si>
  <si>
    <t>$25,000 – $45,000+</t>
  </si>
  <si>
    <t>Exclusive Tents</t>
  </si>
  <si>
    <t>Mambrrr / Phelwane</t>
  </si>
  <si>
    <t>110 – 160 $m^2$</t>
  </si>
  <si>
    <t>$30,000 – $60,000+</t>
  </si>
  <si>
    <t>Falkson Tents</t>
  </si>
  <si>
    <t>Custom Safari Range</t>
  </si>
  <si>
    <t>Custom up to 150 $m^2$</t>
  </si>
  <si>
    <t>$18,000 – $30,000</t>
  </si>
  <si>
    <t>YALA Canvas</t>
  </si>
  <si>
    <t>Aurora / Stella</t>
  </si>
  <si>
    <t>100 – 150 $m^2$</t>
  </si>
  <si>
    <t>€35,000 – €70,000</t>
  </si>
  <si>
    <t>40 m² Tent</t>
  </si>
  <si>
    <t>150 m² Tent</t>
  </si>
  <si>
    <t>Frame Material</t>
  </si>
  <si>
    <t>40-50mm Steel/Alu tubes</t>
  </si>
  <si>
    <t>100mm+ Extruded Aluminum or Wood Beams</t>
  </si>
  <si>
    <t>Foundation</t>
  </si>
  <si>
    <t>Standard Ground Stakes</t>
  </si>
  <si>
    <r>
      <t xml:space="preserve">Often requires a </t>
    </r>
    <r>
      <rPr>
        <b/>
        <sz val="11"/>
        <color rgb="FF1F1F1F"/>
        <rFont val="Arial"/>
        <family val="2"/>
      </rPr>
      <t>Timber Deck</t>
    </r>
    <r>
      <rPr>
        <sz val="11"/>
        <color rgb="FF1F1F1F"/>
        <rFont val="Arial"/>
        <family val="2"/>
      </rPr>
      <t xml:space="preserve"> or concrete footings</t>
    </r>
  </si>
  <si>
    <t>Roofing</t>
  </si>
  <si>
    <t>Single layer canvas</t>
  </si>
  <si>
    <t>Double-roof (Fly-sheet + Inner tent) for heat &amp; tension</t>
  </si>
  <si>
    <t>Wind Rating</t>
  </si>
  <si>
    <t>Basic (30-50 km/h)</t>
  </si>
  <si>
    <t>Engineered for 80-120 km/h</t>
  </si>
  <si>
    <t>Supplier 3</t>
  </si>
  <si>
    <t>https://www.eastafricancanvas.com/about-us/</t>
  </si>
  <si>
    <t>CAPEX BACKUP</t>
  </si>
  <si>
    <t>of the item costs</t>
  </si>
  <si>
    <t>Suppliers from South Africa or Kenya.</t>
  </si>
  <si>
    <r>
      <t xml:space="preserve">There is a "missing middle" between a simple ground-level sand base and a high-end elevated timber deck. For a </t>
    </r>
    <r>
      <rPr>
        <b/>
        <sz val="11"/>
        <color theme="1"/>
        <rFont val="Arial"/>
        <family val="2"/>
      </rPr>
      <t>150 $m^2$</t>
    </r>
    <r>
      <rPr>
        <sz val="11"/>
        <color theme="1"/>
        <rFont val="Aptos Narrow"/>
        <family val="2"/>
        <scheme val="minor"/>
      </rPr>
      <t xml:space="preserve"> structure, you can find solutions in the </t>
    </r>
    <r>
      <rPr>
        <b/>
        <sz val="11"/>
        <color theme="1"/>
        <rFont val="Arial"/>
        <family val="2"/>
      </rPr>
      <t>$6,000 – $12,000</t>
    </r>
    <r>
      <rPr>
        <sz val="11"/>
        <color theme="1"/>
        <rFont val="Aptos Narrow"/>
        <family val="2"/>
        <scheme val="minor"/>
      </rPr>
      <t xml:space="preserve"> range by using hybrid materials.</t>
    </r>
  </si>
  <si>
    <t>Here are three intermediate technologies that balance cost, durability, and the "safari" aesthetic:</t>
  </si>
  <si>
    <t>1. The "Beam and Block" Concrete System</t>
  </si>
  <si>
    <r>
      <t xml:space="preserve">Used frequently in the Masai Mara (e.g., by </t>
    </r>
    <r>
      <rPr>
        <i/>
        <sz val="11"/>
        <color theme="1"/>
        <rFont val="Arial"/>
        <family val="2"/>
      </rPr>
      <t>EcoConcrete Kenya</t>
    </r>
    <r>
      <rPr>
        <sz val="11"/>
        <color theme="1"/>
        <rFont val="Arial"/>
        <family val="2"/>
      </rPr>
      <t>), this system uses pre-cast concrete beams and hollow blocks rather than wood. It is "semi-elevated," usually sitting 30cm to 50cm off the ground.</t>
    </r>
  </si>
  <si>
    <r>
      <t>Technology:</t>
    </r>
    <r>
      <rPr>
        <sz val="11"/>
        <color theme="1"/>
        <rFont val="Arial"/>
        <family val="2"/>
      </rPr>
      <t xml:space="preserve"> Pre-cast concrete T-beams are laid across pillars; blocks are slotted in between, and a thin screed is poured on top.</t>
    </r>
  </si>
  <si>
    <r>
      <t>Pros:</t>
    </r>
    <r>
      <rPr>
        <sz val="11"/>
        <color theme="1"/>
        <rFont val="Arial"/>
        <family val="2"/>
      </rPr>
      <t xml:space="preserve"> Fireproof, rot-proof, and termite-proof. It feels as solid as a house floor.</t>
    </r>
  </si>
  <si>
    <r>
      <t>Est. Cost for 150 $m^2$:</t>
    </r>
    <r>
      <rPr>
        <sz val="11"/>
        <color theme="1"/>
        <rFont val="Arial"/>
        <family val="2"/>
      </rPr>
      <t xml:space="preserve"> </t>
    </r>
    <r>
      <rPr>
        <b/>
        <sz val="11"/>
        <color theme="1"/>
        <rFont val="Arial"/>
        <family val="2"/>
      </rPr>
      <t>$6,500 – $9,000</t>
    </r>
    <r>
      <rPr>
        <sz val="11"/>
        <color theme="1"/>
        <rFont val="Arial"/>
        <family val="2"/>
      </rPr>
      <t xml:space="preserve"> (KES 850,000 – 1.2M).</t>
    </r>
  </si>
  <si>
    <r>
      <t>Finish:</t>
    </r>
    <r>
      <rPr>
        <sz val="11"/>
        <color theme="1"/>
        <rFont val="Arial"/>
        <family val="2"/>
      </rPr>
      <t xml:space="preserve"> You can paint the concrete or lay </t>
    </r>
    <r>
      <rPr>
        <b/>
        <sz val="11"/>
        <color theme="1"/>
        <rFont val="Arial"/>
        <family val="2"/>
      </rPr>
      <t>Sisal Mats</t>
    </r>
    <r>
      <rPr>
        <sz val="11"/>
        <color theme="1"/>
        <rFont val="Arial"/>
        <family val="2"/>
      </rPr>
      <t xml:space="preserve"> or </t>
    </r>
    <r>
      <rPr>
        <b/>
        <sz val="11"/>
        <color theme="1"/>
        <rFont val="Arial"/>
        <family val="2"/>
      </rPr>
      <t>Vinyl Wood Planks</t>
    </r>
    <r>
      <rPr>
        <sz val="11"/>
        <color theme="1"/>
        <rFont val="Arial"/>
        <family val="2"/>
      </rPr>
      <t xml:space="preserve"> over it to give it a luxury feel.</t>
    </r>
  </si>
  <si>
    <t>2. Light-Gauge Steel (LGS) Framing + Fiber Cement Board</t>
  </si>
  <si>
    <t>Instead of heavy timber poles and beams, you use a galvanized steel "chassis" (similar to what is used in prefab homes).</t>
  </si>
  <si>
    <r>
      <t>Technology:</t>
    </r>
    <r>
      <rPr>
        <sz val="11"/>
        <color theme="1"/>
        <rFont val="Arial"/>
        <family val="2"/>
      </rPr>
      <t xml:space="preserve"> A grid of steel C-sections is bolted together. The "floor" is made of 18mm–22mm thick </t>
    </r>
    <r>
      <rPr>
        <b/>
        <sz val="11"/>
        <color theme="1"/>
        <rFont val="Arial"/>
        <family val="2"/>
      </rPr>
      <t>Fiber Cement Boards</t>
    </r>
    <r>
      <rPr>
        <sz val="11"/>
        <color theme="1"/>
        <rFont val="Arial"/>
        <family val="2"/>
      </rPr>
      <t xml:space="preserve"> (like </t>
    </r>
    <r>
      <rPr>
        <i/>
        <sz val="11"/>
        <color theme="1"/>
        <rFont val="Arial"/>
        <family val="2"/>
      </rPr>
      <t>Nutec</t>
    </r>
    <r>
      <rPr>
        <sz val="11"/>
        <color theme="1"/>
        <rFont val="Arial"/>
        <family val="2"/>
      </rPr>
      <t xml:space="preserve"> in SA or </t>
    </r>
    <r>
      <rPr>
        <i/>
        <sz val="11"/>
        <color theme="1"/>
        <rFont val="Arial"/>
        <family val="2"/>
      </rPr>
      <t>Kalsi</t>
    </r>
    <r>
      <rPr>
        <sz val="11"/>
        <color theme="1"/>
        <rFont val="Arial"/>
        <family val="2"/>
      </rPr>
      <t xml:space="preserve"> in East Africa).</t>
    </r>
  </si>
  <si>
    <r>
      <t>Pros:</t>
    </r>
    <r>
      <rPr>
        <sz val="11"/>
        <color theme="1"/>
        <rFont val="Arial"/>
        <family val="2"/>
      </rPr>
      <t xml:space="preserve"> Steel doesn't warp or rot in humid climates. It’s much lighter than concrete, making it easier to install on uneven terrain.</t>
    </r>
  </si>
  <si>
    <r>
      <t>Est. Cost for 150 $m^2$:</t>
    </r>
    <r>
      <rPr>
        <sz val="11"/>
        <color theme="1"/>
        <rFont val="Arial"/>
        <family val="2"/>
      </rPr>
      <t xml:space="preserve"> </t>
    </r>
    <r>
      <rPr>
        <b/>
        <sz val="11"/>
        <color theme="1"/>
        <rFont val="Arial"/>
        <family val="2"/>
      </rPr>
      <t>$10,000 – $14,000</t>
    </r>
    <r>
      <rPr>
        <sz val="11"/>
        <color theme="1"/>
        <rFont val="Arial"/>
        <family val="2"/>
      </rPr>
      <t>.</t>
    </r>
  </si>
  <si>
    <r>
      <t>Finish:</t>
    </r>
    <r>
      <rPr>
        <sz val="11"/>
        <color theme="1"/>
        <rFont val="Arial"/>
        <family val="2"/>
      </rPr>
      <t xml:space="preserve"> The cement boards are waterproof; you can leave them raw for an industrial look or tile them.</t>
    </r>
  </si>
  <si>
    <t>3. "Eco-Pole" Hybrid Decking</t>
  </si>
  <si>
    <t>This uses recycled plastic/composite poles (Eco-Poles) for the underground support but uses cheaper, locally treated pine for the top planks.</t>
  </si>
  <si>
    <r>
      <t>Technology:</t>
    </r>
    <r>
      <rPr>
        <sz val="11"/>
        <color theme="1"/>
        <rFont val="Arial"/>
        <family val="2"/>
      </rPr>
      <t xml:space="preserve"> The "feet" of your deck are plastic (won't rot in the mud), but the parts you touch and see are wood.</t>
    </r>
  </si>
  <si>
    <r>
      <t>Pros:</t>
    </r>
    <r>
      <rPr>
        <sz val="11"/>
        <color theme="1"/>
        <rFont val="Arial"/>
        <family val="2"/>
      </rPr>
      <t xml:space="preserve"> Significant cost savings over a full "Hardwood" or "Composite" deck while solving the main issue of rot at the ground-contact points.</t>
    </r>
  </si>
  <si>
    <r>
      <t>Est. Cost for 150 $m^2$:</t>
    </r>
    <r>
      <rPr>
        <sz val="11"/>
        <color theme="1"/>
        <rFont val="Arial"/>
        <family val="2"/>
      </rPr>
      <t xml:space="preserve"> </t>
    </r>
    <r>
      <rPr>
        <b/>
        <sz val="11"/>
        <color theme="1"/>
        <rFont val="Arial"/>
        <family val="2"/>
      </rPr>
      <t>$8,000 – $11,000</t>
    </r>
    <r>
      <rPr>
        <sz val="11"/>
        <color theme="1"/>
        <rFont val="Arial"/>
        <family val="2"/>
      </rPr>
      <t>.</t>
    </r>
  </si>
  <si>
    <t>Solution</t>
  </si>
  <si>
    <t>Lifespan</t>
  </si>
  <si>
    <t>Best For</t>
  </si>
  <si>
    <t>Cabro/Ground-Level</t>
  </si>
  <si>
    <t>$2,500 - $4,000</t>
  </si>
  <si>
    <t>5-7 Years</t>
  </si>
  <si>
    <t>Tight budgets, very flat land.</t>
  </si>
  <si>
    <t>Beam &amp; Block</t>
  </si>
  <si>
    <t>$6,500 - $9,000</t>
  </si>
  <si>
    <t>25+ Years</t>
  </si>
  <si>
    <t>Permanent retreat centers, fire safety.</t>
  </si>
  <si>
    <t>Steel + Cement Board</t>
  </si>
  <si>
    <t>$10,000 - $14,000</t>
  </si>
  <si>
    <t>20+ Years</t>
  </si>
  <si>
    <t>Modern look, termite-heavy areas.</t>
  </si>
  <si>
    <t>Full Timber Deck</t>
  </si>
  <si>
    <t>$18,000 - $35,000</t>
  </si>
  <si>
    <t>10-15 Years</t>
  </si>
  <si>
    <t>High-end luxury, uneven/sloped terrain.</t>
  </si>
  <si>
    <t>Cabro-Ground level for the small tents. Advanced Cabro-Ground or Beams and Blocks for the bigger tents.</t>
  </si>
  <si>
    <t>Transportation of tents and platforms for the tents</t>
  </si>
  <si>
    <t>BATHROOM FIXTURES &amp; PLUMBING</t>
  </si>
  <si>
    <t>INDOOR ELECTRIC &amp; LIGHTING</t>
  </si>
  <si>
    <t>Est. Cost per Unit (USD)</t>
  </si>
  <si>
    <t>Est. Cost per Unit (KES)</t>
  </si>
  <si>
    <t>Standard Tent</t>
  </si>
  <si>
    <t>$37 m^2$</t>
  </si>
  <si>
    <t>$550 – $900</t>
  </si>
  <si>
    <t>KES 70,000 – 115,000</t>
  </si>
  <si>
    <t>Kitchen Tent</t>
  </si>
  <si>
    <t>$150 m^2$</t>
  </si>
  <si>
    <t>$2,300 – $3,800</t>
  </si>
  <si>
    <t>KES 295,000 – 485,000</t>
  </si>
  <si>
    <t>Retreat Tent</t>
  </si>
  <si>
    <t>$1,900 – $3,100</t>
  </si>
  <si>
    <t>KES 245,000 – 400,000</t>
  </si>
  <si>
    <t>Cost Breakdown &amp; Considerations</t>
  </si>
  <si>
    <t>1. The $37 m^2$ Standard Tent</t>
  </si>
  <si>
    <r>
      <t>Typical Setup:</t>
    </r>
    <r>
      <rPr>
        <sz val="11"/>
        <color theme="1"/>
        <rFont val="Arial"/>
        <family val="2"/>
      </rPr>
      <t xml:space="preserve"> 4–6 lighting points (main room, bathroom, porch) and 4–5 power sockets.</t>
    </r>
  </si>
  <si>
    <r>
      <t>Cost Drivers:</t>
    </r>
    <r>
      <rPr>
        <sz val="11"/>
        <color theme="1"/>
        <rFont val="Arial"/>
        <family val="2"/>
      </rPr>
      <t xml:space="preserve"> High-end safari tents often use "hidden" wiring or decorative brass/industrial fixtures to match the aesthetic, which increases the price compared to standard residential wiring.</t>
    </r>
  </si>
  <si>
    <t>2. The $150 m^2$ Kitchen Tent</t>
  </si>
  <si>
    <r>
      <t>Complexity:</t>
    </r>
    <r>
      <rPr>
        <sz val="11"/>
        <color theme="1"/>
        <rFont val="Arial"/>
        <family val="2"/>
      </rPr>
      <t xml:space="preserve"> This is the most expensive per $m^2$. It requires heavy-duty cabling for appliances (refrigerators, ovens, extractors) and specific safety features like water-resistant sockets and high-load circuit breakers.</t>
    </r>
  </si>
  <si>
    <r>
      <t>Lighting:</t>
    </r>
    <r>
      <rPr>
        <sz val="11"/>
        <color theme="1"/>
        <rFont val="Arial"/>
        <family val="2"/>
      </rPr>
      <t xml:space="preserve"> Needs bright, functional task lighting rather than just mood lighting.</t>
    </r>
  </si>
  <si>
    <t>3. The $150 m^2$ Retreat Tent</t>
  </si>
  <si>
    <r>
      <t>Complexity:</t>
    </r>
    <r>
      <rPr>
        <sz val="11"/>
        <color theme="1"/>
        <rFont val="Arial"/>
        <family val="2"/>
      </rPr>
      <t xml:space="preserve"> Lower than the kitchen but higher than bedrooms due to the large open area. It likely requires multiple "zones" of dimmable mood lighting, floor sockets for charging, and potentially wiring for sound systems or projectors.</t>
    </r>
  </si>
  <si>
    <t>Key Factors for Kenya (2026)</t>
  </si>
  <si>
    <r>
      <t>Labor:</t>
    </r>
    <r>
      <rPr>
        <sz val="11"/>
        <color theme="1"/>
        <rFont val="Arial"/>
        <family val="2"/>
      </rPr>
      <t xml:space="preserve"> Professional electrical labor in Kenya for commercial/hospitality projects typically ranges from </t>
    </r>
    <r>
      <rPr>
        <b/>
        <sz val="11"/>
        <color theme="1"/>
        <rFont val="Arial"/>
        <family val="2"/>
      </rPr>
      <t>KES 1,500 to KES 3,000 per $m^2$</t>
    </r>
    <r>
      <rPr>
        <sz val="11"/>
        <color theme="1"/>
        <rFont val="Arial"/>
        <family val="2"/>
      </rPr>
      <t>.</t>
    </r>
  </si>
  <si>
    <r>
      <t>Solar vs. Grid:</t>
    </r>
    <r>
      <rPr>
        <sz val="11"/>
        <color theme="1"/>
        <rFont val="Arial"/>
        <family val="2"/>
      </rPr>
      <t xml:space="preserve"> If these tents are in a remote safari location (off-grid), you must factor in a Solar PV system. A basic off-grid solar setup for a single $37 m^2$ tent starts at roughly </t>
    </r>
    <r>
      <rPr>
        <b/>
        <sz val="11"/>
        <color theme="1"/>
        <rFont val="Arial"/>
        <family val="2"/>
      </rPr>
      <t>$1,000 – $1,500</t>
    </r>
    <r>
      <rPr>
        <sz val="11"/>
        <color theme="1"/>
        <rFont val="Arial"/>
        <family val="2"/>
      </rPr>
      <t xml:space="preserve"> (including batteries/inverter), while the Kitchen/Retreat would require a much larger centralized system.</t>
    </r>
  </si>
  <si>
    <r>
      <t>Import vs. Local:</t>
    </r>
    <r>
      <rPr>
        <sz val="11"/>
        <color theme="1"/>
        <rFont val="Arial"/>
        <family val="2"/>
      </rPr>
      <t xml:space="preserve"> Standard cables (e.g., East African Cables) are local, but designer "glamping" light fixtures are often imported, which may add a 25%–35% premium due to shipping and duties.</t>
    </r>
  </si>
  <si>
    <r>
      <t>Note:</t>
    </r>
    <r>
      <rPr>
        <sz val="11"/>
        <color theme="1"/>
        <rFont val="Arial"/>
        <family val="2"/>
      </rPr>
      <t xml:space="preserve"> For a project of this scale (20+ units), you should expect a bulk discount on labor, but "transportation to site" for the electricians and materials will be a significant line item if the camp is in a remote area like the Maasai Mara or Laikipia.</t>
    </r>
  </si>
  <si>
    <t>PV panels, off-grid</t>
  </si>
  <si>
    <t>Tent Type</t>
  </si>
  <si>
    <t>Est. Solar Cost (USD)</t>
  </si>
  <si>
    <t>Primary Energy Load</t>
  </si>
  <si>
    <t>Lights, phone, laptop, 12V fan.</t>
  </si>
  <si>
    <t>$4,500 – $6,500</t>
  </si>
  <si>
    <t>Multiple zones of LEDs, sound system, Wi-Fi routers, coffee station, small fridge.</t>
  </si>
  <si>
    <t>$12,000 – $18,000+</t>
  </si>
  <si>
    <r>
      <t>Heavy Load:</t>
    </r>
    <r>
      <rPr>
        <sz val="11"/>
        <color rgb="FF1F1F1F"/>
        <rFont val="Arial"/>
        <family val="2"/>
      </rPr>
      <t xml:space="preserve"> Walk-in refrigeration, freezers, blenders, commercial extractors, water pumps.</t>
    </r>
  </si>
  <si>
    <r>
      <t xml:space="preserve">If your solar solution for a </t>
    </r>
    <r>
      <rPr>
        <b/>
        <sz val="11"/>
        <color theme="1"/>
        <rFont val="Arial"/>
        <family val="2"/>
      </rPr>
      <t>37 $m^2$ standard tent</t>
    </r>
    <r>
      <rPr>
        <sz val="11"/>
        <color theme="1"/>
        <rFont val="Arial"/>
        <family val="2"/>
      </rPr>
      <t xml:space="preserve"> is </t>
    </r>
    <r>
      <rPr>
        <b/>
        <sz val="11"/>
        <color theme="1"/>
        <rFont val="Arial"/>
        <family val="2"/>
      </rPr>
      <t>$1,000</t>
    </r>
    <r>
      <rPr>
        <sz val="11"/>
        <color theme="1"/>
        <rFont val="Arial"/>
        <family val="2"/>
      </rPr>
      <t>, it likely covers a "Light Load" system: basic LED lighting, phone charging, and perhaps a small high-efficiency fan or a laptop.</t>
    </r>
  </si>
  <si>
    <r>
      <t xml:space="preserve">Scaling this to the larger tents is not a linear $m^2$ calculation because the </t>
    </r>
    <r>
      <rPr>
        <b/>
        <sz val="11"/>
        <color theme="1"/>
        <rFont val="Arial"/>
        <family val="2"/>
      </rPr>
      <t>energy intensity</t>
    </r>
    <r>
      <rPr>
        <sz val="11"/>
        <color theme="1"/>
        <rFont val="Arial"/>
        <family val="2"/>
      </rPr>
      <t xml:space="preserve"> changes—especially for a kitchen. In Kenya's 2026 market, here is the estimated breakdown for the larger units:</t>
    </r>
  </si>
  <si>
    <t>Why the costs differ so much:</t>
  </si>
  <si>
    <r>
      <t>1. The Retreat Tent (</t>
    </r>
    <r>
      <rPr>
        <b/>
        <sz val="13.3"/>
        <color rgb="FF1F1F1F"/>
        <rFont val="Times New Roman"/>
        <family val="1"/>
      </rPr>
      <t>150</t>
    </r>
    <r>
      <rPr>
        <b/>
        <i/>
        <sz val="13.3"/>
        <color rgb="FF1F1F1F"/>
        <rFont val="KaTeX_Math"/>
      </rPr>
      <t>m</t>
    </r>
    <r>
      <rPr>
        <b/>
        <sz val="7.7"/>
        <color rgb="FF1F1F1F"/>
        <rFont val="Times New Roman"/>
        <family val="1"/>
      </rPr>
      <t>2</t>
    </r>
    <r>
      <rPr>
        <b/>
        <sz val="10"/>
        <color rgb="FF1F1F1F"/>
        <rFont val="Arial"/>
        <family val="2"/>
      </rPr>
      <t>)</t>
    </r>
  </si>
  <si>
    <r>
      <t>Multiplier:</t>
    </r>
    <r>
      <rPr>
        <sz val="10"/>
        <color rgb="FF1F1F1F"/>
        <rFont val="Arial"/>
        <family val="2"/>
      </rPr>
      <t xml:space="preserve"> ~5x to 6x the standard tent cost.</t>
    </r>
  </si>
  <si>
    <r>
      <t>Usage:</t>
    </r>
    <r>
      <rPr>
        <sz val="10"/>
        <color rgb="FF1F1F1F"/>
        <rFont val="Arial"/>
        <family val="2"/>
      </rPr>
      <t xml:space="preserve"> While the area is 4x larger, the energy needs are mostly for "ambience" and "connectivity." You aren't just powering one room; you're powering a large lounge, bar area, and guest charging hubs.</t>
    </r>
  </si>
  <si>
    <r>
      <t>System Sizing:</t>
    </r>
    <r>
      <rPr>
        <sz val="10"/>
        <color rgb="FF1F1F1F"/>
        <rFont val="Arial"/>
        <family val="2"/>
      </rPr>
      <t xml:space="preserve"> Usually requires a </t>
    </r>
    <r>
      <rPr>
        <b/>
        <sz val="10"/>
        <color rgb="FF1F1F1F"/>
        <rFont val="Arial"/>
        <family val="2"/>
      </rPr>
      <t>3kW to 5kW hybrid system</t>
    </r>
    <r>
      <rPr>
        <sz val="10"/>
        <color rgb="FF1F1F1F"/>
        <rFont val="Arial"/>
        <family val="2"/>
      </rPr>
      <t xml:space="preserve"> with lithium battery storage to ensure the lights and Wi-Fi stay on through the evening and early morning.</t>
    </r>
  </si>
  <si>
    <r>
      <t>2. The Kitchen Tent (</t>
    </r>
    <r>
      <rPr>
        <b/>
        <sz val="13.3"/>
        <color rgb="FF1F1F1F"/>
        <rFont val="Times New Roman"/>
        <family val="1"/>
      </rPr>
      <t>150</t>
    </r>
    <r>
      <rPr>
        <b/>
        <i/>
        <sz val="13.3"/>
        <color rgb="FF1F1F1F"/>
        <rFont val="KaTeX_Math"/>
      </rPr>
      <t>m</t>
    </r>
    <r>
      <rPr>
        <b/>
        <sz val="7.7"/>
        <color rgb="FF1F1F1F"/>
        <rFont val="Times New Roman"/>
        <family val="1"/>
      </rPr>
      <t>2</t>
    </r>
    <r>
      <rPr>
        <b/>
        <sz val="10"/>
        <color rgb="FF1F1F1F"/>
        <rFont val="Arial"/>
        <family val="2"/>
      </rPr>
      <t>)</t>
    </r>
  </si>
  <si>
    <r>
      <t>Multiplier:</t>
    </r>
    <r>
      <rPr>
        <sz val="10"/>
        <color rgb="FF1F1F1F"/>
        <rFont val="Arial"/>
        <family val="2"/>
      </rPr>
      <t xml:space="preserve"> 12x to 18x the standard tent cost.</t>
    </r>
  </si>
  <si>
    <r>
      <t>The "Fridge Factor":</t>
    </r>
    <r>
      <rPr>
        <sz val="10"/>
        <color rgb="FF1F1F1F"/>
        <rFont val="Arial"/>
        <family val="2"/>
      </rPr>
      <t xml:space="preserve"> Kitchens are the most expensive to power with solar. Refrigeration and freezers run </t>
    </r>
    <r>
      <rPr>
        <b/>
        <sz val="10"/>
        <color rgb="FF1F1F1F"/>
        <rFont val="Arial"/>
        <family val="2"/>
      </rPr>
      <t>24/7</t>
    </r>
    <r>
      <rPr>
        <sz val="10"/>
        <color rgb="FF1F1F1F"/>
        <rFont val="Arial"/>
        <family val="2"/>
      </rPr>
      <t>, requiring massive battery banks to last through the night.</t>
    </r>
  </si>
  <si>
    <r>
      <t>Startup Loads:</t>
    </r>
    <r>
      <rPr>
        <sz val="10"/>
        <color rgb="FF1F1F1F"/>
        <rFont val="Arial"/>
        <family val="2"/>
      </rPr>
      <t xml:space="preserve"> Commercial kitchen appliances have high "surge" currents (starting an industrial blender or meat slicer), which requires a much larger and more expensive </t>
    </r>
    <r>
      <rPr>
        <b/>
        <sz val="10"/>
        <color rgb="FF1F1F1F"/>
        <rFont val="Arial"/>
        <family val="2"/>
      </rPr>
      <t>Inverter</t>
    </r>
    <r>
      <rPr>
        <sz val="10"/>
        <color rgb="FF1F1F1F"/>
        <rFont val="Arial"/>
        <family val="2"/>
      </rPr>
      <t xml:space="preserve"> (likely </t>
    </r>
    <r>
      <rPr>
        <b/>
        <sz val="10"/>
        <color rgb="FF1F1F1F"/>
        <rFont val="Arial"/>
        <family val="2"/>
      </rPr>
      <t>8kW to 10kW</t>
    </r>
    <r>
      <rPr>
        <sz val="10"/>
        <color rgb="FF1F1F1F"/>
        <rFont val="Arial"/>
        <family val="2"/>
      </rPr>
      <t>).</t>
    </r>
  </si>
  <si>
    <r>
      <t>Recommendation:</t>
    </r>
    <r>
      <rPr>
        <sz val="10"/>
        <color rgb="FF1F1F1F"/>
        <rFont val="Arial"/>
        <family val="2"/>
      </rPr>
      <t xml:space="preserve"> Most Safari camps in Kenya use </t>
    </r>
    <r>
      <rPr>
        <b/>
        <sz val="10"/>
        <color rgb="FF1F1F1F"/>
        <rFont val="Arial"/>
        <family val="2"/>
      </rPr>
      <t>Gas (LPG)</t>
    </r>
    <r>
      <rPr>
        <sz val="10"/>
        <color rgb="FF1F1F1F"/>
        <rFont val="Arial"/>
        <family val="2"/>
      </rPr>
      <t xml:space="preserve"> for cooking and water heating to keep solar costs down. If you plan to use electric ovens or induction, your solar cost could easily double again.</t>
    </r>
  </si>
  <si>
    <t>Important Strategy for Kenya</t>
  </si>
  <si>
    <t>For a project of this scale (20 standard tents + 2 large tents), you have two options:</t>
  </si>
  <si>
    <r>
      <t>1. Standalone (Current Plan):</t>
    </r>
    <r>
      <rPr>
        <sz val="10"/>
        <color rgb="FF1F1F1F"/>
        <rFont val="Arial"/>
        <family val="2"/>
      </rPr>
      <t xml:space="preserve"> Each tent has its own panels/batteries. This is great for maintenance (if one fails, the others work) but is more expensive overall.</t>
    </r>
  </si>
  <si>
    <r>
      <t>2. Centralized "Power Plant":</t>
    </r>
    <r>
      <rPr>
        <sz val="10"/>
        <color rgb="FF1F1F1F"/>
        <rFont val="Arial"/>
        <family val="2"/>
      </rPr>
      <t xml:space="preserve"> Instead of 22 separate small systems, you build one large solar farm near the kitchen. This is often </t>
    </r>
    <r>
      <rPr>
        <b/>
        <sz val="10"/>
        <color rgb="FF1F1F1F"/>
        <rFont val="Arial"/>
        <family val="2"/>
      </rPr>
      <t>20-30% cheaper</t>
    </r>
    <r>
      <rPr>
        <sz val="10"/>
        <color rgb="FF1F1F1F"/>
        <rFont val="Arial"/>
        <family val="2"/>
      </rPr>
      <t xml:space="preserve"> due to "economies of scale" on large inverters and reduces the visual clutter of panels on every tent roof.</t>
    </r>
  </si>
  <si>
    <r>
      <t>Note:</t>
    </r>
    <r>
      <rPr>
        <sz val="10"/>
        <color rgb="FF1F1F1F"/>
        <rFont val="Arial"/>
        <family val="2"/>
      </rPr>
      <t xml:space="preserve"> These prices assume you are using </t>
    </r>
    <r>
      <rPr>
        <b/>
        <sz val="10"/>
        <color rgb="FF1F1F1F"/>
        <rFont val="Arial"/>
        <family val="2"/>
      </rPr>
      <t>Lithium (LiFePO4)</t>
    </r>
    <r>
      <rPr>
        <sz val="10"/>
        <color rgb="FF1F1F1F"/>
        <rFont val="Arial"/>
        <family val="2"/>
      </rPr>
      <t xml:space="preserve"> batteries, which are the standard in Kenya for 2026 due to their 10-year lifespan. Lead-acid/Gel batteries are cheaper upfront but will fail in 2–3 years in the Kenyan heat.</t>
    </r>
  </si>
  <si>
    <r>
      <t>1. Materials:</t>
    </r>
    <r>
      <rPr>
        <sz val="11"/>
        <color theme="1"/>
        <rFont val="Aptos Narrow"/>
        <family val="2"/>
        <scheme val="minor"/>
      </rPr>
      <t xml:space="preserve"> Cabling (PVC insulated copper), trunking/conduits, distribution boards (DB), circuit breakers, sockets, and switches.</t>
    </r>
  </si>
  <si>
    <r>
      <t>2. Fixtures:</t>
    </r>
    <r>
      <rPr>
        <sz val="11"/>
        <color theme="1"/>
        <rFont val="Aptos Narrow"/>
        <family val="2"/>
        <scheme val="minor"/>
      </rPr>
      <t xml:space="preserve"> The actual light fittings (LED bulbs, wall brackets, or chandeliers for the retreat).</t>
    </r>
  </si>
  <si>
    <r>
      <t>3. Labor:</t>
    </r>
    <r>
      <rPr>
        <sz val="11"/>
        <color theme="1"/>
        <rFont val="Aptos Narrow"/>
        <family val="2"/>
        <scheme val="minor"/>
      </rPr>
      <t xml:space="preserve"> Professional installation, testing, and commissioning by a licensed electrician.</t>
    </r>
  </si>
  <si>
    <r>
      <t xml:space="preserve">Here is a more detailed breakdown based on current 2026 Kenyan rates (approx. </t>
    </r>
    <r>
      <rPr>
        <b/>
        <sz val="11"/>
        <color theme="1"/>
        <rFont val="Aptos Narrow"/>
        <family val="2"/>
        <scheme val="minor"/>
      </rPr>
      <t>KES 130 per $1 USD</t>
    </r>
    <r>
      <rPr>
        <sz val="11"/>
        <color theme="1"/>
        <rFont val="Aptos Narrow"/>
        <family val="2"/>
        <scheme val="minor"/>
      </rPr>
      <t>).</t>
    </r>
  </si>
  <si>
    <t>Detailed Indoor Electric &amp; Lighting Estimates</t>
  </si>
  <si>
    <r>
      <t xml:space="preserve">Those prices are for the </t>
    </r>
    <r>
      <rPr>
        <b/>
        <sz val="11"/>
        <color theme="1"/>
        <rFont val="Aptos Narrow"/>
        <family val="2"/>
        <scheme val="minor"/>
      </rPr>
      <t>total indoor electrical and lighting package</t>
    </r>
    <r>
      <rPr>
        <sz val="11"/>
        <color theme="1"/>
        <rFont val="Aptos Narrow"/>
        <family val="2"/>
        <scheme val="minor"/>
      </rPr>
      <t>, which typically includes:</t>
    </r>
  </si>
  <si>
    <t>Est. USD (Total)</t>
  </si>
  <si>
    <t>Est. KES (Total)</t>
  </si>
  <si>
    <t>What is included?</t>
  </si>
  <si>
    <t>KES 70k – 115k</t>
  </si>
  <si>
    <t>~6 light points, 4 double sockets, 1 small DB.</t>
  </si>
  <si>
    <t>KES 245k – 400k</t>
  </si>
  <si>
    <t>High-end fixtures, dimmers, 10+ sockets, lounge/bar lighting.</t>
  </si>
  <si>
    <t>KES 300k – 495k</t>
  </si>
  <si>
    <t>Heavy-duty wiring for appliances, waterproof sockets, high-load DB.</t>
  </si>
  <si>
    <t>Cost Drivers for Your Project</t>
  </si>
  <si>
    <r>
      <t>The "Point" System:</t>
    </r>
    <r>
      <rPr>
        <sz val="11"/>
        <color theme="1"/>
        <rFont val="Arial"/>
        <family val="2"/>
      </rPr>
      <t xml:space="preserve"> In Kenya, electricians often charge per "point" (e.g., KES 1,500–3,000 per light or socket). A $150 m^2$ tent has significantly more points than a standard one, but the kitchen has even fewer points with much "thicker" (more expensive) cabling to handle high-wattage equipment like ovens or walk-in fridges.</t>
    </r>
  </si>
  <si>
    <r>
      <t>Fixture Quality:</t>
    </r>
    <r>
      <rPr>
        <sz val="11"/>
        <color theme="1"/>
        <rFont val="Arial"/>
        <family val="2"/>
      </rPr>
      <t xml:space="preserve"> For the </t>
    </r>
    <r>
      <rPr>
        <b/>
        <sz val="11"/>
        <color theme="1"/>
        <rFont val="Arial"/>
        <family val="2"/>
      </rPr>
      <t>Retreat Tent</t>
    </r>
    <r>
      <rPr>
        <sz val="11"/>
        <color theme="1"/>
        <rFont val="Arial"/>
        <family val="2"/>
      </rPr>
      <t>, fixture costs vary wildly. A basic LED bracket might cost $10, while a luxury safari-style brass chandelier can cost $200+. My estimate assumes a "Mid-to-High" luxury finish.</t>
    </r>
  </si>
  <si>
    <r>
      <t>Safety Features:</t>
    </r>
    <r>
      <rPr>
        <sz val="11"/>
        <color theme="1"/>
        <rFont val="Arial"/>
        <family val="2"/>
      </rPr>
      <t xml:space="preserve"> Given these are tents, the estimate includes </t>
    </r>
    <r>
      <rPr>
        <b/>
        <sz val="11"/>
        <color theme="1"/>
        <rFont val="Arial"/>
        <family val="2"/>
      </rPr>
      <t>GFCI (Ground Fault Circuit Interrupter)</t>
    </r>
    <r>
      <rPr>
        <sz val="11"/>
        <color theme="1"/>
        <rFont val="Arial"/>
        <family val="2"/>
      </rPr>
      <t xml:space="preserve"> protection, which is essential for guest safety in canvas structures, especially in humid or rainy Kenyan environments.</t>
    </r>
  </si>
  <si>
    <t>Important Note on "Invisible" Costs</t>
  </si>
  <si>
    <r>
      <t xml:space="preserve">These prices are for </t>
    </r>
    <r>
      <rPr>
        <b/>
        <sz val="11"/>
        <color theme="1"/>
        <rFont val="Arial"/>
        <family val="2"/>
      </rPr>
      <t>indoor</t>
    </r>
    <r>
      <rPr>
        <sz val="11"/>
        <color theme="1"/>
        <rFont val="Arial"/>
        <family val="2"/>
      </rPr>
      <t xml:space="preserve"> work. They do </t>
    </r>
    <r>
      <rPr>
        <b/>
        <sz val="11"/>
        <color theme="1"/>
        <rFont val="Arial"/>
        <family val="2"/>
      </rPr>
      <t>not</t>
    </r>
    <r>
      <rPr>
        <sz val="11"/>
        <color theme="1"/>
        <rFont val="Arial"/>
        <family val="2"/>
      </rPr>
      <t xml:space="preserve"> typically include:</t>
    </r>
  </si>
  <si>
    <r>
      <t>External Trenching:</t>
    </r>
    <r>
      <rPr>
        <sz val="11"/>
        <color theme="1"/>
        <rFont val="Arial"/>
        <family val="2"/>
      </rPr>
      <t xml:space="preserve"> Running the main armored cables underground from your solar hub to each individual tent.</t>
    </r>
  </si>
  <si>
    <r>
      <t>Solar Panels/Batteries:</t>
    </r>
    <r>
      <rPr>
        <sz val="11"/>
        <color theme="1"/>
        <rFont val="Arial"/>
        <family val="2"/>
      </rPr>
      <t xml:space="preserve"> As discussed previously, those are separate high-value items.</t>
    </r>
  </si>
  <si>
    <r>
      <t>Pro-Tip for Kenya:</t>
    </r>
    <r>
      <rPr>
        <sz val="11"/>
        <color theme="1"/>
        <rFont val="Arial"/>
        <family val="2"/>
      </rPr>
      <t xml:space="preserve"> If you are building in a remote area (like the Mara or Samburu), ask your contractor if the quote includes </t>
    </r>
    <r>
      <rPr>
        <b/>
        <sz val="11"/>
        <color theme="1"/>
        <rFont val="Arial"/>
        <family val="2"/>
      </rPr>
      <t>transport and accommodation</t>
    </r>
    <r>
      <rPr>
        <sz val="11"/>
        <color theme="1"/>
        <rFont val="Arial"/>
        <family val="2"/>
      </rPr>
      <t xml:space="preserve"> for the electrical crew. In 2026, many contractors add a "bush allowance" or mobilization fee of </t>
    </r>
    <r>
      <rPr>
        <b/>
        <sz val="11"/>
        <color theme="1"/>
        <rFont val="Arial"/>
        <family val="2"/>
      </rPr>
      <t>15%–20%</t>
    </r>
    <r>
      <rPr>
        <sz val="11"/>
        <color theme="1"/>
        <rFont val="Arial"/>
        <family val="2"/>
      </rPr>
      <t xml:space="preserve"> if the site is far from a major town.</t>
    </r>
  </si>
  <si>
    <t>Local suppliers</t>
  </si>
  <si>
    <t>HEATERS</t>
  </si>
  <si>
    <r>
      <t xml:space="preserve">For heating tents in Kenya, the cost depends heavily on whether you choose </t>
    </r>
    <r>
      <rPr>
        <b/>
        <sz val="11"/>
        <color theme="1"/>
        <rFont val="Arial"/>
        <family val="2"/>
      </rPr>
      <t>Electric</t>
    </r>
    <r>
      <rPr>
        <sz val="11"/>
        <color theme="1"/>
        <rFont val="Arial"/>
        <family val="2"/>
      </rPr>
      <t xml:space="preserve">, </t>
    </r>
    <r>
      <rPr>
        <b/>
        <sz val="11"/>
        <color theme="1"/>
        <rFont val="Arial"/>
        <family val="2"/>
      </rPr>
      <t>Gas</t>
    </r>
    <r>
      <rPr>
        <sz val="11"/>
        <color theme="1"/>
        <rFont val="Arial"/>
        <family val="2"/>
      </rPr>
      <t xml:space="preserve">, or </t>
    </r>
    <r>
      <rPr>
        <b/>
        <sz val="11"/>
        <color theme="1"/>
        <rFont val="Arial"/>
        <family val="2"/>
      </rPr>
      <t>Wood-burning</t>
    </r>
    <r>
      <rPr>
        <sz val="11"/>
        <color theme="1"/>
        <rFont val="Arial"/>
        <family val="2"/>
      </rPr>
      <t xml:space="preserve"> solutions.</t>
    </r>
  </si>
  <si>
    <r>
      <t xml:space="preserve">Given your standard tent solar budget is $1,000, </t>
    </r>
    <r>
      <rPr>
        <b/>
        <sz val="11"/>
        <color theme="1"/>
        <rFont val="Arial"/>
        <family val="2"/>
      </rPr>
      <t>electric heaters are generally not recommended</t>
    </r>
    <r>
      <rPr>
        <sz val="11"/>
        <color theme="1"/>
        <rFont val="Arial"/>
        <family val="2"/>
      </rPr>
      <t xml:space="preserve"> because a single 1,500W space heater would drain your entire battery in about 30 minutes.</t>
    </r>
  </si>
  <si>
    <t>Option 1: Gas (Propane) Heaters</t>
  </si>
  <si>
    <t>This is the most common "luxury" choice in Kenya (e.g., Laikipia or Mara). They are portable and provide instant heat without needing a huge solar array.</t>
  </si>
  <si>
    <t>Tent Size</t>
  </si>
  <si>
    <t>Recommended Type</t>
  </si>
  <si>
    <t>Est. Unit Cost (USD)</t>
  </si>
  <si>
    <t>Est. Unit Cost (KES)</t>
  </si>
  <si>
    <t>37 $m^2$</t>
  </si>
  <si>
    <t>Radiant/Catalytic Cabinet Heater</t>
  </si>
  <si>
    <t>KES 19,500 – 39,000</t>
  </si>
  <si>
    <t>150 $m^2$</t>
  </si>
  <si>
    <t>Mushroom/Pyramid Patio Heaters (2 units)</t>
  </si>
  <si>
    <t>$500 – $900</t>
  </si>
  <si>
    <t>KES 65,000 – 115,000</t>
  </si>
  <si>
    <r>
      <t>Pros:</t>
    </r>
    <r>
      <rPr>
        <sz val="11"/>
        <color theme="1"/>
        <rFont val="Arial"/>
        <family val="2"/>
      </rPr>
      <t xml:space="preserve"> Independent of your solar system; very effective for large volumes.</t>
    </r>
  </si>
  <si>
    <r>
      <t>Cons:</t>
    </r>
    <r>
      <rPr>
        <sz val="11"/>
        <color theme="1"/>
        <rFont val="Arial"/>
        <family val="2"/>
      </rPr>
      <t xml:space="preserve"> Requires regular refills of 13kg/35kg gas cylinders; requires ventilation.</t>
    </r>
  </si>
  <si>
    <t>Option 2: Wood-Burning Stoves</t>
  </si>
  <si>
    <t>The "Classic Safari" aesthetic. Many high-end Kenyan camps use locally fabricated or imported cast-iron stoves.</t>
  </si>
  <si>
    <t>Small Cast Iron Stove + Flue</t>
  </si>
  <si>
    <t>$400 – $700</t>
  </si>
  <si>
    <t>KES 52,000 – 90,000</t>
  </si>
  <si>
    <t>Large "Double-Burner" Stove</t>
  </si>
  <si>
    <t>$800 – $1,200</t>
  </si>
  <si>
    <t>KES 105,000 – 155,000</t>
  </si>
  <si>
    <r>
      <t>Pros:</t>
    </r>
    <r>
      <rPr>
        <sz val="11"/>
        <color theme="1"/>
        <rFont val="Arial"/>
        <family val="2"/>
      </rPr>
      <t xml:space="preserve"> Zero energy cost if wood is sourced sustainably; beautiful "cozy" atmosphere.</t>
    </r>
  </si>
  <si>
    <r>
      <t>Cons:</t>
    </r>
    <r>
      <rPr>
        <sz val="11"/>
        <color theme="1"/>
        <rFont val="Arial"/>
        <family val="2"/>
      </rPr>
      <t xml:space="preserve"> Higher installation cost (requires a chimney hole/flue through the tent roof) and daily cleaning.</t>
    </r>
  </si>
  <si>
    <r>
      <t xml:space="preserve">Option 3: Infrared (Electric) — </t>
    </r>
    <r>
      <rPr>
        <b/>
        <i/>
        <sz val="13.5"/>
        <color theme="1"/>
        <rFont val="Arial"/>
        <family val="2"/>
      </rPr>
      <t>Only if Solar is upgraded</t>
    </r>
  </si>
  <si>
    <r>
      <t xml:space="preserve">If you insist on electric, </t>
    </r>
    <r>
      <rPr>
        <b/>
        <sz val="11"/>
        <color theme="1"/>
        <rFont val="Arial"/>
        <family val="2"/>
      </rPr>
      <t>Infrared (IR) panels</t>
    </r>
    <r>
      <rPr>
        <sz val="11"/>
        <color theme="1"/>
        <rFont val="Arial"/>
        <family val="2"/>
      </rPr>
      <t xml:space="preserve"> are the only viable option. Unlike space heaters that heat air (which escapes through canvas), IR panels heat the furniture and people directly.</t>
    </r>
  </si>
  <si>
    <t>Coverage</t>
  </si>
  <si>
    <t>1 x 600W Panel</t>
  </si>
  <si>
    <t>KES 32,000 – 58,000</t>
  </si>
  <si>
    <t>4 x 1000W Panels</t>
  </si>
  <si>
    <t>$1,200 – $2,000</t>
  </si>
  <si>
    <t>KES 155,000 – 260,000</t>
  </si>
  <si>
    <r>
      <t>Critical Solar Note:</t>
    </r>
    <r>
      <rPr>
        <sz val="11"/>
        <color theme="1"/>
        <rFont val="Arial"/>
        <family val="2"/>
      </rPr>
      <t xml:space="preserve"> Even with IR panels, your $1,000 solar setup for the 37 $m^2$ tent would likely need to </t>
    </r>
    <r>
      <rPr>
        <b/>
        <sz val="11"/>
        <color theme="1"/>
        <rFont val="Arial"/>
        <family val="2"/>
      </rPr>
      <t>double</t>
    </r>
    <r>
      <rPr>
        <sz val="11"/>
        <color theme="1"/>
        <rFont val="Arial"/>
        <family val="2"/>
      </rPr>
      <t xml:space="preserve"> in size to handle a 600W heater running for 4 hours an evening.</t>
    </r>
  </si>
  <si>
    <t>Summary Recommendation</t>
  </si>
  <si>
    <r>
      <t>For the 37 $m^2$ Guest Tents:</t>
    </r>
    <r>
      <rPr>
        <sz val="11"/>
        <color theme="1"/>
        <rFont val="Arial"/>
        <family val="2"/>
      </rPr>
      <t xml:space="preserve"> Use a </t>
    </r>
    <r>
      <rPr>
        <b/>
        <sz val="11"/>
        <color theme="1"/>
        <rFont val="Arial"/>
        <family val="2"/>
      </rPr>
      <t>Gas Cabinet Heater</t>
    </r>
    <r>
      <rPr>
        <sz val="11"/>
        <color theme="1"/>
        <rFont val="Arial"/>
        <family val="2"/>
      </rPr>
      <t xml:space="preserve"> or a </t>
    </r>
    <r>
      <rPr>
        <b/>
        <sz val="11"/>
        <color theme="1"/>
        <rFont val="Arial"/>
        <family val="2"/>
      </rPr>
      <t>Small Wood Stove</t>
    </r>
    <r>
      <rPr>
        <sz val="11"/>
        <color theme="1"/>
        <rFont val="Arial"/>
        <family val="2"/>
      </rPr>
      <t>. It keeps your electrical load light and fits the "safari" vibe.</t>
    </r>
  </si>
  <si>
    <r>
      <t>For the 150 $m^2$ Retreat:</t>
    </r>
    <r>
      <rPr>
        <sz val="11"/>
        <color theme="1"/>
        <rFont val="Arial"/>
        <family val="2"/>
      </rPr>
      <t xml:space="preserve"> Use </t>
    </r>
    <r>
      <rPr>
        <b/>
        <sz val="11"/>
        <color theme="1"/>
        <rFont val="Arial"/>
        <family val="2"/>
      </rPr>
      <t>2x Pyramid Gas Heaters</t>
    </r>
    <r>
      <rPr>
        <sz val="11"/>
        <color theme="1"/>
        <rFont val="Arial"/>
        <family val="2"/>
      </rPr>
      <t>. They act as a visual centerpiece and provide enough "throw" to cover a large lounge area.</t>
    </r>
  </si>
  <si>
    <r>
      <t>For the 150 $m^2$ Kitchen:</t>
    </r>
    <r>
      <rPr>
        <sz val="11"/>
        <color theme="1"/>
        <rFont val="Arial"/>
        <family val="2"/>
      </rPr>
      <t xml:space="preserve"> Heating is usually unnecessary due to the heat generated by cooking appliances. Focus your budget on </t>
    </r>
    <r>
      <rPr>
        <b/>
        <sz val="11"/>
        <color theme="1"/>
        <rFont val="Arial"/>
        <family val="2"/>
      </rPr>
      <t>ventilation</t>
    </r>
    <r>
      <rPr>
        <sz val="11"/>
        <color theme="1"/>
        <rFont val="Arial"/>
        <family val="2"/>
      </rPr>
      <t xml:space="preserve"> and </t>
    </r>
    <r>
      <rPr>
        <b/>
        <sz val="11"/>
        <color theme="1"/>
        <rFont val="Arial"/>
        <family val="2"/>
      </rPr>
      <t>extraction</t>
    </r>
    <r>
      <rPr>
        <sz val="11"/>
        <color theme="1"/>
        <rFont val="Arial"/>
        <family val="2"/>
      </rPr>
      <t xml:space="preserve"> here instead.</t>
    </r>
  </si>
  <si>
    <t>https://gastonkenya.com/</t>
  </si>
  <si>
    <t>https://skyniks.co.ke/product/perkins-80kva-diesel-silent-generator-heavy-duty-3phase/</t>
  </si>
  <si>
    <t>WATER AND SEPTIC SYSTEM</t>
  </si>
  <si>
    <t>Estimated Cost (Low)</t>
  </si>
  <si>
    <t>Estimated Cost (High)</t>
  </si>
  <si>
    <t>Water Storage (Tanks + 9m Tower)</t>
  </si>
  <si>
    <t>$2,800</t>
  </si>
  <si>
    <t>$4,500</t>
  </si>
  <si>
    <t>Main Distribution Loop (HDPE)</t>
  </si>
  <si>
    <t>$1,500</t>
  </si>
  <si>
    <t>$2,200</t>
  </si>
  <si>
    <t>3x Bio-Digesters &amp; Soak Pits</t>
  </si>
  <si>
    <t>$3,500</t>
  </si>
  <si>
    <t>Labor &amp; Specialized Plumbing</t>
  </si>
  <si>
    <t>Total Estimated Investment</t>
  </si>
  <si>
    <t>$7,500</t>
  </si>
  <si>
    <t>$11,700</t>
  </si>
  <si>
    <t>1. Water Demand &amp; Storage Capacity</t>
  </si>
  <si>
    <t>With 22 high-end tents, your peak occupancy is likely 44–50 guests plus staff.</t>
  </si>
  <si>
    <r>
      <t>Storage:</t>
    </r>
    <r>
      <rPr>
        <sz val="11"/>
        <color theme="1"/>
        <rFont val="Arial"/>
        <family val="2"/>
      </rPr>
      <t xml:space="preserve"> 15,000 liters is still the "gold standard" for 3 days of backup.</t>
    </r>
  </si>
  <si>
    <r>
      <t>Pressure:</t>
    </r>
    <r>
      <rPr>
        <sz val="11"/>
        <color theme="1"/>
        <rFont val="Arial"/>
        <family val="2"/>
      </rPr>
      <t xml:space="preserve"> Because $37\text{ m}^2$ tents often feature larger rain-showers, you cannot rely on a low 3-meter tower. You will need a </t>
    </r>
    <r>
      <rPr>
        <b/>
        <sz val="11"/>
        <color theme="1"/>
        <rFont val="Arial"/>
        <family val="2"/>
      </rPr>
      <t>6-meter to 9-meter steel tower</t>
    </r>
    <r>
      <rPr>
        <sz val="11"/>
        <color theme="1"/>
        <rFont val="Arial"/>
        <family val="2"/>
      </rPr>
      <t xml:space="preserve"> to ensure the last tent in the line doesn't have a "drip" instead of a shower.</t>
    </r>
  </si>
  <si>
    <r>
      <t>Cost:</t>
    </r>
    <r>
      <rPr>
        <sz val="11"/>
        <color theme="1"/>
        <rFont val="Arial"/>
        <family val="2"/>
      </rPr>
      <t xml:space="preserve"> </t>
    </r>
    <r>
      <rPr>
        <b/>
        <sz val="11"/>
        <color theme="1"/>
        <rFont val="Arial"/>
        <family val="2"/>
      </rPr>
      <t>$2,800 – $4,500</t>
    </r>
  </si>
  <si>
    <t>2. The Piping Network (The "Spine")</t>
  </si>
  <si>
    <t>The layout of a 1.2-hectare plot usually requires a "loop" system to maintain even pressure.</t>
  </si>
  <si>
    <r>
      <t>Main Loop (63mm or 50mm HDPE):</t>
    </r>
    <r>
      <rPr>
        <sz val="11"/>
        <color theme="1"/>
        <rFont val="Arial"/>
        <family val="2"/>
      </rPr>
      <t xml:space="preserve"> Larger diameter ensures that when Tent 1 turns on a tap, Tent 20 doesn't lose pressure.</t>
    </r>
  </si>
  <si>
    <r>
      <t>Sub-connections:</t>
    </r>
    <r>
      <rPr>
        <sz val="11"/>
        <color theme="1"/>
        <rFont val="Arial"/>
        <family val="2"/>
      </rPr>
      <t xml:space="preserve"> 22 points of connection using heavy-duty PN16 compression fittings.</t>
    </r>
  </si>
  <si>
    <r>
      <t>Cost:</t>
    </r>
    <r>
      <rPr>
        <sz val="11"/>
        <color theme="1"/>
        <rFont val="Arial"/>
        <family val="2"/>
      </rPr>
      <t xml:space="preserve"> </t>
    </r>
    <r>
      <rPr>
        <b/>
        <sz val="11"/>
        <color theme="1"/>
        <rFont val="Arial"/>
        <family val="2"/>
      </rPr>
      <t>$1,500 – $2,200</t>
    </r>
    <r>
      <rPr>
        <sz val="11"/>
        <color theme="1"/>
        <rFont val="Arial"/>
        <family val="2"/>
      </rPr>
      <t xml:space="preserve"> (Materials + Trenching).</t>
    </r>
  </si>
  <si>
    <t>3. Bio-Sanitation (The "Settlers")</t>
  </si>
  <si>
    <t>With larger tents, you likely have more "Grey Water" (from showers/sinks) alongside the "Black Water" (from toilets).</t>
  </si>
  <si>
    <r>
      <t>Recommendation:</t>
    </r>
    <r>
      <rPr>
        <sz val="11"/>
        <color theme="1"/>
        <rFont val="Arial"/>
        <family val="2"/>
      </rPr>
      <t xml:space="preserve"> Use </t>
    </r>
    <r>
      <rPr>
        <b/>
        <sz val="11"/>
        <color theme="1"/>
        <rFont val="Arial"/>
        <family val="2"/>
      </rPr>
      <t>3 Large Bio-digester Tanks</t>
    </r>
    <r>
      <rPr>
        <sz val="11"/>
        <color theme="1"/>
        <rFont val="Arial"/>
        <family val="2"/>
      </rPr>
      <t xml:space="preserve"> ($2\text{ m}^3$ each) placed in clusters.</t>
    </r>
  </si>
  <si>
    <t>Cluster 1: 7 Tents</t>
  </si>
  <si>
    <t>Cluster 2: 7 Tents</t>
  </si>
  <si>
    <t>Cluster 3: 6 Tents + 2 Luxury Tents</t>
  </si>
  <si>
    <r>
      <t>Cost:</t>
    </r>
    <r>
      <rPr>
        <sz val="11"/>
        <color theme="1"/>
        <rFont val="Arial"/>
        <family val="2"/>
      </rPr>
      <t xml:space="preserve"> </t>
    </r>
    <r>
      <rPr>
        <b/>
        <sz val="11"/>
        <color theme="1"/>
        <rFont val="Arial"/>
        <family val="2"/>
      </rPr>
      <t>$2,200 – $3,500</t>
    </r>
    <r>
      <rPr>
        <sz val="11"/>
        <color theme="1"/>
        <rFont val="Arial"/>
        <family val="2"/>
      </rPr>
      <t xml:space="preserve"> (Includes the digesters, enzyme starters, and soak pits).</t>
    </r>
  </si>
  <si>
    <t>4. Internal Fixtures &amp; Connections</t>
  </si>
  <si>
    <t>This covers the "simple" plumbing from the main line into the tent's bathroom area.</t>
  </si>
  <si>
    <r>
      <t>20 Standard Tents:</t>
    </r>
    <r>
      <rPr>
        <sz val="11"/>
        <color theme="1"/>
        <rFont val="Arial"/>
        <family val="2"/>
      </rPr>
      <t xml:space="preserve"> ~$70 per tent for piping, valves, and flexi-pipes.</t>
    </r>
  </si>
  <si>
    <r>
      <t>2 Luxury Tents ($150\text{ m}^2$):</t>
    </r>
    <r>
      <rPr>
        <sz val="11"/>
        <color theme="1"/>
        <rFont val="Arial"/>
        <family val="2"/>
      </rPr>
      <t xml:space="preserve"> These likely have double vanities or larger layouts. ~$200 per tent.</t>
    </r>
  </si>
  <si>
    <r>
      <t>Cost:</t>
    </r>
    <r>
      <rPr>
        <sz val="11"/>
        <color theme="1"/>
        <rFont val="Arial"/>
        <family val="2"/>
      </rPr>
      <t xml:space="preserve"> </t>
    </r>
    <r>
      <rPr>
        <b/>
        <sz val="11"/>
        <color theme="1"/>
        <rFont val="Arial"/>
        <family val="2"/>
      </rPr>
      <t>$1,800 – $2,300</t>
    </r>
    <r>
      <rPr>
        <sz val="11"/>
        <color theme="1"/>
        <rFont val="Arial"/>
        <family val="2"/>
      </rPr>
      <t>.</t>
    </r>
  </si>
  <si>
    <t>Water and septic system in the camping</t>
  </si>
  <si>
    <t>Managing Construction site. Estimated time:</t>
  </si>
  <si>
    <t>months</t>
  </si>
  <si>
    <t>Construction supervision and marketing, per month :</t>
  </si>
  <si>
    <t>Estimated Cost</t>
  </si>
  <si>
    <t>Why?</t>
  </si>
  <si>
    <t>Government Filing</t>
  </si>
  <si>
    <t>$85 – $150</t>
  </si>
  <si>
    <t>Official eCitizen fees.</t>
  </si>
  <si>
    <t>Legal/Advocate Fees</t>
  </si>
  <si>
    <t>$2,000 – $3,500</t>
  </si>
  <si>
    <t>Complex structuring for $500k assets.</t>
  </si>
  <si>
    <t>Notary &amp; Document Prep</t>
  </si>
  <si>
    <t>$200 – $500</t>
  </si>
  <si>
    <t>Verification of foreign directors.</t>
  </si>
  <si>
    <t>KenInvest Certificate</t>
  </si>
  <si>
    <t>$0 – $200</t>
  </si>
  <si>
    <t>Facilitation for major investors.</t>
  </si>
  <si>
    <t>Contingency/Permits</t>
  </si>
  <si>
    <t>$500</t>
  </si>
  <si>
    <t>Initial county-level business licenses.</t>
  </si>
  <si>
    <t>$2,985 – $4,850</t>
  </si>
  <si>
    <t>Estimation</t>
  </si>
  <si>
    <t>Additions</t>
  </si>
  <si>
    <t>Tourism Licenses (TRA Tourism Regulatory Authorities)</t>
  </si>
  <si>
    <t>KES (approx.)</t>
  </si>
  <si>
    <t>USD (approx.)</t>
  </si>
  <si>
    <t>Notes</t>
  </si>
  <si>
    <t>Application Fee</t>
  </si>
  <si>
    <t>KES 1,000 – 5,000</t>
  </si>
  <si>
    <t>$8 – $40</t>
  </si>
  <si>
    <t>One-time non-refundable fee.</t>
  </si>
  <si>
    <t>Annual License Fee</t>
  </si>
  <si>
    <t>KES 20,000 – 80,000</t>
  </si>
  <si>
    <t>$150 – $600</t>
  </si>
  <si>
    <t>Depends on the "star rating" or class.</t>
  </si>
  <si>
    <t>Inspection Fee</t>
  </si>
  <si>
    <t>KES 5,000 – 15,000</t>
  </si>
  <si>
    <t>$40 – $115</t>
  </si>
  <si>
    <t>Paid when officers visit to verify standards.</t>
  </si>
  <si>
    <t>Tourism Catering Levy</t>
  </si>
  <si>
    <t>2% of Gross Sales</t>
  </si>
  <si>
    <t>Variable</t>
  </si>
  <si>
    <t>Monthly payment once you start hosting guests.</t>
  </si>
  <si>
    <t>Total Initial Budget</t>
  </si>
  <si>
    <t>$500 – $1,200</t>
  </si>
  <si>
    <t>For first-year compliance.</t>
  </si>
  <si>
    <t>Sub-total</t>
  </si>
  <si>
    <t>OPEX</t>
  </si>
  <si>
    <t>Land Lease lawyers fees</t>
  </si>
  <si>
    <t>Legal and similar fees for opening</t>
  </si>
  <si>
    <t>LEGAL FEES</t>
  </si>
  <si>
    <t>TOTAL CAPEX and ONE-OFF COSTS:</t>
  </si>
  <si>
    <t>Fundraising fees. Finance Management.</t>
  </si>
  <si>
    <t>Outdoor electrical system (main distribution board, underground cabling across camp, poles/trenching, generator housing slab, lightning protection). CCTV. Security post.</t>
  </si>
  <si>
    <t>Estimated Cost (KSh)</t>
  </si>
  <si>
    <t>MDB &amp; ATS System</t>
  </si>
  <si>
    <t>Industrial grade, IP65 rated.</t>
  </si>
  <si>
    <t>Armoured Cabling</t>
  </si>
  <si>
    <t>Based on ~500m average total run.</t>
  </si>
  <si>
    <t>Civil Works (Slab/Cage)</t>
  </si>
  <si>
    <t>Essential for noise &amp; security.</t>
  </si>
  <si>
    <t>Trenching &amp; Labor</t>
  </si>
  <si>
    <t>Deep trenching is labor-intensive.</t>
  </si>
  <si>
    <t>Lightning Protection</t>
  </si>
  <si>
    <t>Critical for camp safety.</t>
  </si>
  <si>
    <t>Sundries (Poles, Lugs)</t>
  </si>
  <si>
    <t>Terminations, signage, tape.</t>
  </si>
  <si>
    <t>KSh 3,000,000</t>
  </si>
  <si>
    <t>OUTDOOR ELECTRICAL SYSTEMS</t>
  </si>
  <si>
    <t>Cost Breakdown (Estimated 2026 Rates)</t>
  </si>
  <si>
    <t>1. Main Distribution Board (MDB) &amp; ATS</t>
  </si>
  <si>
    <r>
      <t xml:space="preserve">The "brain" of your camp's power. It must include an </t>
    </r>
    <r>
      <rPr>
        <b/>
        <sz val="11"/>
        <color theme="1"/>
        <rFont val="Aptos Narrow"/>
        <family val="2"/>
        <scheme val="minor"/>
      </rPr>
      <t>Automatic Transfer Switch (ATS)</t>
    </r>
    <r>
      <rPr>
        <sz val="11"/>
        <color theme="1"/>
        <rFont val="Aptos Narrow"/>
        <family val="2"/>
        <scheme val="minor"/>
      </rPr>
      <t xml:space="preserve"> for the 80 kVA generator.</t>
    </r>
  </si>
  <si>
    <r>
      <t>MDB + 160A-200A ATS:</t>
    </r>
    <r>
      <rPr>
        <sz val="11"/>
        <color theme="1"/>
        <rFont val="Aptos Narrow"/>
        <family val="2"/>
        <scheme val="minor"/>
      </rPr>
      <t xml:space="preserve"> KSh 450,000 – KSh 850,000.</t>
    </r>
  </si>
  <si>
    <r>
      <t>Features:</t>
    </r>
    <r>
      <rPr>
        <sz val="11"/>
        <color theme="1"/>
        <rFont val="Aptos Narrow"/>
        <family val="2"/>
        <scheme val="minor"/>
      </rPr>
      <t xml:space="preserve"> Includes surge protectors, phase failure monitors, and sub-metering for different camp zones (e.g., kitchen vs. guest tents).</t>
    </r>
  </si>
  <si>
    <t>2. Underground Cabling (The Largest Expense)</t>
  </si>
  <si>
    <t>Safari camps avoid overhead lines to preserve the view and prevent giraffe/elephant interference.</t>
  </si>
  <si>
    <r>
      <t>Armoured Cable (4-Core, 25mm² to 70mm²):</t>
    </r>
    <r>
      <rPr>
        <sz val="11"/>
        <color theme="1"/>
        <rFont val="Aptos Narrow"/>
        <family val="2"/>
        <scheme val="minor"/>
      </rPr>
      <t xml:space="preserve"> KSh 1,200 – KSh 3,500 per meter (supply only).</t>
    </r>
  </si>
  <si>
    <r>
      <t>Total for ~500m of cabling:</t>
    </r>
    <r>
      <rPr>
        <sz val="11"/>
        <color theme="1"/>
        <rFont val="Aptos Narrow"/>
        <family val="2"/>
        <scheme val="minor"/>
      </rPr>
      <t xml:space="preserve"> KSh 800,000 – KSh 1,500,000.</t>
    </r>
  </si>
  <si>
    <r>
      <t>Why so high?</t>
    </r>
    <r>
      <rPr>
        <sz val="11"/>
        <color theme="1"/>
        <rFont val="Aptos Narrow"/>
        <family val="2"/>
        <scheme val="minor"/>
      </rPr>
      <t xml:space="preserve"> You need heavy-gauge copper to prevent "voltage drop" over the long distances between the generator and the furthest guest tent.</t>
    </r>
  </si>
  <si>
    <t>3. Trenching &amp; Civil Works</t>
  </si>
  <si>
    <t>In the bush, trenches must be deep (at least 600mm–800mm) and lined with "warning tape" and sand to prevent damage from burrowing animals or heavy safari vehicles.</t>
  </si>
  <si>
    <r>
      <t>Manual Trenching + Backfilling:</t>
    </r>
    <r>
      <rPr>
        <sz val="11"/>
        <color theme="1"/>
        <rFont val="Aptos Narrow"/>
        <family val="2"/>
        <scheme val="minor"/>
      </rPr>
      <t xml:space="preserve"> KSh 300 – KSh 600 per linear meter.</t>
    </r>
  </si>
  <si>
    <r>
      <t>Concrete Generator Slab (Plinth):</t>
    </r>
    <r>
      <rPr>
        <sz val="11"/>
        <color theme="1"/>
        <rFont val="Aptos Narrow"/>
        <family val="2"/>
        <scheme val="minor"/>
      </rPr>
      <t xml:space="preserve"> KSh 80,000 – KSh 150,000 (includes reinforcement for vibration).</t>
    </r>
  </si>
  <si>
    <r>
      <t>Generator Housing (Mesh Cage + Roof):</t>
    </r>
    <r>
      <rPr>
        <sz val="11"/>
        <color theme="1"/>
        <rFont val="Aptos Narrow"/>
        <family val="2"/>
        <scheme val="minor"/>
      </rPr>
      <t xml:space="preserve"> KSh 200,000 – KSh 400,000.</t>
    </r>
  </si>
  <si>
    <t>4. Lightning Protection System</t>
  </si>
  <si>
    <t>Critical for camps on open plains or near high ridges.</t>
  </si>
  <si>
    <r>
      <t>ESE (Early Streamer Emission) System:</t>
    </r>
    <r>
      <rPr>
        <sz val="11"/>
        <color theme="1"/>
        <rFont val="Aptos Narrow"/>
        <family val="2"/>
        <scheme val="minor"/>
      </rPr>
      <t xml:space="preserve"> KSh 180,000 – KSh 300,000.</t>
    </r>
  </si>
  <si>
    <r>
      <t>Components:</t>
    </r>
    <r>
      <rPr>
        <sz val="11"/>
        <color theme="1"/>
        <rFont val="Aptos Narrow"/>
        <family val="2"/>
        <scheme val="minor"/>
      </rPr>
      <t xml:space="preserve"> High-mast rod, down-conductors, and deep-earth copper mats (resistance must be below 1 Ohm).</t>
    </r>
  </si>
  <si>
    <t>Important Considerations for Safari Camps</t>
  </si>
  <si>
    <r>
      <t>Elephant Damage:</t>
    </r>
    <r>
      <rPr>
        <sz val="11"/>
        <color theme="1"/>
        <rFont val="Aptos Narrow"/>
        <family val="2"/>
        <scheme val="minor"/>
      </rPr>
      <t xml:space="preserve"> If you use poles for any section, they must be reinforced with "elephant-proof" concrete bases or spikes, as elephants love to use poles as scratching posts.</t>
    </r>
  </si>
  <si>
    <r>
      <t>Voltage Drop:</t>
    </r>
    <r>
      <rPr>
        <sz val="11"/>
        <color theme="1"/>
        <rFont val="Aptos Narrow"/>
        <family val="2"/>
        <scheme val="minor"/>
      </rPr>
      <t xml:space="preserve"> If your camp is very spread out (e.g., tents are 1km away), you may need a </t>
    </r>
    <r>
      <rPr>
        <b/>
        <sz val="11"/>
        <color theme="1"/>
        <rFont val="Aptos Narrow"/>
        <family val="2"/>
        <scheme val="minor"/>
      </rPr>
      <t>Step-up/Step-down Transformer</t>
    </r>
    <r>
      <rPr>
        <sz val="11"/>
        <color theme="1"/>
        <rFont val="Aptos Narrow"/>
        <family val="2"/>
        <scheme val="minor"/>
      </rPr>
      <t xml:space="preserve"> system, which can add another KSh 1.5M to the cost.</t>
    </r>
  </si>
  <si>
    <r>
      <t>Termite Protection:</t>
    </r>
    <r>
      <rPr>
        <sz val="11"/>
        <color theme="1"/>
        <rFont val="Aptos Narrow"/>
        <family val="2"/>
        <scheme val="minor"/>
      </rPr>
      <t xml:space="preserve"> Ensure all cables are "SWA" (Steel Wire Armoured) and that entry points into tents are sealed with specialized glands to prevent insects from entering electrical boxes.</t>
    </r>
  </si>
  <si>
    <r>
      <t>Note:</t>
    </r>
    <r>
      <rPr>
        <sz val="11"/>
        <color theme="1"/>
        <rFont val="Aptos Narrow"/>
        <family val="2"/>
        <scheme val="minor"/>
      </rPr>
      <t xml:space="preserve"> These prices exclude the cost of the generator itself. Labor rates can vary significantly depending on how remote your camp location is (logistics for the crew and materials).</t>
    </r>
  </si>
  <si>
    <t>Back of the camp (where staff quarters, the kitchen, and the 80 kVA generator are located)</t>
  </si>
  <si>
    <t>FENCING</t>
  </si>
  <si>
    <t>Materials &amp; Labor (800m @ $14/m avg)</t>
  </si>
  <si>
    <t>$11,200</t>
  </si>
  <si>
    <t>High-Joule Solar Energizer System</t>
  </si>
  <si>
    <t>$1,200</t>
  </si>
  <si>
    <t>Battery Backup &amp; Solar Panels</t>
  </si>
  <si>
    <t>$800</t>
  </si>
  <si>
    <t>Elephant-Proof "Offset" Brackets</t>
  </si>
  <si>
    <t>Total Estimated Cost</t>
  </si>
  <si>
    <t>$14,700</t>
  </si>
  <si>
    <r>
      <t xml:space="preserve">To estimate the fencing cost, we first need to determine the </t>
    </r>
    <r>
      <rPr>
        <b/>
        <sz val="11"/>
        <color theme="1"/>
        <rFont val="Aptos Narrow"/>
        <family val="2"/>
        <scheme val="minor"/>
      </rPr>
      <t>perimeter</t>
    </r>
    <r>
      <rPr>
        <sz val="11"/>
        <color theme="1"/>
        <rFont val="Aptos Narrow"/>
        <family val="2"/>
        <scheme val="minor"/>
      </rPr>
      <t xml:space="preserve"> of your camp. A 24-tent safari camp (22 standard + 2 large) is typically spread out to ensure guest privacy, usually covering a "footprint" of about </t>
    </r>
    <r>
      <rPr>
        <b/>
        <sz val="11"/>
        <color theme="1"/>
        <rFont val="Aptos Narrow"/>
        <family val="2"/>
        <scheme val="minor"/>
      </rPr>
      <t>5 to 8 acres</t>
    </r>
    <r>
      <rPr>
        <sz val="11"/>
        <color theme="1"/>
        <rFont val="Aptos Narrow"/>
        <family val="2"/>
        <scheme val="minor"/>
      </rPr>
      <t xml:space="preserve"> (approx. 600 to 900 linear meters of fencing).</t>
    </r>
  </si>
  <si>
    <r>
      <t xml:space="preserve">For a high-end safari camp in Kenya, you wouldn't use a "prison-style" wall. You would use a </t>
    </r>
    <r>
      <rPr>
        <b/>
        <sz val="11"/>
        <color theme="1"/>
        <rFont val="Aptos Narrow"/>
        <family val="2"/>
        <scheme val="minor"/>
      </rPr>
      <t>Free-Standing Electric Fence</t>
    </r>
    <r>
      <rPr>
        <sz val="11"/>
        <color theme="1"/>
        <rFont val="Aptos Narrow"/>
        <family val="2"/>
        <scheme val="minor"/>
      </rPr>
      <t xml:space="preserve"> (typically 8 to 12 strands) designed to be a psychological deterrent for elephants and predators while remaining low-profile.</t>
    </r>
  </si>
  <si>
    <t>1. Perimeter Calculation</t>
  </si>
  <si>
    <r>
      <t>Total Tents:</t>
    </r>
    <r>
      <rPr>
        <sz val="11"/>
        <color theme="1"/>
        <rFont val="Aptos Narrow"/>
        <family val="2"/>
        <scheme val="minor"/>
      </rPr>
      <t xml:space="preserve"> 24 units.</t>
    </r>
  </si>
  <si>
    <r>
      <t>Estimated spacing:</t>
    </r>
    <r>
      <rPr>
        <sz val="11"/>
        <color theme="1"/>
        <rFont val="Aptos Narrow"/>
        <family val="2"/>
        <scheme val="minor"/>
      </rPr>
      <t xml:space="preserve"> ~15m–20m between tents + central mess area.</t>
    </r>
  </si>
  <si>
    <r>
      <t>Estimated Perimeter:</t>
    </r>
    <r>
      <rPr>
        <sz val="11"/>
        <color theme="1"/>
        <rFont val="Aptos Narrow"/>
        <family val="2"/>
        <scheme val="minor"/>
      </rPr>
      <t xml:space="preserve"> </t>
    </r>
    <r>
      <rPr>
        <b/>
        <sz val="11"/>
        <color theme="1"/>
        <rFont val="Aptos Narrow"/>
        <family val="2"/>
        <scheme val="minor"/>
      </rPr>
      <t>800 meters</t>
    </r>
    <r>
      <rPr>
        <sz val="11"/>
        <color theme="1"/>
        <rFont val="Aptos Narrow"/>
        <family val="2"/>
        <scheme val="minor"/>
      </rPr>
      <t xml:space="preserve"> (This allows for a comfortable, non-crowded layout).</t>
    </r>
  </si>
  <si>
    <t>2. Cost per Meter (2026 Rates)</t>
  </si>
  <si>
    <r>
      <t xml:space="preserve">In Kenya, a professional free-standing electric fence for wildlife areas ranges from </t>
    </r>
    <r>
      <rPr>
        <b/>
        <sz val="11"/>
        <color theme="1"/>
        <rFont val="Aptos Narrow"/>
        <family val="2"/>
        <scheme val="minor"/>
      </rPr>
      <t>$10 to $18 per linear meter</t>
    </r>
    <r>
      <rPr>
        <sz val="11"/>
        <color theme="1"/>
        <rFont val="Aptos Narrow"/>
        <family val="2"/>
        <scheme val="minor"/>
      </rPr>
      <t xml:space="preserve"> (KSh 1,300 – KSh 2,300), including labor and high-end materials.</t>
    </r>
  </si>
  <si>
    <t>Breakdown of the "Safari Grade" Fence</t>
  </si>
  <si>
    <r>
      <t xml:space="preserve">Since you are protecting 24 tents (a significant investment), a "standard" home security fence is insufficient. You need a </t>
    </r>
    <r>
      <rPr>
        <b/>
        <sz val="11"/>
        <color theme="1"/>
        <rFont val="Aptos Narrow"/>
        <family val="2"/>
        <scheme val="minor"/>
      </rPr>
      <t>Wildlife Deterrent System</t>
    </r>
    <r>
      <rPr>
        <sz val="11"/>
        <color theme="1"/>
        <rFont val="Aptos Narrow"/>
        <family val="2"/>
        <scheme val="minor"/>
      </rPr>
      <t>:</t>
    </r>
  </si>
  <si>
    <r>
      <t>The Energizer ($1,200+):</t>
    </r>
    <r>
      <rPr>
        <sz val="11"/>
        <color theme="1"/>
        <rFont val="Aptos Narrow"/>
        <family val="2"/>
        <scheme val="minor"/>
      </rPr>
      <t xml:space="preserve"> You need a "high-joule" energizer (like a </t>
    </r>
    <r>
      <rPr>
        <b/>
        <sz val="11"/>
        <color theme="1"/>
        <rFont val="Aptos Narrow"/>
        <family val="2"/>
        <scheme val="minor"/>
      </rPr>
      <t>Stafix X12i</t>
    </r>
    <r>
      <rPr>
        <sz val="11"/>
        <color theme="1"/>
        <rFont val="Aptos Narrow"/>
        <family val="2"/>
        <scheme val="minor"/>
      </rPr>
      <t xml:space="preserve"> or </t>
    </r>
    <r>
      <rPr>
        <b/>
        <sz val="11"/>
        <color theme="1"/>
        <rFont val="Aptos Narrow"/>
        <family val="2"/>
        <scheme val="minor"/>
      </rPr>
      <t>Gallagher M5800i</t>
    </r>
    <r>
      <rPr>
        <sz val="11"/>
        <color theme="1"/>
        <rFont val="Aptos Narrow"/>
        <family val="2"/>
        <scheme val="minor"/>
      </rPr>
      <t>). Elephants have thick skin; a standard domestic energizer will not stop them. These units are more expensive but critical for camp safety.</t>
    </r>
  </si>
  <si>
    <r>
      <t>Solar-Powered:</t>
    </r>
    <r>
      <rPr>
        <sz val="11"/>
        <color theme="1"/>
        <rFont val="Aptos Narrow"/>
        <family val="2"/>
        <scheme val="minor"/>
      </rPr>
      <t xml:space="preserve"> Because the fence is likely far from your generator, you will need a dedicated solar system (panels + deep cycle batteries) to keep the fence "live" 24/7, even when the generator is off.</t>
    </r>
  </si>
  <si>
    <r>
      <t>The "Invisible" Look:</t>
    </r>
    <r>
      <rPr>
        <sz val="11"/>
        <color theme="1"/>
        <rFont val="Aptos Narrow"/>
        <family val="2"/>
        <scheme val="minor"/>
      </rPr>
      <t xml:space="preserve"> To keep the "unfenced" feel you remembered from Tanzania, you use </t>
    </r>
    <r>
      <rPr>
        <b/>
        <sz val="11"/>
        <color theme="1"/>
        <rFont val="Aptos Narrow"/>
        <family val="2"/>
        <scheme val="minor"/>
      </rPr>
      <t>dark-coated wires</t>
    </r>
    <r>
      <rPr>
        <sz val="11"/>
        <color theme="1"/>
        <rFont val="Aptos Narrow"/>
        <family val="2"/>
        <scheme val="minor"/>
      </rPr>
      <t xml:space="preserve"> and </t>
    </r>
    <r>
      <rPr>
        <b/>
        <sz val="11"/>
        <color theme="1"/>
        <rFont val="Aptos Narrow"/>
        <family val="2"/>
        <scheme val="minor"/>
      </rPr>
      <t>natural wood or recycled plastic posts</t>
    </r>
    <r>
      <rPr>
        <sz val="11"/>
        <color theme="1"/>
        <rFont val="Aptos Narrow"/>
        <family val="2"/>
        <scheme val="minor"/>
      </rPr>
      <t xml:space="preserve"> that disappear into the bush at a distance of 30 meters.</t>
    </r>
  </si>
  <si>
    <t>Summary: Total USD Investment</t>
  </si>
  <si>
    <r>
      <t xml:space="preserve">For a 24-tent camp layout, you should budget approximately </t>
    </r>
    <r>
      <rPr>
        <b/>
        <sz val="11"/>
        <color theme="1"/>
        <rFont val="Aptos Narrow"/>
        <family val="2"/>
        <scheme val="minor"/>
      </rPr>
      <t>$15,000 USD</t>
    </r>
    <r>
      <rPr>
        <sz val="11"/>
        <color theme="1"/>
        <rFont val="Aptos Narrow"/>
        <family val="2"/>
        <scheme val="minor"/>
      </rPr>
      <t xml:space="preserve"> for a professional, elephant-proof electric perimeter.</t>
    </r>
  </si>
  <si>
    <r>
      <t>Pro-Tip:</t>
    </r>
    <r>
      <rPr>
        <sz val="11"/>
        <color theme="1"/>
        <rFont val="Aptos Narrow"/>
        <family val="2"/>
        <scheme val="minor"/>
      </rPr>
      <t xml:space="preserve"> If your budget is tight, you don't have to fence the </t>
    </r>
    <r>
      <rPr>
        <i/>
        <sz val="11"/>
        <color theme="1"/>
        <rFont val="Aptos Narrow"/>
        <family val="2"/>
        <scheme val="minor"/>
      </rPr>
      <t>entire</t>
    </r>
    <r>
      <rPr>
        <sz val="11"/>
        <color theme="1"/>
        <rFont val="Aptos Narrow"/>
        <family val="2"/>
        <scheme val="minor"/>
      </rPr>
      <t xml:space="preserve"> camp. Many lodges only fence the </t>
    </r>
    <r>
      <rPr>
        <b/>
        <sz val="11"/>
        <color theme="1"/>
        <rFont val="Aptos Narrow"/>
        <family val="2"/>
        <scheme val="minor"/>
      </rPr>
      <t>back of the camp</t>
    </r>
    <r>
      <rPr>
        <sz val="11"/>
        <color theme="1"/>
        <rFont val="Aptos Narrow"/>
        <family val="2"/>
        <scheme val="minor"/>
      </rPr>
      <t xml:space="preserve"> (where staff quarters, the kitchen, and the 80 kVA generator are located) and leave the guest tents open, relying on night guards (</t>
    </r>
    <r>
      <rPr>
        <i/>
        <sz val="11"/>
        <color theme="1"/>
        <rFont val="Aptos Narrow"/>
        <family val="2"/>
        <scheme val="minor"/>
      </rPr>
      <t>Askaris</t>
    </r>
    <r>
      <rPr>
        <sz val="11"/>
        <color theme="1"/>
        <rFont val="Aptos Narrow"/>
        <family val="2"/>
        <scheme val="minor"/>
      </rPr>
      <t>). This can cut your fencing budget in half (</t>
    </r>
    <r>
      <rPr>
        <b/>
        <sz val="11"/>
        <color theme="1"/>
        <rFont val="Aptos Narrow"/>
        <family val="2"/>
        <scheme val="minor"/>
      </rPr>
      <t>~$7,500 USD</t>
    </r>
    <r>
      <rPr>
        <sz val="11"/>
        <color theme="1"/>
        <rFont val="Aptos Narrow"/>
        <family val="2"/>
        <scheme val="minor"/>
      </rPr>
      <t>).</t>
    </r>
  </si>
  <si>
    <t>Fireplace and safety compliance (benches, chaise lounges, hammocks, fire extinguishers, emergency lighting, signage, staff training). OSHA training.</t>
  </si>
  <si>
    <t>FIREPLACE</t>
  </si>
  <si>
    <t>Realistic Cost ($)</t>
  </si>
  <si>
    <t>Fireplace &amp; Boma</t>
  </si>
  <si>
    <t>Furniture (Lounge/Benches)</t>
  </si>
  <si>
    <t>Safety Equipment &amp; Signs</t>
  </si>
  <si>
    <t>Staff Training (OSHA)</t>
  </si>
  <si>
    <r>
      <t>Advanced Sand/Cabro Base:</t>
    </r>
    <r>
      <rPr>
        <sz val="10"/>
        <rFont val="Arial"/>
        <family val="2"/>
      </rPr>
      <t xml:space="preserve"> </t>
    </r>
    <r>
      <rPr>
        <b/>
        <sz val="10"/>
        <rFont val="Arial"/>
        <family val="2"/>
      </rPr>
      <t>~$1,000 – $1,400</t>
    </r>
  </si>
  <si>
    <r>
      <t>Raised Wooden Platform:</t>
    </r>
    <r>
      <rPr>
        <sz val="10"/>
        <rFont val="Arial"/>
        <family val="2"/>
      </rPr>
      <t xml:space="preserve"> ~$4,000 – $7,000</t>
    </r>
  </si>
  <si>
    <t>PROJECT CASHFLOWS</t>
  </si>
  <si>
    <t>CAPEX and ONE-OFF COSTS</t>
  </si>
  <si>
    <t>Estimated bank rate for the working capital financing</t>
  </si>
  <si>
    <t>Investor earns</t>
  </si>
  <si>
    <t>Property and business interruption insurance</t>
  </si>
  <si>
    <t>1. Estimated Annual Premium</t>
  </si>
  <si>
    <r>
      <t xml:space="preserve">In the Kenyan market, premiums for luxury tented camps typically range from </t>
    </r>
    <r>
      <rPr>
        <b/>
        <sz val="11"/>
        <color theme="1"/>
        <rFont val="Aptos Narrow"/>
        <family val="2"/>
        <scheme val="minor"/>
      </rPr>
      <t>0.5% to 1.5%</t>
    </r>
    <r>
      <rPr>
        <sz val="11"/>
        <color theme="1"/>
        <rFont val="Aptos Narrow"/>
        <family val="2"/>
        <scheme val="minor"/>
      </rPr>
      <t xml:space="preserve"> of the asset value per year, depending on the location's risk (e.g., flood zones or high-wind areas).</t>
    </r>
  </si>
  <si>
    <t>Calculation (Estimate)</t>
  </si>
  <si>
    <t>Annual Cost (USD)</t>
  </si>
  <si>
    <t>Basic Property Cover</t>
  </si>
  <si>
    <t>0.8% of $460k</t>
  </si>
  <si>
    <t>$3,680</t>
  </si>
  <si>
    <t>Weather/Natural Disaster Add-on</t>
  </si>
  <si>
    <t>$920</t>
  </si>
  <si>
    <t>Public Liability (Essential)</t>
  </si>
  <si>
    <t>Fixed limit</t>
  </si>
  <si>
    <t>$500 – $1,000</t>
  </si>
  <si>
    <t>Total Estimated Premium</t>
  </si>
  <si>
    <t>~ 1.1%</t>
  </si>
  <si>
    <t>$5,100 – $5,600</t>
  </si>
  <si>
    <t>2. What "Weather Condition" Cover Includes</t>
  </si>
  <si>
    <r>
      <t xml:space="preserve">Standard Kenyan policies for safari lodges (often called </t>
    </r>
    <r>
      <rPr>
        <b/>
        <sz val="11"/>
        <color theme="1"/>
        <rFont val="Aptos Narrow"/>
        <family val="2"/>
        <scheme val="minor"/>
      </rPr>
      <t>Fire and Allied Perils</t>
    </r>
    <r>
      <rPr>
        <sz val="11"/>
        <color theme="1"/>
        <rFont val="Aptos Narrow"/>
        <family val="2"/>
        <scheme val="minor"/>
      </rPr>
      <t>) cover:</t>
    </r>
  </si>
  <si>
    <r>
      <t>Storm and Tempest:</t>
    </r>
    <r>
      <rPr>
        <sz val="11"/>
        <color theme="1"/>
        <rFont val="Aptos Narrow"/>
        <family val="2"/>
        <scheme val="minor"/>
      </rPr>
      <t xml:space="preserve"> Damage from heavy winds or rain (crucial for canvas structures).</t>
    </r>
  </si>
  <si>
    <r>
      <t>Floods:</t>
    </r>
    <r>
      <rPr>
        <sz val="11"/>
        <color theme="1"/>
        <rFont val="Aptos Narrow"/>
        <family val="2"/>
        <scheme val="minor"/>
      </rPr>
      <t xml:space="preserve"> Coverage for camps near seasonal rivers (luggas).</t>
    </r>
  </si>
  <si>
    <r>
      <t>Lightning:</t>
    </r>
    <r>
      <rPr>
        <sz val="11"/>
        <color theme="1"/>
        <rFont val="Aptos Narrow"/>
        <family val="2"/>
        <scheme val="minor"/>
      </rPr>
      <t xml:space="preserve"> A common cause of fire in remote, high-altitude bush areas.</t>
    </r>
  </si>
  <si>
    <r>
      <t>Hail:</t>
    </r>
    <r>
      <rPr>
        <sz val="11"/>
        <color theme="1"/>
        <rFont val="Aptos Narrow"/>
        <family val="2"/>
        <scheme val="minor"/>
      </rPr>
      <t xml:space="preserve"> Though rare, it can shred canvas in specific regions like Laikipia or the Rift Valley.</t>
    </r>
  </si>
  <si>
    <t>3. Critical Considerations for Tents</t>
  </si>
  <si>
    <r>
      <t>The "Wear and Tear" Exclusion:</t>
    </r>
    <r>
      <rPr>
        <sz val="11"/>
        <color theme="1"/>
        <rFont val="Aptos Narrow"/>
        <family val="2"/>
        <scheme val="minor"/>
      </rPr>
      <t xml:space="preserve"> Insurers are wary of canvas. They will cover a tent blown away by a storm, but they will </t>
    </r>
    <r>
      <rPr>
        <b/>
        <sz val="11"/>
        <color theme="1"/>
        <rFont val="Aptos Narrow"/>
        <family val="2"/>
        <scheme val="minor"/>
      </rPr>
      <t>not</t>
    </r>
    <r>
      <rPr>
        <sz val="11"/>
        <color theme="1"/>
        <rFont val="Aptos Narrow"/>
        <family val="2"/>
        <scheme val="minor"/>
      </rPr>
      <t xml:space="preserve"> cover a tent that leaks because the fabric is old or degraded by UV rays.</t>
    </r>
  </si>
  <si>
    <r>
      <t>Replacement Value vs. Indemnity:</t>
    </r>
    <r>
      <rPr>
        <sz val="11"/>
        <color theme="1"/>
        <rFont val="Aptos Narrow"/>
        <family val="2"/>
        <scheme val="minor"/>
      </rPr>
      <t xml:space="preserve"> Ensure your policy is for </t>
    </r>
    <r>
      <rPr>
        <b/>
        <sz val="11"/>
        <color theme="1"/>
        <rFont val="Aptos Narrow"/>
        <family val="2"/>
        <scheme val="minor"/>
      </rPr>
      <t>"New for Old"</t>
    </r>
    <r>
      <rPr>
        <sz val="11"/>
        <color theme="1"/>
        <rFont val="Aptos Narrow"/>
        <family val="2"/>
        <scheme val="minor"/>
      </rPr>
      <t xml:space="preserve"> replacement. If a $15,000 tent is destroyed, you want the full $15,000 to buy a new one, not a depreciated payout of $7,000.</t>
    </r>
  </si>
  <si>
    <r>
      <t>Business Interruption:</t>
    </r>
    <r>
      <rPr>
        <sz val="11"/>
        <color theme="1"/>
        <rFont val="Aptos Narrow"/>
        <family val="2"/>
        <scheme val="minor"/>
      </rPr>
      <t xml:space="preserve"> If a storm destroys 10 of your 20 tents during peak season (July–September), you lose more than just the tents—you lose the revenue. This "Consequential Loss" cover is highly recommended.</t>
    </r>
  </si>
  <si>
    <t>4. Recommended Insurers in Kenya</t>
  </si>
  <si>
    <t>You should approach brokers who specialize in the "Safari &amp; Tourism" niche. Top players include:</t>
  </si>
  <si>
    <r>
      <t>Heritage Insurance:</t>
    </r>
    <r>
      <rPr>
        <sz val="11"/>
        <color theme="1"/>
        <rFont val="Aptos Narrow"/>
        <family val="2"/>
        <scheme val="minor"/>
      </rPr>
      <t xml:space="preserve"> Known for specialized "Tourism" packages.</t>
    </r>
  </si>
  <si>
    <r>
      <t>UAP Old Mutual:</t>
    </r>
    <r>
      <rPr>
        <sz val="11"/>
        <color theme="1"/>
        <rFont val="Aptos Narrow"/>
        <family val="2"/>
        <scheme val="minor"/>
      </rPr>
      <t xml:space="preserve"> Strong on property and weather-related risks.</t>
    </r>
  </si>
  <si>
    <r>
      <t>APA Insurance:</t>
    </r>
    <r>
      <rPr>
        <sz val="11"/>
        <color theme="1"/>
        <rFont val="Aptos Narrow"/>
        <family val="2"/>
        <scheme val="minor"/>
      </rPr>
      <t xml:space="preserve"> Offers unique "index-based" weather products.</t>
    </r>
  </si>
  <si>
    <r>
      <t>GA Insurance:</t>
    </r>
    <r>
      <rPr>
        <sz val="11"/>
        <color theme="1"/>
        <rFont val="Aptos Narrow"/>
        <family val="2"/>
        <scheme val="minor"/>
      </rPr>
      <t xml:space="preserve"> Very active in the hospitality sector.</t>
    </r>
  </si>
  <si>
    <r>
      <t>Pro Tip:</t>
    </r>
    <r>
      <rPr>
        <sz val="11"/>
        <color theme="1"/>
        <rFont val="Aptos Narrow"/>
        <family val="2"/>
        <scheme val="minor"/>
      </rPr>
      <t xml:space="preserve"> Because tents are considered "temporary structures," some insurers might charge a slightly higher rate than they would for a stone-and-mortar hotel. Always ask for a "First Loss" limit on the canvas itself to keep premiums manageable.</t>
    </r>
  </si>
  <si>
    <t>MONTHLY (Operations view)</t>
  </si>
  <si>
    <t>Project IRR</t>
  </si>
  <si>
    <t>Project NPV</t>
  </si>
  <si>
    <r>
      <t xml:space="preserve">For 20 safari tents in Kenya you need </t>
    </r>
    <r>
      <rPr>
        <b/>
        <sz val="11"/>
        <color theme="1"/>
        <rFont val="Aptos Narrow"/>
        <family val="2"/>
        <scheme val="minor"/>
      </rPr>
      <t>Property &amp; Business Interruption Insurance</t>
    </r>
    <r>
      <rPr>
        <sz val="11"/>
        <color theme="1"/>
        <rFont val="Aptos Narrow"/>
        <family val="2"/>
        <scheme val="minor"/>
      </rPr>
      <t xml:space="preserve"> specifically for the hospitality sector.</t>
    </r>
  </si>
  <si>
    <r>
      <t xml:space="preserve">Since the project is worth </t>
    </r>
    <r>
      <rPr>
        <b/>
        <sz val="11"/>
        <color theme="1"/>
        <rFont val="Aptos Narrow"/>
        <family val="2"/>
        <scheme val="minor"/>
      </rPr>
      <t>$460,000</t>
    </r>
    <r>
      <rPr>
        <sz val="11"/>
        <color theme="1"/>
        <rFont val="Aptos Narrow"/>
        <family val="2"/>
        <scheme val="minor"/>
      </rPr>
      <t>, the insurance cost is calculated based on the "Total Sum Insured" (the replacement value of the tents, decks, and furniture).</t>
    </r>
  </si>
  <si>
    <t>CASH OUTFLOWS</t>
  </si>
  <si>
    <t>WORKING CAPITAL - Loan</t>
  </si>
  <si>
    <t>WORKING CAPITAL - Interests</t>
  </si>
  <si>
    <t>Threshold IRR calculation</t>
  </si>
  <si>
    <t>IRR</t>
  </si>
  <si>
    <t>Equity multiplier EM</t>
  </si>
  <si>
    <t>Operator premium (in case IRR is higher than 25%)</t>
  </si>
  <si>
    <t>Operator bonus</t>
  </si>
  <si>
    <t>VAT</t>
  </si>
  <si>
    <t>Tax Type</t>
  </si>
  <si>
    <t>Rate</t>
  </si>
  <si>
    <t>Deductible?</t>
  </si>
  <si>
    <t>Frequency</t>
  </si>
  <si>
    <t>Monthly (by 20th)</t>
  </si>
  <si>
    <t>Tourism Levy</t>
  </si>
  <si>
    <t>No</t>
  </si>
  <si>
    <t>Monthly (by 10th)</t>
  </si>
  <si>
    <t>* VAT and levies collected for the Kenya Revenue Authorities (KRA) and Tourism Fund (TF)</t>
  </si>
  <si>
    <t>* VAT and levies paid to the Kenya Revenue Authorities (KRA) and Tourism Fund (TF)</t>
  </si>
  <si>
    <t>Operator bonus from IRR excess</t>
  </si>
  <si>
    <t>in case operator takes 50% of excessive IRR above 25%</t>
  </si>
  <si>
    <t>Assuming 0 input VAT</t>
  </si>
  <si>
    <t>Applied taxes</t>
  </si>
  <si>
    <t>ANNUAL SPLIT</t>
  </si>
  <si>
    <t>MONTHLY SPLIT</t>
  </si>
  <si>
    <t>Monthly retreat occupancy</t>
  </si>
  <si>
    <t>Maximum retreats per month</t>
  </si>
  <si>
    <t>Days per 1 retreat (for OPEX)</t>
  </si>
  <si>
    <t>Nights per 1 retreat (for Revenue)</t>
  </si>
  <si>
    <t>Average number of persons per tent (pax)</t>
  </si>
  <si>
    <t>Number of retreats</t>
  </si>
  <si>
    <t>Number of days with retreats</t>
  </si>
  <si>
    <t>Maximum number of retreats</t>
  </si>
  <si>
    <t>Actual number of retreats</t>
  </si>
  <si>
    <t>Average number of retreats per month</t>
  </si>
  <si>
    <t>Weekly occupancy rate</t>
  </si>
  <si>
    <t>Daily occupancy rate</t>
  </si>
  <si>
    <t>Average number of participants per 1 group</t>
  </si>
  <si>
    <t>Average number of pax for a period</t>
  </si>
  <si>
    <t>WiFi and internet</t>
  </si>
  <si>
    <t>Days per annum</t>
  </si>
  <si>
    <t>YEAR</t>
  </si>
  <si>
    <t>MONTH</t>
  </si>
  <si>
    <t>DAYS</t>
  </si>
  <si>
    <t>Raw food</t>
  </si>
  <si>
    <t>Logistics and delivery</t>
  </si>
  <si>
    <t>Utilities and gas</t>
  </si>
  <si>
    <t>Total Food and Beverage Costs</t>
  </si>
  <si>
    <t>Food and Beverage cost</t>
  </si>
  <si>
    <t>Potable water</t>
  </si>
  <si>
    <t>Drinks and snacks</t>
  </si>
  <si>
    <t>Cooking team (Head Chief, Chef, Assistants)</t>
  </si>
  <si>
    <t>Electricity and generator costs</t>
  </si>
  <si>
    <t>Garbage removal (NEMA-licensed collector)</t>
  </si>
  <si>
    <t>Payback Period</t>
  </si>
  <si>
    <t>Accumulative</t>
  </si>
  <si>
    <t>Luxury component for selected camps</t>
  </si>
  <si>
    <t>of tents</t>
  </si>
  <si>
    <t>LUXURY TENTS</t>
  </si>
  <si>
    <t>Element</t>
  </si>
  <si>
    <t>Luxury Upgrade</t>
  </si>
  <si>
    <r>
      <t>Raised Wooden Deck:</t>
    </r>
    <r>
      <rPr>
        <sz val="11"/>
        <color rgb="FF1F1F1F"/>
        <rFont val="Arial"/>
        <family val="2"/>
      </rPr>
      <t xml:space="preserve"> Elevates the tent from the ground, preventing dust and insects. Use local cedar or treated cypress.</t>
    </r>
  </si>
  <si>
    <t>En-suite</t>
  </si>
  <si>
    <r>
      <t>Semi-permanent Bathroom:</t>
    </r>
    <r>
      <rPr>
        <sz val="11"/>
        <color rgb="FF1F1F1F"/>
        <rFont val="Arial"/>
        <family val="2"/>
      </rPr>
      <t xml:space="preserve"> A stone or wood-clad rear addition with a flushing toilet and a "rain shower."</t>
    </r>
  </si>
  <si>
    <t>$1,200 – $1,800</t>
  </si>
  <si>
    <t>Water</t>
  </si>
  <si>
    <r>
      <t>Solar Water Heater:</t>
    </r>
    <r>
      <rPr>
        <sz val="11"/>
        <color rgb="FF1F1F1F"/>
        <rFont val="Arial"/>
        <family val="2"/>
      </rPr>
      <t xml:space="preserve"> 150L pressurized system for reliable hot showers without electricity.</t>
    </r>
  </si>
  <si>
    <t>$800 – $1,000</t>
  </si>
  <si>
    <t>Bedding</t>
  </si>
  <si>
    <r>
      <t>Orthopedic Mattress + High-thread Cotton:</t>
    </r>
    <r>
      <rPr>
        <sz val="11"/>
        <color rgb="FF1F1F1F"/>
        <rFont val="Arial"/>
        <family val="2"/>
      </rPr>
      <t xml:space="preserve"> Moving from foam pads to a real queen-sized bed with 400+ thread count linens.</t>
    </r>
  </si>
  <si>
    <t>$400 – $600</t>
  </si>
  <si>
    <t>Furniture</t>
  </si>
  <si>
    <r>
      <t>Safari Chic Décor:</t>
    </r>
    <r>
      <rPr>
        <sz val="11"/>
        <color rgb="FF1F1F1F"/>
        <rFont val="Arial"/>
        <family val="2"/>
      </rPr>
      <t xml:space="preserve"> 2 Canvas "Director" chairs, a local hand-carved coffee table, and a sisal floor rug.</t>
    </r>
  </si>
  <si>
    <t>Lighting</t>
  </si>
  <si>
    <r>
      <t>Solar LED Lanterns &amp; Strips:</t>
    </r>
    <r>
      <rPr>
        <sz val="11"/>
        <color rgb="FF1F1F1F"/>
        <rFont val="Arial"/>
        <family val="2"/>
      </rPr>
      <t xml:space="preserve"> Warm-white LED strips for the interior and solar-charged "storm lanterns" for the porch.</t>
    </r>
  </si>
  <si>
    <t>Climate</t>
  </si>
  <si>
    <r>
      <t>Double Roof / Fly Sheet:</t>
    </r>
    <r>
      <rPr>
        <sz val="11"/>
        <color rgb="FF1F1F1F"/>
        <rFont val="Arial"/>
        <family val="2"/>
      </rPr>
      <t xml:space="preserve"> An extra layer of canvas above the tent to create an air gap, reducing heat by 5–8°C.</t>
    </r>
  </si>
  <si>
    <t>$250 – $400</t>
  </si>
  <si>
    <t>Estimated per tent (all-in)</t>
  </si>
  <si>
    <t>$3,900 – $5,750</t>
  </si>
  <si>
    <t>Estimated costs per luxury elements of 1 tent</t>
  </si>
  <si>
    <t>Operational Cash Flow (OCF) margin</t>
  </si>
  <si>
    <t>Days per 1 retreat</t>
  </si>
  <si>
    <t>Nights per 1 retrerat</t>
  </si>
  <si>
    <t>Operator premium (Revenue share)</t>
  </si>
  <si>
    <t>GROSS PROCEEDS</t>
  </si>
  <si>
    <t>AGENT COMMISSION</t>
  </si>
  <si>
    <t>Agent commission</t>
  </si>
  <si>
    <t>Rate per 1 night per 1 person</t>
  </si>
  <si>
    <t>Rate per 1 retreat per 1 person</t>
  </si>
  <si>
    <t>NET CASH PROCEEDS (Rental)</t>
  </si>
  <si>
    <t>NET Excl. VAT</t>
  </si>
  <si>
    <t>NET Incl. VAT and Tourism Levy</t>
  </si>
  <si>
    <t>GROSS PRICE, excl. Taxes</t>
  </si>
  <si>
    <t>FINAL GROSS PRICE, incl. Taxes</t>
  </si>
  <si>
    <t>TYPE OF PRICE</t>
  </si>
  <si>
    <t>prices check</t>
  </si>
  <si>
    <t>CFs check</t>
  </si>
  <si>
    <t>PRICING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</si>
</sst>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409]* #,##0.00_ ;_-[$$-409]* \-#,##0.00\ ;_-[$$-409]* &quot;-&quot;??_ ;_-@_ "/>
    <numFmt numFmtId="165" formatCode="_-[$$-409]* #,##0_ ;_-[$$-409]* \-#,##0\ ;_-[$$-409]* &quot;-&quot;??_ ;_-@_ "/>
    <numFmt numFmtId="166" formatCode="0\ &quot;m2&quot;"/>
    <numFmt numFmtId="167" formatCode="0\ &quot;m&quot;"/>
    <numFmt numFmtId="168" formatCode="\$\ 0\ &quot;per meter&quot;"/>
    <numFmt numFmtId="169" formatCode="#,##0_ ;\-#,##0\ "/>
    <numFmt numFmtId="170" formatCode="0.0%"/>
    <numFmt numFmtId="171" formatCode="#,#00\ &quot;m2&quot;"/>
    <numFmt numFmtId="172" formatCode="_-* #,##0_-;\-* #,##0_-;_-* &quot;-&quot;??_-;_-@_-"/>
    <numFmt numFmtId="173" formatCode="[$$-409]#,##0"/>
    <numFmt numFmtId="174" formatCode="0.0"/>
    <numFmt numFmtId="175" formatCode="0%\ &quot;of original price in 5 years&quot;"/>
    <numFmt numFmtId="176" formatCode="[$$-409]#,##0.00"/>
    <numFmt numFmtId="177" formatCode="[$$-409]#,##0_ ;\-[$$-409]#,##0\ "/>
    <numFmt numFmtId="178" formatCode="#,##0.00_ ;\-#,##0.00\ "/>
    <numFmt numFmtId="179" formatCode="0.0\x"/>
    <numFmt numFmtId="180" formatCode="0.0&quot; years&quot;"/>
  </numFmts>
  <fonts count="61">
    <font>
      <sz val="11"/>
      <color theme="1"/>
      <name val="Aptos Narrow"/>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Aptos Narrow"/>
      <family val="2"/>
      <scheme val="minor"/>
    </font>
    <font>
      <u/>
      <sz val="11"/>
      <color theme="10"/>
      <name val="Aptos Narrow"/>
      <family val="2"/>
      <scheme val="minor"/>
    </font>
    <font>
      <sz val="11"/>
      <color rgb="FF0000FF"/>
      <name val="Aptos Narrow"/>
      <family val="2"/>
    </font>
    <font>
      <sz val="11"/>
      <color rgb="FF0000FF"/>
      <name val="Aptos Narrow"/>
      <family val="2"/>
      <scheme val="minor"/>
    </font>
    <font>
      <sz val="11"/>
      <name val="Aptos Narrow"/>
      <family val="2"/>
      <scheme val="minor"/>
    </font>
    <font>
      <sz val="11"/>
      <name val="Aptos Narrow"/>
      <family val="2"/>
    </font>
    <font>
      <b/>
      <sz val="18"/>
      <color rgb="FF1F1F1F"/>
      <name val="Times New Roman"/>
      <family val="1"/>
    </font>
    <font>
      <sz val="10"/>
      <color rgb="FF1F1F1F"/>
      <name val="Arial"/>
      <family val="2"/>
    </font>
    <font>
      <b/>
      <sz val="10"/>
      <color rgb="FF1F1F1F"/>
      <name val="Arial"/>
      <family val="2"/>
    </font>
    <font>
      <sz val="13.3"/>
      <color rgb="FF1F1F1F"/>
      <name val="Times New Roman"/>
      <family val="1"/>
    </font>
    <font>
      <i/>
      <sz val="10"/>
      <color rgb="FF1F1F1F"/>
      <name val="Arial"/>
      <family val="2"/>
    </font>
    <font>
      <i/>
      <sz val="13.3"/>
      <color rgb="FF1F1F1F"/>
      <name val="Times New Roman"/>
      <family val="1"/>
    </font>
    <font>
      <sz val="10"/>
      <color rgb="FF1F1F1F"/>
      <name val="Arial"/>
      <family val="2"/>
    </font>
    <font>
      <b/>
      <sz val="10"/>
      <name val="Arial"/>
      <family val="2"/>
    </font>
    <font>
      <sz val="11"/>
      <color rgb="FF1F1F1F"/>
      <name val="Arial"/>
      <family val="2"/>
    </font>
    <font>
      <b/>
      <sz val="11"/>
      <color rgb="FF1F1F1F"/>
      <name val="Arial"/>
      <family val="2"/>
    </font>
    <font>
      <b/>
      <sz val="14"/>
      <color theme="1"/>
      <name val="Aptos Narrow"/>
      <family val="2"/>
      <scheme val="minor"/>
    </font>
    <font>
      <b/>
      <sz val="11"/>
      <color theme="1"/>
      <name val="Arial"/>
      <family val="2"/>
    </font>
    <font>
      <sz val="11"/>
      <color theme="1"/>
      <name val="Arial"/>
      <family val="2"/>
    </font>
    <font>
      <b/>
      <sz val="13.5"/>
      <color theme="1"/>
      <name val="Arial"/>
      <family val="2"/>
    </font>
    <font>
      <i/>
      <sz val="11"/>
      <color theme="1"/>
      <name val="Arial"/>
      <family val="2"/>
    </font>
    <font>
      <b/>
      <sz val="12"/>
      <color theme="1"/>
      <name val="Arial"/>
      <family val="2"/>
    </font>
    <font>
      <b/>
      <sz val="13.3"/>
      <color rgb="FF1F1F1F"/>
      <name val="Times New Roman"/>
      <family val="1"/>
    </font>
    <font>
      <b/>
      <i/>
      <sz val="13.3"/>
      <color rgb="FF1F1F1F"/>
      <name val="KaTeX_Math"/>
    </font>
    <font>
      <b/>
      <sz val="7.7"/>
      <color rgb="FF1F1F1F"/>
      <name val="Times New Roman"/>
      <family val="1"/>
    </font>
    <font>
      <b/>
      <sz val="13.5"/>
      <color theme="1"/>
      <name val="Aptos Narrow"/>
      <family val="2"/>
      <scheme val="minor"/>
    </font>
    <font>
      <b/>
      <i/>
      <sz val="13.5"/>
      <color theme="1"/>
      <name val="Arial"/>
      <family val="2"/>
    </font>
    <font>
      <sz val="11"/>
      <color theme="1"/>
      <name val="Aptos Narrow"/>
      <family val="2"/>
      <scheme val="minor"/>
    </font>
    <font>
      <sz val="9"/>
      <color indexed="81"/>
      <name val="Tahoma"/>
      <family val="2"/>
    </font>
    <font>
      <b/>
      <sz val="18"/>
      <color theme="1"/>
      <name val="Aptos Narrow"/>
      <family val="2"/>
      <scheme val="minor"/>
    </font>
    <font>
      <i/>
      <sz val="11"/>
      <color theme="1"/>
      <name val="Aptos Narrow"/>
      <family val="2"/>
      <scheme val="minor"/>
    </font>
    <font>
      <b/>
      <sz val="11"/>
      <name val="Arial"/>
      <family val="2"/>
    </font>
    <font>
      <sz val="10"/>
      <name val="Arial"/>
      <family val="2"/>
    </font>
    <font>
      <b/>
      <sz val="11"/>
      <color rgb="FFC00000"/>
      <name val="Aptos Narrow"/>
      <family val="2"/>
      <scheme val="minor"/>
    </font>
    <font>
      <b/>
      <sz val="11"/>
      <color rgb="FF0000FF"/>
      <name val="Aptos Narrow"/>
      <family val="2"/>
    </font>
    <font>
      <b/>
      <sz val="11"/>
      <color rgb="FF0000FF"/>
      <name val="Aptos Narrow"/>
      <family val="2"/>
      <scheme val="minor"/>
    </font>
    <font>
      <b/>
      <sz val="9"/>
      <color indexed="81"/>
      <name val="Tahoma"/>
      <family val="2"/>
    </font>
    <font>
      <sz val="9"/>
      <color indexed="81"/>
      <name val="Tahoma"/>
      <charset val="1"/>
    </font>
    <font>
      <b/>
      <sz val="9"/>
      <color indexed="81"/>
      <name val="Tahoma"/>
      <charset val="1"/>
    </font>
    <font>
      <b/>
      <sz val="11"/>
      <name val="Aptos Narrow"/>
      <family val="2"/>
    </font>
  </fonts>
  <fills count="6">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92D050"/>
        <bgColor indexed="64"/>
      </patternFill>
    </fill>
  </fills>
  <borders count="38">
    <border>
      <left/>
      <right/>
      <top/>
      <bottom/>
      <diagonal/>
    </border>
    <border>
      <left/>
      <right/>
      <top style="thin">
        <color indexed="64"/>
      </top>
      <bottom style="double">
        <color indexed="64"/>
      </bottom>
      <diagonal/>
    </border>
    <border>
      <left/>
      <right/>
      <top style="thin">
        <color indexed="64"/>
      </top>
      <bottom style="thin">
        <color indexed="64"/>
      </bottom>
      <diagonal/>
    </border>
    <border>
      <left/>
      <right/>
      <top/>
      <bottom style="medium">
        <color rgb="FFC4C7C5"/>
      </bottom>
      <diagonal/>
    </border>
    <border>
      <left/>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4">
    <xf numFmtId="0" fontId="0" fillId="0" borderId="0"/>
    <xf numFmtId="9" fontId="19" fillId="0" borderId="0" applyFont="0" applyFill="0" applyBorder="0" applyAlignment="0" applyProtection="0"/>
    <xf numFmtId="0" fontId="22" fillId="0" borderId="0" applyNumberFormat="0" applyFill="0" applyBorder="0" applyAlignment="0" applyProtection="0"/>
    <xf numFmtId="43" fontId="48" fillId="0" borderId="0" applyFont="0" applyFill="0" applyBorder="0" applyAlignment="0" applyProtection="0"/>
  </cellStyleXfs>
  <cellXfs count="248">
    <xf numFmtId="0" fontId="0" fillId="0" borderId="0" xfId="0"/>
    <xf numFmtId="0" fontId="21" fillId="0" borderId="0" xfId="0" applyFont="1"/>
    <xf numFmtId="0" fontId="22" fillId="0" borderId="0" xfId="2"/>
    <xf numFmtId="165" fontId="23" fillId="0" borderId="0" xfId="0" applyNumberFormat="1" applyFont="1"/>
    <xf numFmtId="0" fontId="18" fillId="0" borderId="0" xfId="0" applyFont="1"/>
    <xf numFmtId="0" fontId="24" fillId="0" borderId="0" xfId="0" applyFont="1"/>
    <xf numFmtId="166" fontId="24" fillId="0" borderId="0" xfId="0" applyNumberFormat="1" applyFont="1"/>
    <xf numFmtId="0" fontId="20" fillId="0" borderId="0" xfId="0" applyFont="1"/>
    <xf numFmtId="165" fontId="21" fillId="0" borderId="0" xfId="0" applyNumberFormat="1" applyFont="1"/>
    <xf numFmtId="0" fontId="20" fillId="0" borderId="1" xfId="0" applyFont="1" applyBorder="1"/>
    <xf numFmtId="167" fontId="24" fillId="0" borderId="0" xfId="0" applyNumberFormat="1" applyFont="1"/>
    <xf numFmtId="167" fontId="25" fillId="0" borderId="0" xfId="0" applyNumberFormat="1" applyFont="1"/>
    <xf numFmtId="168" fontId="23" fillId="0" borderId="0" xfId="0" applyNumberFormat="1" applyFont="1"/>
    <xf numFmtId="165" fontId="26" fillId="0" borderId="0" xfId="0" applyNumberFormat="1" applyFont="1"/>
    <xf numFmtId="0" fontId="18" fillId="0" borderId="0" xfId="0" applyFont="1" applyAlignment="1">
      <alignment wrapText="1"/>
    </xf>
    <xf numFmtId="1" fontId="24" fillId="0" borderId="0" xfId="0" applyNumberFormat="1" applyFont="1"/>
    <xf numFmtId="9" fontId="24" fillId="0" borderId="0" xfId="1" applyFont="1"/>
    <xf numFmtId="170" fontId="23" fillId="0" borderId="0" xfId="1" applyNumberFormat="1" applyFont="1"/>
    <xf numFmtId="165" fontId="0" fillId="0" borderId="0" xfId="0" applyNumberFormat="1"/>
    <xf numFmtId="164" fontId="0" fillId="0" borderId="0" xfId="0" applyNumberFormat="1"/>
    <xf numFmtId="0" fontId="17" fillId="0" borderId="0" xfId="0" applyFont="1" applyAlignment="1">
      <alignment wrapText="1"/>
    </xf>
    <xf numFmtId="171" fontId="25" fillId="0" borderId="0" xfId="0" applyNumberFormat="1" applyFont="1"/>
    <xf numFmtId="165" fontId="17" fillId="0" borderId="0" xfId="0" applyNumberFormat="1" applyFont="1"/>
    <xf numFmtId="170" fontId="26" fillId="0" borderId="0" xfId="1" applyNumberFormat="1" applyFont="1"/>
    <xf numFmtId="0" fontId="16" fillId="0" borderId="0" xfId="0" applyFont="1"/>
    <xf numFmtId="9" fontId="0" fillId="0" borderId="0" xfId="1" applyFont="1"/>
    <xf numFmtId="172" fontId="0" fillId="0" borderId="0" xfId="0" applyNumberFormat="1"/>
    <xf numFmtId="0" fontId="15" fillId="0" borderId="0" xfId="0" applyFont="1"/>
    <xf numFmtId="9" fontId="24" fillId="0" borderId="0" xfId="0" applyNumberFormat="1" applyFont="1"/>
    <xf numFmtId="0" fontId="27" fillId="0" borderId="0" xfId="0" applyFont="1" applyAlignment="1">
      <alignment vertical="center"/>
    </xf>
    <xf numFmtId="0" fontId="0" fillId="0" borderId="0" xfId="0" applyAlignment="1">
      <alignment vertical="center" wrapText="1"/>
    </xf>
    <xf numFmtId="0" fontId="28" fillId="0" borderId="0" xfId="0" applyFont="1" applyAlignment="1">
      <alignment vertical="center" wrapText="1"/>
    </xf>
    <xf numFmtId="0" fontId="29" fillId="0" borderId="0" xfId="0" applyFont="1" applyAlignment="1">
      <alignment vertical="center" wrapText="1"/>
    </xf>
    <xf numFmtId="0" fontId="29" fillId="0" borderId="0" xfId="0" applyFont="1" applyAlignment="1">
      <alignment horizontal="left" vertical="center" wrapText="1" indent="1"/>
    </xf>
    <xf numFmtId="0" fontId="31" fillId="0" borderId="0" xfId="0" applyFont="1" applyAlignment="1">
      <alignment vertical="center" wrapText="1"/>
    </xf>
    <xf numFmtId="0" fontId="33" fillId="0" borderId="3" xfId="0" applyFont="1" applyBorder="1" applyAlignment="1">
      <alignment horizontal="left" vertical="top" wrapText="1"/>
    </xf>
    <xf numFmtId="0" fontId="29" fillId="0" borderId="3" xfId="0" applyFont="1" applyBorder="1" applyAlignment="1">
      <alignment horizontal="left" vertical="top" wrapText="1"/>
    </xf>
    <xf numFmtId="0" fontId="28" fillId="0" borderId="3" xfId="0" applyFont="1" applyBorder="1" applyAlignment="1">
      <alignment horizontal="left" vertical="top" wrapText="1"/>
    </xf>
    <xf numFmtId="0" fontId="28" fillId="0" borderId="0" xfId="0" applyFont="1" applyAlignment="1">
      <alignment vertical="center"/>
    </xf>
    <xf numFmtId="0" fontId="29" fillId="0" borderId="0" xfId="0" applyFont="1" applyAlignment="1">
      <alignment vertical="center"/>
    </xf>
    <xf numFmtId="0" fontId="29" fillId="0" borderId="0" xfId="0" applyFont="1" applyAlignment="1">
      <alignment horizontal="left" vertical="center"/>
    </xf>
    <xf numFmtId="0" fontId="29" fillId="0" borderId="0" xfId="0" applyFont="1" applyAlignment="1">
      <alignment horizontal="left" vertical="top" wrapText="1"/>
    </xf>
    <xf numFmtId="0" fontId="0" fillId="0" borderId="0" xfId="0" applyAlignment="1">
      <alignment horizontal="left" vertical="center" wrapText="1" indent="1"/>
    </xf>
    <xf numFmtId="0" fontId="28" fillId="0" borderId="0" xfId="0" applyFont="1" applyAlignment="1">
      <alignment horizontal="left" vertical="center" wrapText="1" indent="1"/>
    </xf>
    <xf numFmtId="0" fontId="14" fillId="0" borderId="0" xfId="0" applyFont="1"/>
    <xf numFmtId="173" fontId="20" fillId="0" borderId="0" xfId="0" applyNumberFormat="1" applyFont="1"/>
    <xf numFmtId="9" fontId="0" fillId="0" borderId="0" xfId="0" applyNumberFormat="1"/>
    <xf numFmtId="0" fontId="20" fillId="3" borderId="2" xfId="0" applyFont="1" applyFill="1" applyBorder="1"/>
    <xf numFmtId="0" fontId="0" fillId="3" borderId="2" xfId="0" applyFill="1" applyBorder="1"/>
    <xf numFmtId="0" fontId="34" fillId="0" borderId="0" xfId="0" applyFont="1" applyAlignment="1">
      <alignment vertical="center"/>
    </xf>
    <xf numFmtId="0" fontId="0" fillId="0" borderId="4" xfId="0" applyBorder="1"/>
    <xf numFmtId="0" fontId="17" fillId="0" borderId="2" xfId="0" applyFont="1" applyBorder="1"/>
    <xf numFmtId="0" fontId="14" fillId="0" borderId="0" xfId="0" applyFont="1" applyAlignment="1">
      <alignment wrapText="1"/>
    </xf>
    <xf numFmtId="170" fontId="0" fillId="0" borderId="0" xfId="1" applyNumberFormat="1" applyFont="1"/>
    <xf numFmtId="0" fontId="13" fillId="0" borderId="0" xfId="0" applyFont="1"/>
    <xf numFmtId="174" fontId="0" fillId="0" borderId="0" xfId="0" applyNumberFormat="1"/>
    <xf numFmtId="0" fontId="36" fillId="0" borderId="8" xfId="0" applyFont="1" applyBorder="1" applyAlignment="1">
      <alignment horizontal="left" vertical="center" wrapText="1" indent="1" readingOrder="1"/>
    </xf>
    <xf numFmtId="0" fontId="36" fillId="0" borderId="8" xfId="0" applyFont="1" applyBorder="1" applyAlignment="1">
      <alignment vertical="center" wrapText="1" readingOrder="1"/>
    </xf>
    <xf numFmtId="0" fontId="35" fillId="0" borderId="8" xfId="0" applyFont="1" applyBorder="1" applyAlignment="1">
      <alignment horizontal="left" vertical="center" wrapText="1" indent="1" readingOrder="1"/>
    </xf>
    <xf numFmtId="0" fontId="35" fillId="0" borderId="8" xfId="0" applyFont="1" applyBorder="1" applyAlignment="1">
      <alignment vertical="center" wrapText="1" readingOrder="1"/>
    </xf>
    <xf numFmtId="0" fontId="36" fillId="4" borderId="8" xfId="0" applyFont="1" applyFill="1" applyBorder="1" applyAlignment="1">
      <alignment horizontal="left" vertical="center" wrapText="1" indent="1" readingOrder="1"/>
    </xf>
    <xf numFmtId="0" fontId="35" fillId="4" borderId="8" xfId="0" applyFont="1" applyFill="1" applyBorder="1" applyAlignment="1">
      <alignment horizontal="left" vertical="center" wrapText="1" indent="1" readingOrder="1"/>
    </xf>
    <xf numFmtId="0" fontId="36" fillId="4" borderId="8" xfId="0" applyFont="1" applyFill="1" applyBorder="1" applyAlignment="1">
      <alignment vertical="center" wrapText="1" readingOrder="1"/>
    </xf>
    <xf numFmtId="0" fontId="37" fillId="0" borderId="0" xfId="0" applyFont="1"/>
    <xf numFmtId="0" fontId="39" fillId="0" borderId="0" xfId="0" applyFont="1" applyAlignment="1">
      <alignment vertical="center"/>
    </xf>
    <xf numFmtId="0" fontId="40" fillId="0" borderId="0" xfId="0" applyFont="1" applyAlignment="1">
      <alignment vertical="center"/>
    </xf>
    <xf numFmtId="0" fontId="0" fillId="0" borderId="0" xfId="0" applyAlignment="1">
      <alignment horizontal="left" vertical="center" indent="1"/>
    </xf>
    <xf numFmtId="0" fontId="38" fillId="0" borderId="0" xfId="0" applyFont="1" applyAlignment="1">
      <alignment horizontal="left" vertical="center" indent="1"/>
    </xf>
    <xf numFmtId="0" fontId="35" fillId="4" borderId="8" xfId="0" applyFont="1" applyFill="1" applyBorder="1" applyAlignment="1">
      <alignment vertical="center" wrapText="1" readingOrder="1"/>
    </xf>
    <xf numFmtId="173" fontId="23" fillId="0" borderId="0" xfId="0" applyNumberFormat="1" applyFont="1"/>
    <xf numFmtId="173" fontId="20" fillId="0" borderId="1" xfId="0" applyNumberFormat="1" applyFont="1" applyBorder="1"/>
    <xf numFmtId="173" fontId="0" fillId="0" borderId="0" xfId="0" applyNumberFormat="1"/>
    <xf numFmtId="0" fontId="12" fillId="0" borderId="0" xfId="0" applyFont="1"/>
    <xf numFmtId="0" fontId="29" fillId="4" borderId="0" xfId="0" applyFont="1" applyFill="1" applyAlignment="1">
      <alignment horizontal="left" vertical="top" wrapText="1"/>
    </xf>
    <xf numFmtId="0" fontId="29" fillId="4" borderId="3" xfId="0" applyFont="1" applyFill="1" applyBorder="1" applyAlignment="1">
      <alignment horizontal="left" vertical="top" wrapText="1"/>
    </xf>
    <xf numFmtId="0" fontId="0" fillId="0" borderId="0" xfId="0" applyAlignment="1">
      <alignment vertical="center"/>
    </xf>
    <xf numFmtId="0" fontId="42" fillId="0" borderId="0" xfId="0" applyFont="1" applyAlignment="1">
      <alignment vertical="center"/>
    </xf>
    <xf numFmtId="0" fontId="38" fillId="0" borderId="0" xfId="0" applyFont="1" applyAlignment="1">
      <alignment vertical="center"/>
    </xf>
    <xf numFmtId="0" fontId="39" fillId="0" borderId="0" xfId="0" applyFont="1"/>
    <xf numFmtId="0" fontId="29" fillId="0" borderId="0" xfId="0" applyFont="1" applyAlignment="1">
      <alignment horizontal="left" vertical="center" indent="1"/>
    </xf>
    <xf numFmtId="0" fontId="20" fillId="0" borderId="0" xfId="0" applyFont="1" applyAlignment="1">
      <alignment horizontal="left" vertical="center" indent="1"/>
    </xf>
    <xf numFmtId="0" fontId="46" fillId="0" borderId="0" xfId="0" applyFont="1" applyAlignment="1">
      <alignment vertical="center"/>
    </xf>
    <xf numFmtId="0" fontId="38" fillId="0" borderId="8" xfId="0" applyFont="1" applyBorder="1" applyAlignment="1">
      <alignment vertical="center" wrapText="1"/>
    </xf>
    <xf numFmtId="0" fontId="39" fillId="0" borderId="8" xfId="0" applyFont="1" applyBorder="1" applyAlignment="1">
      <alignment vertical="center" wrapText="1"/>
    </xf>
    <xf numFmtId="0" fontId="11" fillId="0" borderId="0" xfId="0" applyFont="1"/>
    <xf numFmtId="0" fontId="13" fillId="0" borderId="0" xfId="0" applyFont="1" applyAlignment="1">
      <alignment wrapText="1"/>
    </xf>
    <xf numFmtId="175" fontId="16" fillId="0" borderId="0" xfId="1" applyNumberFormat="1" applyFont="1" applyAlignment="1">
      <alignment horizontal="left"/>
    </xf>
    <xf numFmtId="173" fontId="23" fillId="0" borderId="0" xfId="0" applyNumberFormat="1" applyFont="1" applyAlignment="1">
      <alignment horizontal="center"/>
    </xf>
    <xf numFmtId="0" fontId="11" fillId="0" borderId="0" xfId="0" applyFont="1" applyAlignment="1">
      <alignment wrapText="1"/>
    </xf>
    <xf numFmtId="0" fontId="39" fillId="0" borderId="0" xfId="0" applyFont="1" applyAlignment="1">
      <alignment horizontal="left" vertical="center" indent="1"/>
    </xf>
    <xf numFmtId="0" fontId="0" fillId="0" borderId="0" xfId="0" applyAlignment="1">
      <alignment horizontal="left" vertical="center" indent="2"/>
    </xf>
    <xf numFmtId="0" fontId="39" fillId="0" borderId="0" xfId="0" applyFont="1" applyAlignment="1">
      <alignment horizontal="left" vertical="center" indent="2"/>
    </xf>
    <xf numFmtId="173" fontId="23" fillId="0" borderId="0" xfId="0" applyNumberFormat="1" applyFont="1" applyAlignment="1">
      <alignment horizontal="right"/>
    </xf>
    <xf numFmtId="0" fontId="24" fillId="0" borderId="0" xfId="0" applyFont="1" applyAlignment="1">
      <alignment wrapText="1"/>
    </xf>
    <xf numFmtId="0" fontId="11" fillId="0" borderId="9" xfId="0" applyFont="1" applyBorder="1" applyAlignment="1">
      <alignment horizontal="right"/>
    </xf>
    <xf numFmtId="0" fontId="0" fillId="0" borderId="9" xfId="0" applyBorder="1"/>
    <xf numFmtId="0" fontId="36" fillId="0" borderId="9" xfId="0" applyFont="1" applyBorder="1" applyAlignment="1">
      <alignment horizontal="left" vertical="center" wrapText="1" indent="1" readingOrder="1"/>
    </xf>
    <xf numFmtId="0" fontId="36" fillId="0" borderId="9" xfId="0" applyFont="1" applyBorder="1" applyAlignment="1">
      <alignment vertical="center" wrapText="1" readingOrder="1"/>
    </xf>
    <xf numFmtId="0" fontId="35" fillId="0" borderId="9" xfId="0" applyFont="1" applyBorder="1" applyAlignment="1">
      <alignment horizontal="left" vertical="center" wrapText="1" indent="1" readingOrder="1"/>
    </xf>
    <xf numFmtId="0" fontId="35" fillId="0" borderId="9" xfId="0" applyFont="1" applyBorder="1" applyAlignment="1">
      <alignment vertical="center" wrapText="1" readingOrder="1"/>
    </xf>
    <xf numFmtId="173" fontId="0" fillId="0" borderId="9" xfId="0" applyNumberFormat="1" applyBorder="1"/>
    <xf numFmtId="173" fontId="20" fillId="0" borderId="9" xfId="0" applyNumberFormat="1" applyFont="1" applyBorder="1"/>
    <xf numFmtId="0" fontId="36" fillId="0" borderId="0" xfId="0" applyFont="1" applyAlignment="1">
      <alignment horizontal="left" vertical="center" wrapText="1" indent="1" readingOrder="1"/>
    </xf>
    <xf numFmtId="0" fontId="36" fillId="2" borderId="9" xfId="0" applyFont="1" applyFill="1" applyBorder="1" applyAlignment="1">
      <alignment horizontal="left" vertical="center" wrapText="1" indent="1" readingOrder="1"/>
    </xf>
    <xf numFmtId="0" fontId="35" fillId="2" borderId="9" xfId="0" applyFont="1" applyFill="1" applyBorder="1" applyAlignment="1">
      <alignment horizontal="left" vertical="center" wrapText="1" indent="1" readingOrder="1"/>
    </xf>
    <xf numFmtId="0" fontId="35" fillId="2" borderId="9" xfId="0" applyFont="1" applyFill="1" applyBorder="1" applyAlignment="1">
      <alignment vertical="center" wrapText="1" readingOrder="1"/>
    </xf>
    <xf numFmtId="0" fontId="11" fillId="2" borderId="9" xfId="0" applyFont="1" applyFill="1" applyBorder="1" applyAlignment="1">
      <alignment horizontal="right"/>
    </xf>
    <xf numFmtId="0" fontId="11" fillId="0" borderId="9" xfId="0" applyFont="1" applyBorder="1"/>
    <xf numFmtId="0" fontId="36" fillId="4" borderId="9" xfId="0" applyFont="1" applyFill="1" applyBorder="1" applyAlignment="1">
      <alignment horizontal="left" vertical="center" wrapText="1" indent="1" readingOrder="1"/>
    </xf>
    <xf numFmtId="0" fontId="35" fillId="4" borderId="9" xfId="0" applyFont="1" applyFill="1" applyBorder="1" applyAlignment="1">
      <alignment vertical="center" wrapText="1" readingOrder="1"/>
    </xf>
    <xf numFmtId="173" fontId="20" fillId="4" borderId="9" xfId="0" applyNumberFormat="1" applyFont="1" applyFill="1" applyBorder="1"/>
    <xf numFmtId="176" fontId="0" fillId="0" borderId="0" xfId="0" applyNumberFormat="1"/>
    <xf numFmtId="3" fontId="35" fillId="0" borderId="9" xfId="0" applyNumberFormat="1" applyFont="1" applyBorder="1" applyAlignment="1">
      <alignment horizontal="left" vertical="center" wrapText="1" indent="1" readingOrder="1"/>
    </xf>
    <xf numFmtId="0" fontId="36" fillId="0" borderId="10" xfId="0" applyFont="1" applyBorder="1" applyAlignment="1">
      <alignment horizontal="left" vertical="center" wrapText="1" indent="1" readingOrder="1"/>
    </xf>
    <xf numFmtId="3" fontId="35" fillId="0" borderId="10" xfId="0" applyNumberFormat="1" applyFont="1" applyBorder="1" applyAlignment="1">
      <alignment horizontal="left" vertical="center" wrapText="1" indent="1" readingOrder="1"/>
    </xf>
    <xf numFmtId="0" fontId="35" fillId="0" borderId="10" xfId="0" applyFont="1" applyBorder="1" applyAlignment="1">
      <alignment vertical="center" wrapText="1" readingOrder="1"/>
    </xf>
    <xf numFmtId="0" fontId="36" fillId="4" borderId="11" xfId="0" applyFont="1" applyFill="1" applyBorder="1" applyAlignment="1">
      <alignment horizontal="left" vertical="center" wrapText="1" indent="1" readingOrder="1"/>
    </xf>
    <xf numFmtId="0" fontId="36" fillId="4" borderId="12" xfId="0" applyFont="1" applyFill="1" applyBorder="1" applyAlignment="1">
      <alignment horizontal="left" vertical="center" wrapText="1" indent="1" readingOrder="1"/>
    </xf>
    <xf numFmtId="0" fontId="50" fillId="0" borderId="0" xfId="0" applyFont="1" applyAlignment="1">
      <alignment vertical="center"/>
    </xf>
    <xf numFmtId="177" fontId="36" fillId="4" borderId="13" xfId="3" applyNumberFormat="1" applyFont="1" applyFill="1" applyBorder="1" applyAlignment="1">
      <alignment vertical="center" wrapText="1" readingOrder="1"/>
    </xf>
    <xf numFmtId="0" fontId="52" fillId="4" borderId="9" xfId="0" applyFont="1" applyFill="1" applyBorder="1" applyAlignment="1">
      <alignment horizontal="left" vertical="center" wrapText="1" indent="1" readingOrder="1"/>
    </xf>
    <xf numFmtId="0" fontId="34" fillId="0" borderId="0" xfId="0" applyFont="1" applyAlignment="1">
      <alignment horizontal="left" vertical="center"/>
    </xf>
    <xf numFmtId="165" fontId="0" fillId="0" borderId="9" xfId="0" applyNumberFormat="1" applyBorder="1"/>
    <xf numFmtId="0" fontId="20" fillId="0" borderId="7" xfId="0" applyFont="1" applyBorder="1"/>
    <xf numFmtId="0" fontId="10" fillId="0" borderId="0" xfId="0" applyFont="1"/>
    <xf numFmtId="0" fontId="10" fillId="0" borderId="0" xfId="0" applyFont="1" applyAlignment="1">
      <alignment wrapText="1"/>
    </xf>
    <xf numFmtId="173" fontId="21" fillId="0" borderId="0" xfId="0" applyNumberFormat="1" applyFont="1"/>
    <xf numFmtId="10" fontId="0" fillId="0" borderId="0" xfId="0" applyNumberFormat="1"/>
    <xf numFmtId="0" fontId="36" fillId="0" borderId="9" xfId="0" applyFont="1" applyBorder="1" applyAlignment="1">
      <alignment horizontal="right" vertical="center" wrapText="1" indent="1" readingOrder="1"/>
    </xf>
    <xf numFmtId="0" fontId="35" fillId="0" borderId="9" xfId="0" applyFont="1" applyBorder="1" applyAlignment="1">
      <alignment horizontal="right" vertical="center" wrapText="1" indent="1" readingOrder="1"/>
    </xf>
    <xf numFmtId="10" fontId="35" fillId="0" borderId="9" xfId="0" applyNumberFormat="1" applyFont="1" applyBorder="1" applyAlignment="1">
      <alignment horizontal="right" vertical="center" wrapText="1" indent="1" readingOrder="1"/>
    </xf>
    <xf numFmtId="165" fontId="20" fillId="0" borderId="0" xfId="0" applyNumberFormat="1" applyFont="1"/>
    <xf numFmtId="0" fontId="0" fillId="0" borderId="2" xfId="0" applyBorder="1"/>
    <xf numFmtId="0" fontId="9" fillId="0" borderId="0" xfId="0" applyFont="1"/>
    <xf numFmtId="165" fontId="0" fillId="0" borderId="7" xfId="0" applyNumberFormat="1" applyBorder="1"/>
    <xf numFmtId="0" fontId="18" fillId="0" borderId="0" xfId="0" applyFont="1" applyAlignment="1">
      <alignment horizontal="left" indent="2"/>
    </xf>
    <xf numFmtId="170" fontId="23" fillId="0" borderId="0" xfId="1" applyNumberFormat="1" applyFont="1" applyBorder="1"/>
    <xf numFmtId="165" fontId="18" fillId="0" borderId="0" xfId="0" applyNumberFormat="1" applyFont="1"/>
    <xf numFmtId="165" fontId="9" fillId="0" borderId="0" xfId="0" applyNumberFormat="1" applyFont="1"/>
    <xf numFmtId="178" fontId="23" fillId="0" borderId="0" xfId="0" applyNumberFormat="1" applyFont="1"/>
    <xf numFmtId="0" fontId="20" fillId="0" borderId="15" xfId="0" applyFont="1" applyBorder="1"/>
    <xf numFmtId="165" fontId="0" fillId="0" borderId="15" xfId="0" applyNumberFormat="1" applyBorder="1"/>
    <xf numFmtId="0" fontId="0" fillId="0" borderId="15" xfId="0" applyBorder="1"/>
    <xf numFmtId="165" fontId="23" fillId="0" borderId="15" xfId="0" applyNumberFormat="1" applyFont="1" applyBorder="1"/>
    <xf numFmtId="165" fontId="21" fillId="0" borderId="15" xfId="0" applyNumberFormat="1" applyFont="1" applyBorder="1"/>
    <xf numFmtId="0" fontId="21" fillId="0" borderId="15" xfId="0" applyFont="1" applyBorder="1"/>
    <xf numFmtId="0" fontId="18" fillId="0" borderId="15" xfId="0" applyFont="1" applyBorder="1" applyAlignment="1">
      <alignment horizontal="left" indent="2"/>
    </xf>
    <xf numFmtId="169" fontId="23" fillId="0" borderId="15" xfId="0" applyNumberFormat="1" applyFont="1" applyBorder="1"/>
    <xf numFmtId="165" fontId="24" fillId="0" borderId="15" xfId="0" applyNumberFormat="1" applyFont="1" applyBorder="1"/>
    <xf numFmtId="0" fontId="17" fillId="0" borderId="15" xfId="0" applyFont="1" applyBorder="1" applyAlignment="1">
      <alignment horizontal="left" indent="2"/>
    </xf>
    <xf numFmtId="170" fontId="23" fillId="0" borderId="15" xfId="1" applyNumberFormat="1" applyFont="1" applyBorder="1"/>
    <xf numFmtId="165" fontId="18" fillId="0" borderId="15" xfId="0" applyNumberFormat="1" applyFont="1" applyBorder="1"/>
    <xf numFmtId="0" fontId="16" fillId="0" borderId="15" xfId="0" applyFont="1" applyBorder="1"/>
    <xf numFmtId="0" fontId="9" fillId="0" borderId="15" xfId="0" applyFont="1" applyBorder="1"/>
    <xf numFmtId="165" fontId="9" fillId="0" borderId="15" xfId="0" applyNumberFormat="1" applyFont="1" applyBorder="1"/>
    <xf numFmtId="165" fontId="25" fillId="0" borderId="15" xfId="0" applyNumberFormat="1" applyFont="1" applyBorder="1"/>
    <xf numFmtId="0" fontId="18" fillId="0" borderId="15" xfId="0" applyFont="1" applyBorder="1"/>
    <xf numFmtId="0" fontId="54" fillId="0" borderId="0" xfId="0" applyFont="1"/>
    <xf numFmtId="165" fontId="54" fillId="0" borderId="0" xfId="0" applyNumberFormat="1" applyFont="1"/>
    <xf numFmtId="0" fontId="36" fillId="4" borderId="9" xfId="0" applyFont="1" applyFill="1" applyBorder="1" applyAlignment="1">
      <alignment vertical="center" wrapText="1" readingOrder="1"/>
    </xf>
    <xf numFmtId="0" fontId="0" fillId="0" borderId="6" xfId="0" applyBorder="1"/>
    <xf numFmtId="0" fontId="8" fillId="0" borderId="0" xfId="0" applyFont="1"/>
    <xf numFmtId="0" fontId="51" fillId="0" borderId="0" xfId="0" applyFont="1"/>
    <xf numFmtId="165" fontId="56" fillId="0" borderId="15" xfId="0" applyNumberFormat="1" applyFont="1" applyBorder="1"/>
    <xf numFmtId="0" fontId="25" fillId="0" borderId="15" xfId="0" applyFont="1" applyBorder="1"/>
    <xf numFmtId="0" fontId="8" fillId="0" borderId="5" xfId="0" applyFont="1" applyBorder="1"/>
    <xf numFmtId="0" fontId="0" fillId="0" borderId="14" xfId="0" applyBorder="1"/>
    <xf numFmtId="0" fontId="36" fillId="4" borderId="9" xfId="0" applyFont="1" applyFill="1" applyBorder="1" applyAlignment="1">
      <alignment horizontal="right" vertical="center" wrapText="1" indent="1" readingOrder="1"/>
    </xf>
    <xf numFmtId="165" fontId="20" fillId="0" borderId="9" xfId="0" applyNumberFormat="1" applyFont="1" applyBorder="1"/>
    <xf numFmtId="0" fontId="10" fillId="0" borderId="16" xfId="0" applyFont="1" applyBorder="1"/>
    <xf numFmtId="0" fontId="17" fillId="0" borderId="17" xfId="0" applyFont="1" applyBorder="1"/>
    <xf numFmtId="165" fontId="0" fillId="0" borderId="18" xfId="0" applyNumberFormat="1" applyBorder="1"/>
    <xf numFmtId="0" fontId="20" fillId="0" borderId="19" xfId="0" applyFont="1" applyBorder="1"/>
    <xf numFmtId="0" fontId="18" fillId="0" borderId="21" xfId="0" applyFont="1" applyBorder="1"/>
    <xf numFmtId="0" fontId="18" fillId="0" borderId="22" xfId="0" applyFont="1" applyBorder="1"/>
    <xf numFmtId="9" fontId="0" fillId="0" borderId="23" xfId="0" applyNumberFormat="1" applyBorder="1"/>
    <xf numFmtId="0" fontId="36" fillId="0" borderId="15" xfId="0" applyFont="1" applyBorder="1" applyAlignment="1">
      <alignment horizontal="left" vertical="center" wrapText="1" indent="1" readingOrder="1"/>
    </xf>
    <xf numFmtId="0" fontId="36" fillId="0" borderId="15" xfId="0" applyFont="1" applyBorder="1" applyAlignment="1">
      <alignment vertical="center" wrapText="1" readingOrder="1"/>
    </xf>
    <xf numFmtId="0" fontId="35" fillId="0" borderId="15" xfId="0" applyFont="1" applyBorder="1" applyAlignment="1">
      <alignment horizontal="left" vertical="center" wrapText="1" indent="1" readingOrder="1"/>
    </xf>
    <xf numFmtId="0" fontId="35" fillId="0" borderId="15" xfId="0" applyFont="1" applyBorder="1" applyAlignment="1">
      <alignment horizontal="left" vertical="center" wrapText="1" readingOrder="1"/>
    </xf>
    <xf numFmtId="0" fontId="35" fillId="0" borderId="15" xfId="0" applyFont="1" applyBorder="1" applyAlignment="1">
      <alignment vertical="center" wrapText="1" readingOrder="1"/>
    </xf>
    <xf numFmtId="0" fontId="36" fillId="0" borderId="15" xfId="0" applyFont="1" applyBorder="1" applyAlignment="1">
      <alignment horizontal="left" vertical="center" wrapText="1" readingOrder="1"/>
    </xf>
    <xf numFmtId="9" fontId="35" fillId="0" borderId="15" xfId="0" applyNumberFormat="1" applyFont="1" applyBorder="1" applyAlignment="1">
      <alignment horizontal="left" vertical="center" wrapText="1" readingOrder="1"/>
    </xf>
    <xf numFmtId="170" fontId="20" fillId="0" borderId="20" xfId="0" applyNumberFormat="1" applyFont="1" applyBorder="1"/>
    <xf numFmtId="179" fontId="20" fillId="0" borderId="20" xfId="0" applyNumberFormat="1" applyFont="1" applyBorder="1"/>
    <xf numFmtId="3" fontId="0" fillId="0" borderId="15" xfId="0" applyNumberFormat="1" applyBorder="1"/>
    <xf numFmtId="0" fontId="7" fillId="0" borderId="0" xfId="0" applyFont="1"/>
    <xf numFmtId="0" fontId="6" fillId="0" borderId="0" xfId="0" applyFont="1"/>
    <xf numFmtId="0" fontId="25" fillId="0" borderId="0" xfId="0" applyFont="1"/>
    <xf numFmtId="2" fontId="18" fillId="0" borderId="15" xfId="0" applyNumberFormat="1" applyFont="1" applyBorder="1"/>
    <xf numFmtId="1" fontId="18" fillId="0" borderId="15" xfId="0" applyNumberFormat="1" applyFont="1" applyBorder="1"/>
    <xf numFmtId="9" fontId="0" fillId="0" borderId="15" xfId="1" applyFont="1" applyBorder="1"/>
    <xf numFmtId="9" fontId="18" fillId="0" borderId="15" xfId="1" applyFont="1" applyBorder="1"/>
    <xf numFmtId="0" fontId="5" fillId="0" borderId="0" xfId="0" applyFont="1"/>
    <xf numFmtId="164" fontId="25" fillId="0" borderId="0" xfId="0" applyNumberFormat="1" applyFont="1"/>
    <xf numFmtId="0" fontId="5" fillId="0" borderId="15" xfId="0" applyFont="1" applyBorder="1"/>
    <xf numFmtId="0" fontId="24" fillId="0" borderId="15" xfId="0" applyFont="1" applyBorder="1"/>
    <xf numFmtId="0" fontId="17" fillId="0" borderId="15" xfId="0" applyFont="1" applyBorder="1"/>
    <xf numFmtId="0" fontId="17" fillId="0" borderId="0" xfId="0" applyFont="1"/>
    <xf numFmtId="165" fontId="24" fillId="0" borderId="0" xfId="0" applyNumberFormat="1" applyFont="1"/>
    <xf numFmtId="173" fontId="26" fillId="0" borderId="0" xfId="0" applyNumberFormat="1" applyFont="1"/>
    <xf numFmtId="0" fontId="6" fillId="0" borderId="25" xfId="0" applyFont="1" applyBorder="1"/>
    <xf numFmtId="0" fontId="20" fillId="0" borderId="25" xfId="0" applyFont="1" applyBorder="1"/>
    <xf numFmtId="0" fontId="0" fillId="0" borderId="26" xfId="0" applyBorder="1"/>
    <xf numFmtId="165" fontId="0" fillId="0" borderId="26" xfId="0" applyNumberFormat="1" applyBorder="1"/>
    <xf numFmtId="0" fontId="4" fillId="0" borderId="0" xfId="0" applyFont="1"/>
    <xf numFmtId="180" fontId="20" fillId="0" borderId="20" xfId="0" applyNumberFormat="1" applyFont="1" applyBorder="1"/>
    <xf numFmtId="0" fontId="4" fillId="0" borderId="0" xfId="0" applyFont="1" applyAlignment="1">
      <alignment wrapText="1"/>
    </xf>
    <xf numFmtId="0" fontId="36" fillId="5" borderId="8" xfId="0" applyFont="1" applyFill="1" applyBorder="1" applyAlignment="1">
      <alignment horizontal="left" vertical="center" wrapText="1" indent="1" readingOrder="1"/>
    </xf>
    <xf numFmtId="0" fontId="36" fillId="5" borderId="8" xfId="0" applyFont="1" applyFill="1" applyBorder="1" applyAlignment="1">
      <alignment vertical="center" wrapText="1" readingOrder="1"/>
    </xf>
    <xf numFmtId="0" fontId="37" fillId="5" borderId="27" xfId="0" applyFont="1" applyFill="1" applyBorder="1"/>
    <xf numFmtId="0" fontId="37" fillId="5" borderId="28" xfId="0" applyFont="1" applyFill="1" applyBorder="1"/>
    <xf numFmtId="173" fontId="37" fillId="5" borderId="29" xfId="0" applyNumberFormat="1" applyFont="1" applyFill="1" applyBorder="1"/>
    <xf numFmtId="0" fontId="3" fillId="0" borderId="0" xfId="0" applyFont="1"/>
    <xf numFmtId="0" fontId="9" fillId="0" borderId="26" xfId="0" applyFont="1" applyBorder="1" applyAlignment="1">
      <alignment horizontal="right"/>
    </xf>
    <xf numFmtId="3" fontId="0" fillId="0" borderId="24" xfId="0" applyNumberFormat="1" applyBorder="1"/>
    <xf numFmtId="0" fontId="3" fillId="0" borderId="15" xfId="0" applyFont="1" applyBorder="1"/>
    <xf numFmtId="10" fontId="23" fillId="0" borderId="15" xfId="1" applyNumberFormat="1" applyFont="1" applyBorder="1"/>
    <xf numFmtId="0" fontId="2" fillId="0" borderId="25" xfId="0" applyFont="1" applyBorder="1"/>
    <xf numFmtId="165" fontId="55" fillId="0" borderId="32" xfId="0" applyNumberFormat="1" applyFont="1" applyBorder="1"/>
    <xf numFmtId="165" fontId="60" fillId="0" borderId="34" xfId="0" applyNumberFormat="1" applyFont="1" applyBorder="1"/>
    <xf numFmtId="165" fontId="26" fillId="0" borderId="31" xfId="0" applyNumberFormat="1" applyFont="1" applyBorder="1"/>
    <xf numFmtId="165" fontId="26" fillId="0" borderId="33" xfId="0" applyNumberFormat="1" applyFont="1" applyBorder="1"/>
    <xf numFmtId="0" fontId="2" fillId="0" borderId="36" xfId="0" applyFont="1" applyBorder="1"/>
    <xf numFmtId="0" fontId="2" fillId="0" borderId="37" xfId="0" applyFont="1" applyBorder="1"/>
    <xf numFmtId="9" fontId="24" fillId="0" borderId="26" xfId="1" applyFont="1" applyBorder="1"/>
    <xf numFmtId="0" fontId="18" fillId="0" borderId="26" xfId="0" applyFont="1" applyBorder="1"/>
    <xf numFmtId="0" fontId="18" fillId="0" borderId="24" xfId="0" applyFont="1" applyBorder="1"/>
    <xf numFmtId="165" fontId="0" fillId="0" borderId="31" xfId="0" applyNumberFormat="1" applyBorder="1"/>
    <xf numFmtId="165" fontId="0" fillId="0" borderId="33" xfId="0" applyNumberFormat="1" applyBorder="1"/>
    <xf numFmtId="1" fontId="18" fillId="0" borderId="24" xfId="0" applyNumberFormat="1" applyFont="1" applyBorder="1"/>
    <xf numFmtId="9" fontId="18" fillId="0" borderId="24" xfId="1" applyFont="1" applyBorder="1"/>
    <xf numFmtId="9" fontId="0" fillId="0" borderId="24" xfId="1" applyFont="1" applyBorder="1"/>
    <xf numFmtId="2" fontId="18" fillId="0" borderId="24" xfId="0" applyNumberFormat="1" applyFont="1" applyBorder="1"/>
    <xf numFmtId="165" fontId="0" fillId="0" borderId="24" xfId="0" applyNumberFormat="1" applyBorder="1"/>
    <xf numFmtId="0" fontId="18" fillId="0" borderId="17" xfId="0" applyFont="1" applyBorder="1"/>
    <xf numFmtId="0" fontId="20" fillId="0" borderId="27" xfId="0" applyFont="1" applyBorder="1" applyAlignment="1">
      <alignment horizontal="left" vertical="top" wrapText="1"/>
    </xf>
    <xf numFmtId="0" fontId="20" fillId="0" borderId="35" xfId="0" applyFont="1" applyBorder="1" applyAlignment="1">
      <alignment horizontal="left" vertical="top" wrapText="1"/>
    </xf>
    <xf numFmtId="0" fontId="2" fillId="0" borderId="27" xfId="0" applyFont="1" applyBorder="1" applyAlignment="1">
      <alignment horizontal="left" vertical="top" wrapText="1"/>
    </xf>
    <xf numFmtId="0" fontId="20" fillId="0" borderId="30" xfId="0" applyFont="1" applyBorder="1" applyAlignment="1">
      <alignment horizontal="left" vertical="top"/>
    </xf>
    <xf numFmtId="164" fontId="18" fillId="0" borderId="0" xfId="0" applyNumberFormat="1" applyFont="1"/>
    <xf numFmtId="0" fontId="20" fillId="0" borderId="0" xfId="0" applyFont="1" applyAlignment="1">
      <alignment horizontal="center" wrapText="1"/>
    </xf>
    <xf numFmtId="9" fontId="0" fillId="0" borderId="9" xfId="0" applyNumberFormat="1" applyBorder="1"/>
    <xf numFmtId="0" fontId="1" fillId="0" borderId="9" xfId="0" applyFont="1" applyBorder="1"/>
    <xf numFmtId="0" fontId="2" fillId="0" borderId="0" xfId="0" applyFont="1" applyBorder="1"/>
    <xf numFmtId="165" fontId="26" fillId="0" borderId="0" xfId="0" applyNumberFormat="1" applyFont="1" applyBorder="1"/>
    <xf numFmtId="165" fontId="60" fillId="0" borderId="0" xfId="0" applyNumberFormat="1" applyFont="1" applyBorder="1"/>
    <xf numFmtId="165" fontId="0" fillId="0" borderId="0" xfId="0" applyNumberFormat="1" applyBorder="1"/>
  </cellXfs>
  <cellStyles count="4">
    <cellStyle name="Comma" xfId="3" builtinId="3"/>
    <cellStyle name="Hyperlink" xfId="2" builtinId="8"/>
    <cellStyle name="Normal" xfId="0" builtinId="0"/>
    <cellStyle name="Per cent" xfId="1"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531495</xdr:colOff>
      <xdr:row>100</xdr:row>
      <xdr:rowOff>59054</xdr:rowOff>
    </xdr:from>
    <xdr:to>
      <xdr:col>2</xdr:col>
      <xdr:colOff>1374329</xdr:colOff>
      <xdr:row>115</xdr:row>
      <xdr:rowOff>72838</xdr:rowOff>
    </xdr:to>
    <xdr:pic>
      <xdr:nvPicPr>
        <xdr:cNvPr id="4" name="Picture 3">
          <a:extLst>
            <a:ext uri="{FF2B5EF4-FFF2-40B4-BE49-F238E27FC236}">
              <a16:creationId xmlns:a16="http://schemas.microsoft.com/office/drawing/2014/main" id="{ABD870EC-A24B-D57F-71DF-55A91FA84C8D}"/>
            </a:ext>
          </a:extLst>
        </xdr:cNvPr>
        <xdr:cNvPicPr>
          <a:picLocks noChangeAspect="1"/>
        </xdr:cNvPicPr>
      </xdr:nvPicPr>
      <xdr:blipFill>
        <a:blip xmlns:r="http://schemas.openxmlformats.org/officeDocument/2006/relationships" r:embed="rId1"/>
        <a:stretch>
          <a:fillRect/>
        </a:stretch>
      </xdr:blipFill>
      <xdr:spPr>
        <a:xfrm>
          <a:off x="531495" y="24100154"/>
          <a:ext cx="5729159" cy="2728409"/>
        </a:xfrm>
        <a:prstGeom prst="rect">
          <a:avLst/>
        </a:prstGeom>
      </xdr:spPr>
    </xdr:pic>
    <xdr:clientData/>
  </xdr:twoCellAnchor>
  <xdr:twoCellAnchor editAs="oneCell">
    <xdr:from>
      <xdr:col>3</xdr:col>
      <xdr:colOff>28575</xdr:colOff>
      <xdr:row>100</xdr:row>
      <xdr:rowOff>40005</xdr:rowOff>
    </xdr:from>
    <xdr:to>
      <xdr:col>10</xdr:col>
      <xdr:colOff>285245</xdr:colOff>
      <xdr:row>116</xdr:row>
      <xdr:rowOff>53763</xdr:rowOff>
    </xdr:to>
    <xdr:pic>
      <xdr:nvPicPr>
        <xdr:cNvPr id="5" name="Picture 4">
          <a:extLst>
            <a:ext uri="{FF2B5EF4-FFF2-40B4-BE49-F238E27FC236}">
              <a16:creationId xmlns:a16="http://schemas.microsoft.com/office/drawing/2014/main" id="{A2C82F30-4F32-D2EC-D400-0B39E359E525}"/>
            </a:ext>
          </a:extLst>
        </xdr:cNvPr>
        <xdr:cNvPicPr>
          <a:picLocks noChangeAspect="1"/>
        </xdr:cNvPicPr>
      </xdr:nvPicPr>
      <xdr:blipFill>
        <a:blip xmlns:r="http://schemas.openxmlformats.org/officeDocument/2006/relationships" r:embed="rId2"/>
        <a:stretch>
          <a:fillRect/>
        </a:stretch>
      </xdr:blipFill>
      <xdr:spPr>
        <a:xfrm>
          <a:off x="6410325" y="24081105"/>
          <a:ext cx="6236465" cy="2903643"/>
        </a:xfrm>
        <a:prstGeom prst="rect">
          <a:avLst/>
        </a:prstGeom>
      </xdr:spPr>
    </xdr:pic>
    <xdr:clientData/>
  </xdr:twoCellAnchor>
  <xdr:twoCellAnchor editAs="oneCell">
    <xdr:from>
      <xdr:col>10</xdr:col>
      <xdr:colOff>553210</xdr:colOff>
      <xdr:row>100</xdr:row>
      <xdr:rowOff>81915</xdr:rowOff>
    </xdr:from>
    <xdr:to>
      <xdr:col>20</xdr:col>
      <xdr:colOff>475253</xdr:colOff>
      <xdr:row>117</xdr:row>
      <xdr:rowOff>53797</xdr:rowOff>
    </xdr:to>
    <xdr:pic>
      <xdr:nvPicPr>
        <xdr:cNvPr id="6" name="Picture 5">
          <a:extLst>
            <a:ext uri="{FF2B5EF4-FFF2-40B4-BE49-F238E27FC236}">
              <a16:creationId xmlns:a16="http://schemas.microsoft.com/office/drawing/2014/main" id="{AF7BB471-E27D-9D64-BA3D-45C8868D27D1}"/>
            </a:ext>
          </a:extLst>
        </xdr:cNvPr>
        <xdr:cNvPicPr>
          <a:picLocks noChangeAspect="1"/>
        </xdr:cNvPicPr>
      </xdr:nvPicPr>
      <xdr:blipFill>
        <a:blip xmlns:r="http://schemas.openxmlformats.org/officeDocument/2006/relationships" r:embed="rId3"/>
        <a:stretch>
          <a:fillRect/>
        </a:stretch>
      </xdr:blipFill>
      <xdr:spPr>
        <a:xfrm>
          <a:off x="12802360" y="24123015"/>
          <a:ext cx="6025662" cy="3042742"/>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promind.life/retreat-africa/"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outstandingtent.com/safari-tents-and-glamping-lodges/safari-tent-wood/" TargetMode="External"/><Relationship Id="rId7" Type="http://schemas.openxmlformats.org/officeDocument/2006/relationships/printerSettings" Target="../printerSettings/printerSettings2.bin"/><Relationship Id="rId2" Type="http://schemas.openxmlformats.org/officeDocument/2006/relationships/hyperlink" Target="https://falksontents.co.za/products/safari-lodge-lx" TargetMode="External"/><Relationship Id="rId1" Type="http://schemas.openxmlformats.org/officeDocument/2006/relationships/hyperlink" Target="https://promind.life/retreat-africa/" TargetMode="External"/><Relationship Id="rId6" Type="http://schemas.openxmlformats.org/officeDocument/2006/relationships/hyperlink" Target="https://skyniks.co.ke/product/perkins-80kva-diesel-silent-generator-heavy-duty-3phase/" TargetMode="External"/><Relationship Id="rId5" Type="http://schemas.openxmlformats.org/officeDocument/2006/relationships/hyperlink" Target="https://gastonkenya.com/" TargetMode="External"/><Relationship Id="rId4" Type="http://schemas.openxmlformats.org/officeDocument/2006/relationships/hyperlink" Target="https://www.eastafricancanvas.com/about-us/"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72AC3-D348-49E7-B8F9-560108869383}">
  <dimension ref="A1:CE1042"/>
  <sheetViews>
    <sheetView showGridLines="0" tabSelected="1" zoomScale="80" zoomScaleNormal="80" workbookViewId="0"/>
  </sheetViews>
  <sheetFormatPr defaultColWidth="12.6640625" defaultRowHeight="15" customHeight="1" outlineLevelRow="1" outlineLevelCol="1"/>
  <cols>
    <col min="1" max="1" width="44.44140625" customWidth="1"/>
    <col min="2" max="2" width="20.21875" customWidth="1"/>
    <col min="3" max="3" width="22.44140625" customWidth="1"/>
    <col min="4" max="4" width="20.21875" customWidth="1"/>
    <col min="5" max="5" width="18.5546875" customWidth="1"/>
    <col min="6" max="6" width="16.44140625" customWidth="1"/>
    <col min="7" max="8" width="12.88671875" customWidth="1"/>
    <col min="9" max="9" width="11.5546875" customWidth="1"/>
    <col min="10" max="10" width="13.77734375" customWidth="1"/>
    <col min="11" max="11" width="3.33203125" customWidth="1"/>
    <col min="12" max="12" width="3.5546875" customWidth="1"/>
    <col min="13" max="13" width="27.6640625" hidden="1" customWidth="1" outlineLevel="1"/>
    <col min="14" max="15" width="9" hidden="1" customWidth="1" outlineLevel="1"/>
    <col min="16" max="16" width="9.6640625" hidden="1" customWidth="1" outlineLevel="1"/>
    <col min="17" max="18" width="9" hidden="1" customWidth="1" outlineLevel="1"/>
    <col min="19" max="19" width="10.44140625" hidden="1" customWidth="1" outlineLevel="1"/>
    <col min="20" max="25" width="9.6640625" hidden="1" customWidth="1" outlineLevel="1"/>
    <col min="26" max="26" width="9.33203125" hidden="1" customWidth="1" outlineLevel="1"/>
    <col min="27" max="27" width="8.6640625" customWidth="1" collapsed="1"/>
    <col min="28" max="39" width="9.6640625" hidden="1" customWidth="1" outlineLevel="1"/>
    <col min="40" max="40" width="9.33203125" hidden="1" customWidth="1" outlineLevel="1"/>
    <col min="41" max="41" width="12.6640625" collapsed="1"/>
    <col min="42" max="53" width="9.6640625" hidden="1" customWidth="1" outlineLevel="1"/>
    <col min="54" max="54" width="9.33203125" hidden="1" customWidth="1" outlineLevel="1"/>
    <col min="55" max="55" width="12.6640625" collapsed="1"/>
    <col min="56" max="67" width="9.6640625" hidden="1" customWidth="1" outlineLevel="1"/>
    <col min="68" max="68" width="9.33203125" hidden="1" customWidth="1" outlineLevel="1"/>
    <col min="69" max="69" width="12.6640625" collapsed="1"/>
    <col min="70" max="70" width="11.5546875" hidden="1" customWidth="1" outlineLevel="1"/>
    <col min="71" max="81" width="11.6640625" hidden="1" customWidth="1" outlineLevel="1"/>
    <col min="82" max="82" width="12.6640625" hidden="1" customWidth="1" outlineLevel="1"/>
    <col min="83" max="83" width="12.6640625" collapsed="1"/>
  </cols>
  <sheetData>
    <row r="1" spans="1:83" ht="14.25" customHeight="1">
      <c r="A1" s="7" t="s">
        <v>1</v>
      </c>
      <c r="B1" s="7" t="s">
        <v>2</v>
      </c>
    </row>
    <row r="2" spans="1:83" ht="14.25" customHeight="1">
      <c r="A2" s="7" t="s">
        <v>3</v>
      </c>
      <c r="B2" s="7" t="s">
        <v>4</v>
      </c>
    </row>
    <row r="3" spans="1:83" ht="14.25" customHeight="1">
      <c r="A3" t="s">
        <v>8</v>
      </c>
      <c r="B3" s="2" t="s">
        <v>7</v>
      </c>
      <c r="O3" s="186"/>
    </row>
    <row r="4" spans="1:83" ht="14.25" customHeight="1">
      <c r="A4" s="4" t="s">
        <v>10</v>
      </c>
      <c r="B4" s="21">
        <f>B6*C6</f>
        <v>12000</v>
      </c>
      <c r="C4">
        <f>B4/10000</f>
        <v>1.2</v>
      </c>
      <c r="D4" s="24" t="s">
        <v>54</v>
      </c>
      <c r="O4" s="186"/>
    </row>
    <row r="5" spans="1:83" ht="14.25" customHeight="1">
      <c r="A5" s="4" t="s">
        <v>16</v>
      </c>
      <c r="B5" s="11">
        <f>B6*2+C6*2</f>
        <v>440</v>
      </c>
    </row>
    <row r="6" spans="1:83" ht="14.25" customHeight="1">
      <c r="A6" s="24" t="s">
        <v>55</v>
      </c>
      <c r="B6" s="10">
        <v>120</v>
      </c>
      <c r="C6" s="10">
        <v>100</v>
      </c>
    </row>
    <row r="7" spans="1:83" ht="14.25" customHeight="1">
      <c r="A7" s="4"/>
      <c r="B7" s="10"/>
      <c r="C7" s="10"/>
    </row>
    <row r="8" spans="1:83" ht="14.25" customHeight="1">
      <c r="A8" s="4" t="s">
        <v>14</v>
      </c>
      <c r="B8" s="5">
        <v>129.15</v>
      </c>
      <c r="C8" s="4" t="s">
        <v>15</v>
      </c>
    </row>
    <row r="9" spans="1:83" ht="14.25" customHeight="1"/>
    <row r="10" spans="1:83" ht="18">
      <c r="A10" s="63" t="s">
        <v>756</v>
      </c>
      <c r="B10" s="7"/>
    </row>
    <row r="11" spans="1:83" ht="18">
      <c r="A11" s="63"/>
      <c r="B11" s="7"/>
    </row>
    <row r="12" spans="1:83" ht="14.25" customHeight="1" thickBot="1">
      <c r="A12" s="4" t="s">
        <v>19</v>
      </c>
      <c r="B12" s="1">
        <f>CAPEX!D14</f>
        <v>20</v>
      </c>
      <c r="D12" s="4"/>
    </row>
    <row r="13" spans="1:83" ht="29.4" thickBot="1">
      <c r="A13" s="239" t="s">
        <v>753</v>
      </c>
      <c r="B13" s="236" t="s">
        <v>749</v>
      </c>
      <c r="C13" s="237" t="s">
        <v>750</v>
      </c>
      <c r="D13" s="238" t="s">
        <v>745</v>
      </c>
      <c r="E13" s="236" t="s">
        <v>751</v>
      </c>
      <c r="F13" s="237" t="s">
        <v>752</v>
      </c>
      <c r="M13" s="27"/>
      <c r="N13" s="5"/>
    </row>
    <row r="14" spans="1:83" ht="14.25" customHeight="1">
      <c r="A14" s="223" t="s">
        <v>746</v>
      </c>
      <c r="B14" s="221">
        <f>C14/(1+$B$107+$B$108)</f>
        <v>262.71186440677968</v>
      </c>
      <c r="C14" s="219">
        <v>310</v>
      </c>
      <c r="D14" s="228">
        <f>E14-B14</f>
        <v>76.27118644067798</v>
      </c>
      <c r="E14" s="228">
        <f>F14/(1+$B$107+$B$108)</f>
        <v>338.98305084745766</v>
      </c>
      <c r="F14" s="219">
        <v>400</v>
      </c>
      <c r="I14" s="18"/>
      <c r="CE14" s="19"/>
    </row>
    <row r="15" spans="1:83" ht="14.25" customHeight="1" thickBot="1">
      <c r="A15" s="224" t="s">
        <v>747</v>
      </c>
      <c r="B15" s="222">
        <f>B14*$B$22</f>
        <v>1313.5593220338983</v>
      </c>
      <c r="C15" s="220">
        <f>C14*$B$22</f>
        <v>1550</v>
      </c>
      <c r="D15" s="229">
        <f>E15-B15</f>
        <v>381.35593220339001</v>
      </c>
      <c r="E15" s="222">
        <f>E14*$B$22</f>
        <v>1694.9152542372883</v>
      </c>
      <c r="F15" s="220">
        <f>F14*$B$22</f>
        <v>2000</v>
      </c>
      <c r="I15" s="18"/>
      <c r="CE15" s="19"/>
    </row>
    <row r="16" spans="1:83" ht="14.25" customHeight="1">
      <c r="A16" s="244"/>
      <c r="B16" s="245"/>
      <c r="C16" s="246"/>
      <c r="D16" s="247"/>
      <c r="CE16" s="19"/>
    </row>
    <row r="17" spans="1:83" ht="14.25" customHeight="1">
      <c r="A17" s="244"/>
      <c r="B17" s="245"/>
      <c r="C17" s="246"/>
      <c r="D17" s="247"/>
      <c r="E17" s="241" t="s">
        <v>681</v>
      </c>
      <c r="F17" s="241"/>
      <c r="G17" s="241"/>
      <c r="H17" s="241"/>
      <c r="I17" s="241"/>
      <c r="J17" s="241"/>
      <c r="N17" s="241" t="s">
        <v>682</v>
      </c>
      <c r="O17" s="241"/>
      <c r="P17" s="241"/>
      <c r="Q17" s="241"/>
      <c r="R17" s="241"/>
      <c r="S17" s="241"/>
      <c r="T17" s="241"/>
      <c r="U17" s="241"/>
      <c r="V17" s="241"/>
      <c r="W17" s="241"/>
      <c r="X17" s="241"/>
      <c r="Y17" s="241"/>
      <c r="AB17" s="241" t="s">
        <v>653</v>
      </c>
      <c r="AC17" s="241"/>
      <c r="AD17" s="241"/>
      <c r="AE17" s="241"/>
      <c r="AF17" s="241"/>
      <c r="AG17" s="241"/>
      <c r="AH17" s="241"/>
      <c r="AI17" s="241"/>
      <c r="AJ17" s="241"/>
      <c r="AK17" s="241"/>
      <c r="AL17" s="241"/>
      <c r="AM17" s="241"/>
      <c r="AP17" s="241" t="s">
        <v>653</v>
      </c>
      <c r="AQ17" s="241"/>
      <c r="AR17" s="241"/>
      <c r="AS17" s="241"/>
      <c r="AT17" s="241"/>
      <c r="AU17" s="241"/>
      <c r="AV17" s="241"/>
      <c r="AW17" s="241"/>
      <c r="AX17" s="241"/>
      <c r="AY17" s="241"/>
      <c r="AZ17" s="241"/>
      <c r="BA17" s="241"/>
      <c r="BD17" s="241" t="s">
        <v>653</v>
      </c>
      <c r="BE17" s="241"/>
      <c r="BF17" s="241"/>
      <c r="BG17" s="241"/>
      <c r="BH17" s="241"/>
      <c r="BI17" s="241"/>
      <c r="BJ17" s="241"/>
      <c r="BK17" s="241"/>
      <c r="BL17" s="241"/>
      <c r="BM17" s="241"/>
      <c r="BN17" s="241"/>
      <c r="BO17" s="241"/>
      <c r="BR17" s="241" t="s">
        <v>653</v>
      </c>
      <c r="BS17" s="241"/>
      <c r="BT17" s="241"/>
      <c r="BU17" s="241"/>
      <c r="BV17" s="241"/>
      <c r="BW17" s="241"/>
      <c r="BX17" s="241"/>
      <c r="BY17" s="241"/>
      <c r="BZ17" s="241"/>
      <c r="CA17" s="241"/>
      <c r="CB17" s="241"/>
      <c r="CC17" s="241"/>
      <c r="CE17" s="19"/>
    </row>
    <row r="18" spans="1:83" ht="19.2" customHeight="1">
      <c r="A18" s="63" t="s">
        <v>18</v>
      </c>
      <c r="B18" s="245"/>
      <c r="C18" s="246"/>
      <c r="D18" s="247"/>
      <c r="E18" s="156" t="s">
        <v>42</v>
      </c>
      <c r="F18" s="227" t="s">
        <v>43</v>
      </c>
      <c r="G18" s="156" t="s">
        <v>44</v>
      </c>
      <c r="H18" s="156" t="s">
        <v>45</v>
      </c>
      <c r="I18" s="156" t="s">
        <v>46</v>
      </c>
      <c r="J18" s="197" t="s">
        <v>50</v>
      </c>
      <c r="M18" s="195" t="s">
        <v>699</v>
      </c>
      <c r="N18" s="196">
        <v>1</v>
      </c>
      <c r="O18" s="142">
        <f>N18</f>
        <v>1</v>
      </c>
      <c r="P18" s="142">
        <f t="shared" ref="P18:Y18" si="0">O18</f>
        <v>1</v>
      </c>
      <c r="Q18" s="142">
        <f t="shared" si="0"/>
        <v>1</v>
      </c>
      <c r="R18" s="142">
        <f t="shared" si="0"/>
        <v>1</v>
      </c>
      <c r="S18" s="142">
        <f t="shared" si="0"/>
        <v>1</v>
      </c>
      <c r="T18" s="142">
        <f t="shared" si="0"/>
        <v>1</v>
      </c>
      <c r="U18" s="142">
        <f t="shared" si="0"/>
        <v>1</v>
      </c>
      <c r="V18" s="142">
        <f t="shared" si="0"/>
        <v>1</v>
      </c>
      <c r="W18" s="142">
        <f t="shared" si="0"/>
        <v>1</v>
      </c>
      <c r="X18" s="142">
        <f t="shared" si="0"/>
        <v>1</v>
      </c>
      <c r="Y18" s="142">
        <f t="shared" si="0"/>
        <v>1</v>
      </c>
      <c r="AB18" s="164">
        <f>N18+1</f>
        <v>2</v>
      </c>
      <c r="AC18" s="142">
        <f>AB18</f>
        <v>2</v>
      </c>
      <c r="AD18" s="142">
        <f t="shared" ref="AD18:AM18" si="1">AC18</f>
        <v>2</v>
      </c>
      <c r="AE18" s="142">
        <f t="shared" si="1"/>
        <v>2</v>
      </c>
      <c r="AF18" s="142">
        <f t="shared" si="1"/>
        <v>2</v>
      </c>
      <c r="AG18" s="142">
        <f t="shared" si="1"/>
        <v>2</v>
      </c>
      <c r="AH18" s="142">
        <f t="shared" si="1"/>
        <v>2</v>
      </c>
      <c r="AI18" s="142">
        <f t="shared" si="1"/>
        <v>2</v>
      </c>
      <c r="AJ18" s="142">
        <f t="shared" si="1"/>
        <v>2</v>
      </c>
      <c r="AK18" s="142">
        <f t="shared" si="1"/>
        <v>2</v>
      </c>
      <c r="AL18" s="142">
        <f t="shared" si="1"/>
        <v>2</v>
      </c>
      <c r="AM18" s="142">
        <f t="shared" si="1"/>
        <v>2</v>
      </c>
      <c r="AP18" s="164">
        <f>AB18+1</f>
        <v>3</v>
      </c>
      <c r="AQ18" s="142">
        <f>AP18</f>
        <v>3</v>
      </c>
      <c r="AR18" s="142">
        <f t="shared" ref="AR18:BA18" si="2">AQ18</f>
        <v>3</v>
      </c>
      <c r="AS18" s="142">
        <f t="shared" si="2"/>
        <v>3</v>
      </c>
      <c r="AT18" s="142">
        <f t="shared" si="2"/>
        <v>3</v>
      </c>
      <c r="AU18" s="142">
        <f t="shared" si="2"/>
        <v>3</v>
      </c>
      <c r="AV18" s="142">
        <f t="shared" si="2"/>
        <v>3</v>
      </c>
      <c r="AW18" s="142">
        <f t="shared" si="2"/>
        <v>3</v>
      </c>
      <c r="AX18" s="142">
        <f t="shared" si="2"/>
        <v>3</v>
      </c>
      <c r="AY18" s="142">
        <f t="shared" si="2"/>
        <v>3</v>
      </c>
      <c r="AZ18" s="142">
        <f t="shared" si="2"/>
        <v>3</v>
      </c>
      <c r="BA18" s="142">
        <f t="shared" si="2"/>
        <v>3</v>
      </c>
      <c r="BD18" s="164">
        <f>AP18+1</f>
        <v>4</v>
      </c>
      <c r="BE18" s="142">
        <f>BD18</f>
        <v>4</v>
      </c>
      <c r="BF18" s="142">
        <f t="shared" ref="BF18:BO18" si="3">BE18</f>
        <v>4</v>
      </c>
      <c r="BG18" s="142">
        <f t="shared" si="3"/>
        <v>4</v>
      </c>
      <c r="BH18" s="142">
        <f t="shared" si="3"/>
        <v>4</v>
      </c>
      <c r="BI18" s="142">
        <f t="shared" si="3"/>
        <v>4</v>
      </c>
      <c r="BJ18" s="142">
        <f t="shared" si="3"/>
        <v>4</v>
      </c>
      <c r="BK18" s="142">
        <f t="shared" si="3"/>
        <v>4</v>
      </c>
      <c r="BL18" s="142">
        <f t="shared" si="3"/>
        <v>4</v>
      </c>
      <c r="BM18" s="142">
        <f t="shared" si="3"/>
        <v>4</v>
      </c>
      <c r="BN18" s="142">
        <f t="shared" si="3"/>
        <v>4</v>
      </c>
      <c r="BO18" s="142">
        <f t="shared" si="3"/>
        <v>4</v>
      </c>
      <c r="BR18" s="164">
        <f>BD18+1</f>
        <v>5</v>
      </c>
      <c r="BS18" s="142">
        <f>BR18</f>
        <v>5</v>
      </c>
      <c r="BT18" s="142">
        <f t="shared" ref="BT18:CC18" si="4">BS18</f>
        <v>5</v>
      </c>
      <c r="BU18" s="142">
        <f t="shared" si="4"/>
        <v>5</v>
      </c>
      <c r="BV18" s="142">
        <f t="shared" si="4"/>
        <v>5</v>
      </c>
      <c r="BW18" s="142">
        <f t="shared" si="4"/>
        <v>5</v>
      </c>
      <c r="BX18" s="142">
        <f t="shared" si="4"/>
        <v>5</v>
      </c>
      <c r="BY18" s="142">
        <f t="shared" si="4"/>
        <v>5</v>
      </c>
      <c r="BZ18" s="142">
        <f t="shared" si="4"/>
        <v>5</v>
      </c>
      <c r="CA18" s="142">
        <f t="shared" si="4"/>
        <v>5</v>
      </c>
      <c r="CB18" s="142">
        <f t="shared" si="4"/>
        <v>5</v>
      </c>
      <c r="CC18" s="142">
        <f t="shared" si="4"/>
        <v>5</v>
      </c>
      <c r="CE18" s="19"/>
    </row>
    <row r="19" spans="1:83" ht="14.25" customHeight="1">
      <c r="A19" s="244"/>
      <c r="B19" s="245"/>
      <c r="C19" s="246"/>
      <c r="D19" s="247"/>
      <c r="E19" s="4"/>
      <c r="F19" s="235"/>
      <c r="G19" s="4"/>
      <c r="H19" s="4"/>
      <c r="I19" s="4"/>
      <c r="J19" s="198"/>
      <c r="M19" s="142" t="s">
        <v>700</v>
      </c>
      <c r="N19" s="164">
        <v>1</v>
      </c>
      <c r="O19" s="164">
        <v>2</v>
      </c>
      <c r="P19" s="164">
        <v>3</v>
      </c>
      <c r="Q19" s="164">
        <v>4</v>
      </c>
      <c r="R19" s="164">
        <v>5</v>
      </c>
      <c r="S19" s="164">
        <v>6</v>
      </c>
      <c r="T19" s="164">
        <v>7</v>
      </c>
      <c r="U19" s="164">
        <v>8</v>
      </c>
      <c r="V19" s="164">
        <v>9</v>
      </c>
      <c r="W19" s="164">
        <v>10</v>
      </c>
      <c r="X19" s="164">
        <v>11</v>
      </c>
      <c r="Y19" s="164">
        <v>12</v>
      </c>
      <c r="Z19" s="188"/>
      <c r="AA19" s="188"/>
      <c r="AB19" s="164">
        <f t="shared" ref="AB19:AM20" si="5">N19</f>
        <v>1</v>
      </c>
      <c r="AC19" s="164">
        <f t="shared" si="5"/>
        <v>2</v>
      </c>
      <c r="AD19" s="164">
        <f t="shared" si="5"/>
        <v>3</v>
      </c>
      <c r="AE19" s="164">
        <f t="shared" si="5"/>
        <v>4</v>
      </c>
      <c r="AF19" s="164">
        <f t="shared" si="5"/>
        <v>5</v>
      </c>
      <c r="AG19" s="164">
        <f t="shared" si="5"/>
        <v>6</v>
      </c>
      <c r="AH19" s="164">
        <f t="shared" si="5"/>
        <v>7</v>
      </c>
      <c r="AI19" s="164">
        <f t="shared" si="5"/>
        <v>8</v>
      </c>
      <c r="AJ19" s="164">
        <f t="shared" si="5"/>
        <v>9</v>
      </c>
      <c r="AK19" s="164">
        <f t="shared" si="5"/>
        <v>10</v>
      </c>
      <c r="AL19" s="164">
        <f t="shared" si="5"/>
        <v>11</v>
      </c>
      <c r="AM19" s="164">
        <f t="shared" si="5"/>
        <v>12</v>
      </c>
      <c r="AN19" s="188"/>
      <c r="AO19" s="188"/>
      <c r="AP19" s="164">
        <f t="shared" ref="AP19:BA20" si="6">AB19</f>
        <v>1</v>
      </c>
      <c r="AQ19" s="164">
        <f t="shared" si="6"/>
        <v>2</v>
      </c>
      <c r="AR19" s="164">
        <f t="shared" si="6"/>
        <v>3</v>
      </c>
      <c r="AS19" s="164">
        <f t="shared" si="6"/>
        <v>4</v>
      </c>
      <c r="AT19" s="164">
        <f t="shared" si="6"/>
        <v>5</v>
      </c>
      <c r="AU19" s="164">
        <f t="shared" si="6"/>
        <v>6</v>
      </c>
      <c r="AV19" s="164">
        <f t="shared" si="6"/>
        <v>7</v>
      </c>
      <c r="AW19" s="164">
        <f t="shared" si="6"/>
        <v>8</v>
      </c>
      <c r="AX19" s="164">
        <f t="shared" si="6"/>
        <v>9</v>
      </c>
      <c r="AY19" s="164">
        <f t="shared" si="6"/>
        <v>10</v>
      </c>
      <c r="AZ19" s="164">
        <f t="shared" si="6"/>
        <v>11</v>
      </c>
      <c r="BA19" s="164">
        <f t="shared" si="6"/>
        <v>12</v>
      </c>
      <c r="BB19" s="188"/>
      <c r="BC19" s="188"/>
      <c r="BD19" s="164">
        <f t="shared" ref="BD19:BO20" si="7">AP19</f>
        <v>1</v>
      </c>
      <c r="BE19" s="164">
        <f t="shared" si="7"/>
        <v>2</v>
      </c>
      <c r="BF19" s="164">
        <f t="shared" si="7"/>
        <v>3</v>
      </c>
      <c r="BG19" s="164">
        <f t="shared" si="7"/>
        <v>4</v>
      </c>
      <c r="BH19" s="164">
        <f t="shared" si="7"/>
        <v>5</v>
      </c>
      <c r="BI19" s="164">
        <f t="shared" si="7"/>
        <v>6</v>
      </c>
      <c r="BJ19" s="164">
        <f t="shared" si="7"/>
        <v>7</v>
      </c>
      <c r="BK19" s="164">
        <f t="shared" si="7"/>
        <v>8</v>
      </c>
      <c r="BL19" s="164">
        <f t="shared" si="7"/>
        <v>9</v>
      </c>
      <c r="BM19" s="164">
        <f t="shared" si="7"/>
        <v>10</v>
      </c>
      <c r="BN19" s="164">
        <f t="shared" si="7"/>
        <v>11</v>
      </c>
      <c r="BO19" s="164">
        <f t="shared" si="7"/>
        <v>12</v>
      </c>
      <c r="BP19" s="188"/>
      <c r="BQ19" s="194"/>
      <c r="BR19" s="164">
        <f t="shared" ref="BR19:CC20" si="8">BD19</f>
        <v>1</v>
      </c>
      <c r="BS19" s="164">
        <f t="shared" si="8"/>
        <v>2</v>
      </c>
      <c r="BT19" s="164">
        <f t="shared" si="8"/>
        <v>3</v>
      </c>
      <c r="BU19" s="164">
        <f t="shared" si="8"/>
        <v>4</v>
      </c>
      <c r="BV19" s="164">
        <f t="shared" si="8"/>
        <v>5</v>
      </c>
      <c r="BW19" s="164">
        <f t="shared" si="8"/>
        <v>6</v>
      </c>
      <c r="BX19" s="164">
        <f t="shared" si="8"/>
        <v>7</v>
      </c>
      <c r="BY19" s="164">
        <f t="shared" si="8"/>
        <v>8</v>
      </c>
      <c r="BZ19" s="164">
        <f t="shared" si="8"/>
        <v>9</v>
      </c>
      <c r="CA19" s="164">
        <f t="shared" si="8"/>
        <v>10</v>
      </c>
      <c r="CB19" s="164">
        <f t="shared" si="8"/>
        <v>11</v>
      </c>
      <c r="CC19" s="164">
        <f t="shared" si="8"/>
        <v>12</v>
      </c>
      <c r="CE19" s="19"/>
    </row>
    <row r="20" spans="1:83" ht="14.25" hidden="1" customHeight="1" outlineLevel="1">
      <c r="A20" s="187" t="s">
        <v>698</v>
      </c>
      <c r="B20" s="15">
        <v>365</v>
      </c>
      <c r="C20" s="4"/>
      <c r="D20" s="4"/>
      <c r="M20" s="195" t="s">
        <v>701</v>
      </c>
      <c r="N20" s="196">
        <v>31</v>
      </c>
      <c r="O20" s="196">
        <v>28</v>
      </c>
      <c r="P20" s="196">
        <v>31</v>
      </c>
      <c r="Q20" s="196">
        <v>30</v>
      </c>
      <c r="R20" s="196">
        <v>31</v>
      </c>
      <c r="S20" s="196">
        <v>30</v>
      </c>
      <c r="T20" s="196">
        <v>31</v>
      </c>
      <c r="U20" s="196">
        <v>31</v>
      </c>
      <c r="V20" s="196">
        <v>30</v>
      </c>
      <c r="W20" s="196">
        <v>31</v>
      </c>
      <c r="X20" s="196">
        <v>30</v>
      </c>
      <c r="Y20" s="196">
        <v>31</v>
      </c>
      <c r="AB20" s="164">
        <f t="shared" si="5"/>
        <v>31</v>
      </c>
      <c r="AC20" s="164">
        <f t="shared" si="5"/>
        <v>28</v>
      </c>
      <c r="AD20" s="164">
        <f t="shared" si="5"/>
        <v>31</v>
      </c>
      <c r="AE20" s="164">
        <f t="shared" si="5"/>
        <v>30</v>
      </c>
      <c r="AF20" s="164">
        <f t="shared" si="5"/>
        <v>31</v>
      </c>
      <c r="AG20" s="164">
        <f t="shared" si="5"/>
        <v>30</v>
      </c>
      <c r="AH20" s="164">
        <f t="shared" si="5"/>
        <v>31</v>
      </c>
      <c r="AI20" s="164">
        <f t="shared" si="5"/>
        <v>31</v>
      </c>
      <c r="AJ20" s="164">
        <f t="shared" si="5"/>
        <v>30</v>
      </c>
      <c r="AK20" s="164">
        <f t="shared" si="5"/>
        <v>31</v>
      </c>
      <c r="AL20" s="164">
        <f t="shared" si="5"/>
        <v>30</v>
      </c>
      <c r="AM20" s="164">
        <f t="shared" si="5"/>
        <v>31</v>
      </c>
      <c r="AP20" s="164">
        <f t="shared" si="6"/>
        <v>31</v>
      </c>
      <c r="AQ20" s="164">
        <f t="shared" si="6"/>
        <v>28</v>
      </c>
      <c r="AR20" s="164">
        <f t="shared" si="6"/>
        <v>31</v>
      </c>
      <c r="AS20" s="164">
        <f t="shared" si="6"/>
        <v>30</v>
      </c>
      <c r="AT20" s="164">
        <f t="shared" si="6"/>
        <v>31</v>
      </c>
      <c r="AU20" s="164">
        <f t="shared" si="6"/>
        <v>30</v>
      </c>
      <c r="AV20" s="164">
        <f t="shared" si="6"/>
        <v>31</v>
      </c>
      <c r="AW20" s="164">
        <f t="shared" si="6"/>
        <v>31</v>
      </c>
      <c r="AX20" s="164">
        <f t="shared" si="6"/>
        <v>30</v>
      </c>
      <c r="AY20" s="164">
        <f t="shared" si="6"/>
        <v>31</v>
      </c>
      <c r="AZ20" s="164">
        <f t="shared" si="6"/>
        <v>30</v>
      </c>
      <c r="BA20" s="164">
        <f t="shared" si="6"/>
        <v>31</v>
      </c>
      <c r="BD20" s="164">
        <f t="shared" si="7"/>
        <v>31</v>
      </c>
      <c r="BE20" s="164">
        <f t="shared" si="7"/>
        <v>28</v>
      </c>
      <c r="BF20" s="164">
        <f t="shared" si="7"/>
        <v>31</v>
      </c>
      <c r="BG20" s="164">
        <f t="shared" si="7"/>
        <v>30</v>
      </c>
      <c r="BH20" s="164">
        <f t="shared" si="7"/>
        <v>31</v>
      </c>
      <c r="BI20" s="164">
        <f t="shared" si="7"/>
        <v>30</v>
      </c>
      <c r="BJ20" s="164">
        <f t="shared" si="7"/>
        <v>31</v>
      </c>
      <c r="BK20" s="164">
        <f t="shared" si="7"/>
        <v>31</v>
      </c>
      <c r="BL20" s="164">
        <f t="shared" si="7"/>
        <v>30</v>
      </c>
      <c r="BM20" s="164">
        <f t="shared" si="7"/>
        <v>31</v>
      </c>
      <c r="BN20" s="164">
        <f t="shared" si="7"/>
        <v>30</v>
      </c>
      <c r="BO20" s="164">
        <f t="shared" si="7"/>
        <v>31</v>
      </c>
      <c r="BR20" s="164">
        <f t="shared" si="8"/>
        <v>31</v>
      </c>
      <c r="BS20" s="164">
        <f t="shared" si="8"/>
        <v>28</v>
      </c>
      <c r="BT20" s="164">
        <f t="shared" si="8"/>
        <v>31</v>
      </c>
      <c r="BU20" s="164">
        <f t="shared" si="8"/>
        <v>30</v>
      </c>
      <c r="BV20" s="164">
        <f t="shared" si="8"/>
        <v>31</v>
      </c>
      <c r="BW20" s="164">
        <f t="shared" si="8"/>
        <v>30</v>
      </c>
      <c r="BX20" s="164">
        <f t="shared" si="8"/>
        <v>31</v>
      </c>
      <c r="BY20" s="164">
        <f t="shared" si="8"/>
        <v>31</v>
      </c>
      <c r="BZ20" s="164">
        <f t="shared" si="8"/>
        <v>30</v>
      </c>
      <c r="CA20" s="164">
        <f t="shared" si="8"/>
        <v>31</v>
      </c>
      <c r="CB20" s="164">
        <f t="shared" si="8"/>
        <v>30</v>
      </c>
      <c r="CC20" s="164">
        <f t="shared" si="8"/>
        <v>31</v>
      </c>
    </row>
    <row r="21" spans="1:83" ht="14.25" hidden="1" customHeight="1" outlineLevel="1">
      <c r="A21" s="213" t="s">
        <v>740</v>
      </c>
      <c r="B21" s="5">
        <v>6</v>
      </c>
      <c r="C21" s="4"/>
      <c r="D21" s="4"/>
      <c r="E21" s="240"/>
      <c r="F21" s="4"/>
      <c r="G21" s="4"/>
      <c r="H21" s="4"/>
      <c r="I21" s="4"/>
      <c r="J21" s="4"/>
      <c r="M21" s="187" t="s">
        <v>685</v>
      </c>
      <c r="N21" s="188">
        <f>$B$21</f>
        <v>6</v>
      </c>
      <c r="O21" s="188">
        <f t="shared" ref="O21:Y21" si="9">$B$21</f>
        <v>6</v>
      </c>
      <c r="P21" s="188">
        <f t="shared" si="9"/>
        <v>6</v>
      </c>
      <c r="Q21" s="188">
        <f t="shared" si="9"/>
        <v>6</v>
      </c>
      <c r="R21" s="188">
        <f t="shared" si="9"/>
        <v>6</v>
      </c>
      <c r="S21" s="188">
        <f t="shared" si="9"/>
        <v>6</v>
      </c>
      <c r="T21" s="188">
        <f t="shared" si="9"/>
        <v>6</v>
      </c>
      <c r="U21" s="188">
        <f t="shared" si="9"/>
        <v>6</v>
      </c>
      <c r="V21" s="188">
        <f t="shared" si="9"/>
        <v>6</v>
      </c>
      <c r="W21" s="188">
        <f t="shared" si="9"/>
        <v>6</v>
      </c>
      <c r="X21" s="188">
        <f t="shared" si="9"/>
        <v>6</v>
      </c>
      <c r="Y21" s="188">
        <f t="shared" si="9"/>
        <v>6</v>
      </c>
      <c r="Z21" s="25"/>
      <c r="AB21" s="188">
        <f>$B$21</f>
        <v>6</v>
      </c>
      <c r="AC21" s="188">
        <f t="shared" ref="AC21:AM21" si="10">$B$21</f>
        <v>6</v>
      </c>
      <c r="AD21" s="188">
        <f t="shared" si="10"/>
        <v>6</v>
      </c>
      <c r="AE21" s="188">
        <f t="shared" si="10"/>
        <v>6</v>
      </c>
      <c r="AF21" s="188">
        <f t="shared" si="10"/>
        <v>6</v>
      </c>
      <c r="AG21" s="188">
        <f t="shared" si="10"/>
        <v>6</v>
      </c>
      <c r="AH21" s="188">
        <f t="shared" si="10"/>
        <v>6</v>
      </c>
      <c r="AI21" s="188">
        <f t="shared" si="10"/>
        <v>6</v>
      </c>
      <c r="AJ21" s="188">
        <f t="shared" si="10"/>
        <v>6</v>
      </c>
      <c r="AK21" s="188">
        <f t="shared" si="10"/>
        <v>6</v>
      </c>
      <c r="AL21" s="188">
        <f t="shared" si="10"/>
        <v>6</v>
      </c>
      <c r="AM21" s="188">
        <f t="shared" si="10"/>
        <v>6</v>
      </c>
      <c r="AN21" s="25"/>
      <c r="AP21" s="188">
        <f>$B$21</f>
        <v>6</v>
      </c>
      <c r="AQ21" s="188">
        <f t="shared" ref="AQ21:BA21" si="11">$B$21</f>
        <v>6</v>
      </c>
      <c r="AR21" s="188">
        <f t="shared" si="11"/>
        <v>6</v>
      </c>
      <c r="AS21" s="188">
        <f t="shared" si="11"/>
        <v>6</v>
      </c>
      <c r="AT21" s="188">
        <f t="shared" si="11"/>
        <v>6</v>
      </c>
      <c r="AU21" s="188">
        <f t="shared" si="11"/>
        <v>6</v>
      </c>
      <c r="AV21" s="188">
        <f t="shared" si="11"/>
        <v>6</v>
      </c>
      <c r="AW21" s="188">
        <f t="shared" si="11"/>
        <v>6</v>
      </c>
      <c r="AX21" s="188">
        <f t="shared" si="11"/>
        <v>6</v>
      </c>
      <c r="AY21" s="188">
        <f t="shared" si="11"/>
        <v>6</v>
      </c>
      <c r="AZ21" s="188">
        <f t="shared" si="11"/>
        <v>6</v>
      </c>
      <c r="BA21" s="188">
        <f t="shared" si="11"/>
        <v>6</v>
      </c>
      <c r="BB21" s="25"/>
      <c r="BD21" s="188">
        <f>$B$21</f>
        <v>6</v>
      </c>
      <c r="BE21" s="188">
        <f t="shared" ref="BE21:BO21" si="12">$B$21</f>
        <v>6</v>
      </c>
      <c r="BF21" s="188">
        <f t="shared" si="12"/>
        <v>6</v>
      </c>
      <c r="BG21" s="188">
        <f t="shared" si="12"/>
        <v>6</v>
      </c>
      <c r="BH21" s="188">
        <f t="shared" si="12"/>
        <v>6</v>
      </c>
      <c r="BI21" s="188">
        <f t="shared" si="12"/>
        <v>6</v>
      </c>
      <c r="BJ21" s="188">
        <f t="shared" si="12"/>
        <v>6</v>
      </c>
      <c r="BK21" s="188">
        <f t="shared" si="12"/>
        <v>6</v>
      </c>
      <c r="BL21" s="188">
        <f t="shared" si="12"/>
        <v>6</v>
      </c>
      <c r="BM21" s="188">
        <f t="shared" si="12"/>
        <v>6</v>
      </c>
      <c r="BN21" s="188">
        <f t="shared" si="12"/>
        <v>6</v>
      </c>
      <c r="BO21" s="188">
        <f t="shared" si="12"/>
        <v>6</v>
      </c>
      <c r="BP21" s="25"/>
      <c r="BR21" s="188">
        <f>$B$21</f>
        <v>6</v>
      </c>
      <c r="BS21" s="188">
        <f t="shared" ref="BS21:CC21" si="13">$B$21</f>
        <v>6</v>
      </c>
      <c r="BT21" s="188">
        <f t="shared" si="13"/>
        <v>6</v>
      </c>
      <c r="BU21" s="188">
        <f t="shared" si="13"/>
        <v>6</v>
      </c>
      <c r="BV21" s="188">
        <f t="shared" si="13"/>
        <v>6</v>
      </c>
      <c r="BW21" s="188">
        <f t="shared" si="13"/>
        <v>6</v>
      </c>
      <c r="BX21" s="188">
        <f t="shared" si="13"/>
        <v>6</v>
      </c>
      <c r="BY21" s="188">
        <f t="shared" si="13"/>
        <v>6</v>
      </c>
      <c r="BZ21" s="188">
        <f t="shared" si="13"/>
        <v>6</v>
      </c>
      <c r="CA21" s="188">
        <f t="shared" si="13"/>
        <v>6</v>
      </c>
      <c r="CB21" s="188">
        <f t="shared" si="13"/>
        <v>6</v>
      </c>
      <c r="CC21" s="188">
        <f t="shared" si="13"/>
        <v>6</v>
      </c>
      <c r="CD21" s="25"/>
    </row>
    <row r="22" spans="1:83" ht="14.25" hidden="1" customHeight="1" outlineLevel="1">
      <c r="A22" s="213" t="s">
        <v>741</v>
      </c>
      <c r="B22" s="5">
        <f>B21-1</f>
        <v>5</v>
      </c>
      <c r="C22" s="4"/>
      <c r="D22" s="4"/>
      <c r="E22" s="4"/>
      <c r="F22" s="4"/>
      <c r="G22" s="4"/>
      <c r="H22" s="4"/>
      <c r="I22" s="4"/>
      <c r="J22" s="4"/>
      <c r="M22" s="187" t="s">
        <v>686</v>
      </c>
      <c r="N22" s="188">
        <f>$B$22</f>
        <v>5</v>
      </c>
      <c r="O22" s="188">
        <f t="shared" ref="O22:Y22" si="14">$B$22</f>
        <v>5</v>
      </c>
      <c r="P22" s="188">
        <f t="shared" si="14"/>
        <v>5</v>
      </c>
      <c r="Q22" s="188">
        <f t="shared" si="14"/>
        <v>5</v>
      </c>
      <c r="R22" s="188">
        <f t="shared" si="14"/>
        <v>5</v>
      </c>
      <c r="S22" s="188">
        <f t="shared" si="14"/>
        <v>5</v>
      </c>
      <c r="T22" s="188">
        <f t="shared" si="14"/>
        <v>5</v>
      </c>
      <c r="U22" s="188">
        <f t="shared" si="14"/>
        <v>5</v>
      </c>
      <c r="V22" s="188">
        <f t="shared" si="14"/>
        <v>5</v>
      </c>
      <c r="W22" s="188">
        <f t="shared" si="14"/>
        <v>5</v>
      </c>
      <c r="X22" s="188">
        <f t="shared" si="14"/>
        <v>5</v>
      </c>
      <c r="Y22" s="188">
        <f t="shared" si="14"/>
        <v>5</v>
      </c>
      <c r="Z22" s="25"/>
      <c r="AB22" s="188">
        <f>$B$22</f>
        <v>5</v>
      </c>
      <c r="AC22" s="188">
        <f t="shared" ref="AC22:AM22" si="15">$B$22</f>
        <v>5</v>
      </c>
      <c r="AD22" s="188">
        <f t="shared" si="15"/>
        <v>5</v>
      </c>
      <c r="AE22" s="188">
        <f t="shared" si="15"/>
        <v>5</v>
      </c>
      <c r="AF22" s="188">
        <f t="shared" si="15"/>
        <v>5</v>
      </c>
      <c r="AG22" s="188">
        <f t="shared" si="15"/>
        <v>5</v>
      </c>
      <c r="AH22" s="188">
        <f t="shared" si="15"/>
        <v>5</v>
      </c>
      <c r="AI22" s="188">
        <f t="shared" si="15"/>
        <v>5</v>
      </c>
      <c r="AJ22" s="188">
        <f t="shared" si="15"/>
        <v>5</v>
      </c>
      <c r="AK22" s="188">
        <f t="shared" si="15"/>
        <v>5</v>
      </c>
      <c r="AL22" s="188">
        <f t="shared" si="15"/>
        <v>5</v>
      </c>
      <c r="AM22" s="188">
        <f t="shared" si="15"/>
        <v>5</v>
      </c>
      <c r="AN22" s="25"/>
      <c r="AP22" s="188">
        <f>$B$22</f>
        <v>5</v>
      </c>
      <c r="AQ22" s="188">
        <f t="shared" ref="AQ22:BA22" si="16">$B$22</f>
        <v>5</v>
      </c>
      <c r="AR22" s="188">
        <f t="shared" si="16"/>
        <v>5</v>
      </c>
      <c r="AS22" s="188">
        <f t="shared" si="16"/>
        <v>5</v>
      </c>
      <c r="AT22" s="188">
        <f t="shared" si="16"/>
        <v>5</v>
      </c>
      <c r="AU22" s="188">
        <f t="shared" si="16"/>
        <v>5</v>
      </c>
      <c r="AV22" s="188">
        <f t="shared" si="16"/>
        <v>5</v>
      </c>
      <c r="AW22" s="188">
        <f t="shared" si="16"/>
        <v>5</v>
      </c>
      <c r="AX22" s="188">
        <f t="shared" si="16"/>
        <v>5</v>
      </c>
      <c r="AY22" s="188">
        <f t="shared" si="16"/>
        <v>5</v>
      </c>
      <c r="AZ22" s="188">
        <f t="shared" si="16"/>
        <v>5</v>
      </c>
      <c r="BA22" s="188">
        <f t="shared" si="16"/>
        <v>5</v>
      </c>
      <c r="BB22" s="25"/>
      <c r="BD22" s="188">
        <f>$B$22</f>
        <v>5</v>
      </c>
      <c r="BE22" s="188">
        <f t="shared" ref="BE22:BO22" si="17">$B$22</f>
        <v>5</v>
      </c>
      <c r="BF22" s="188">
        <f t="shared" si="17"/>
        <v>5</v>
      </c>
      <c r="BG22" s="188">
        <f t="shared" si="17"/>
        <v>5</v>
      </c>
      <c r="BH22" s="188">
        <f t="shared" si="17"/>
        <v>5</v>
      </c>
      <c r="BI22" s="188">
        <f t="shared" si="17"/>
        <v>5</v>
      </c>
      <c r="BJ22" s="188">
        <f t="shared" si="17"/>
        <v>5</v>
      </c>
      <c r="BK22" s="188">
        <f t="shared" si="17"/>
        <v>5</v>
      </c>
      <c r="BL22" s="188">
        <f t="shared" si="17"/>
        <v>5</v>
      </c>
      <c r="BM22" s="188">
        <f t="shared" si="17"/>
        <v>5</v>
      </c>
      <c r="BN22" s="188">
        <f t="shared" si="17"/>
        <v>5</v>
      </c>
      <c r="BO22" s="188">
        <f t="shared" si="17"/>
        <v>5</v>
      </c>
      <c r="BP22" s="25"/>
      <c r="BR22" s="188">
        <f>$B$22</f>
        <v>5</v>
      </c>
      <c r="BS22" s="188">
        <f t="shared" ref="BS22:CC22" si="18">$B$22</f>
        <v>5</v>
      </c>
      <c r="BT22" s="188">
        <f t="shared" si="18"/>
        <v>5</v>
      </c>
      <c r="BU22" s="188">
        <f t="shared" si="18"/>
        <v>5</v>
      </c>
      <c r="BV22" s="188">
        <f t="shared" si="18"/>
        <v>5</v>
      </c>
      <c r="BW22" s="188">
        <f t="shared" si="18"/>
        <v>5</v>
      </c>
      <c r="BX22" s="188">
        <f t="shared" si="18"/>
        <v>5</v>
      </c>
      <c r="BY22" s="188">
        <f t="shared" si="18"/>
        <v>5</v>
      </c>
      <c r="BZ22" s="188">
        <f t="shared" si="18"/>
        <v>5</v>
      </c>
      <c r="CA22" s="188">
        <f t="shared" si="18"/>
        <v>5</v>
      </c>
      <c r="CB22" s="188">
        <f t="shared" si="18"/>
        <v>5</v>
      </c>
      <c r="CC22" s="188">
        <f t="shared" si="18"/>
        <v>5</v>
      </c>
      <c r="CD22" s="25"/>
    </row>
    <row r="23" spans="1:83" ht="14.25" hidden="1" customHeight="1" outlineLevel="1">
      <c r="A23" s="187" t="s">
        <v>695</v>
      </c>
      <c r="B23" s="188">
        <f>$B$12*$B$24</f>
        <v>25</v>
      </c>
      <c r="C23" s="4"/>
      <c r="D23" s="4"/>
      <c r="E23" s="4"/>
      <c r="F23" s="4"/>
      <c r="G23" s="4"/>
      <c r="H23" s="4"/>
      <c r="I23" s="4"/>
      <c r="J23" s="4"/>
      <c r="M23" s="187"/>
      <c r="N23" s="188"/>
      <c r="O23" s="188"/>
      <c r="P23" s="188"/>
      <c r="Q23" s="188"/>
      <c r="R23" s="188"/>
      <c r="S23" s="188"/>
      <c r="T23" s="188"/>
      <c r="U23" s="188"/>
      <c r="V23" s="188"/>
      <c r="W23" s="188"/>
      <c r="X23" s="188"/>
      <c r="Y23" s="188"/>
      <c r="Z23" s="25"/>
      <c r="AB23" s="188"/>
      <c r="AC23" s="188"/>
      <c r="AD23" s="188"/>
      <c r="AE23" s="188"/>
      <c r="AF23" s="188"/>
      <c r="AG23" s="188"/>
      <c r="AH23" s="188"/>
      <c r="AI23" s="188"/>
      <c r="AJ23" s="188"/>
      <c r="AK23" s="188"/>
      <c r="AL23" s="188"/>
      <c r="AM23" s="188"/>
      <c r="AN23" s="25"/>
      <c r="AP23" s="188"/>
      <c r="AQ23" s="188"/>
      <c r="AR23" s="188"/>
      <c r="AS23" s="188"/>
      <c r="AT23" s="188"/>
      <c r="AU23" s="188"/>
      <c r="AV23" s="188"/>
      <c r="AW23" s="188"/>
      <c r="AX23" s="188"/>
      <c r="AY23" s="188"/>
      <c r="AZ23" s="188"/>
      <c r="BA23" s="188"/>
      <c r="BB23" s="25"/>
      <c r="BD23" s="188"/>
      <c r="BE23" s="188"/>
      <c r="BF23" s="188"/>
      <c r="BG23" s="188"/>
      <c r="BH23" s="188"/>
      <c r="BI23" s="188"/>
      <c r="BJ23" s="188"/>
      <c r="BK23" s="188"/>
      <c r="BL23" s="188"/>
      <c r="BM23" s="188"/>
      <c r="BN23" s="188"/>
      <c r="BO23" s="188"/>
      <c r="BP23" s="25"/>
      <c r="BR23" s="188"/>
      <c r="BS23" s="188"/>
      <c r="BT23" s="188"/>
      <c r="BU23" s="188"/>
      <c r="BV23" s="188"/>
      <c r="BW23" s="188"/>
      <c r="BX23" s="188"/>
      <c r="BY23" s="188"/>
      <c r="BZ23" s="188"/>
      <c r="CA23" s="188"/>
      <c r="CB23" s="188"/>
      <c r="CC23" s="188"/>
      <c r="CD23" s="25"/>
    </row>
    <row r="24" spans="1:83" ht="14.25" hidden="1" customHeight="1" outlineLevel="1">
      <c r="A24" s="187" t="s">
        <v>687</v>
      </c>
      <c r="B24" s="139">
        <v>1.25</v>
      </c>
      <c r="C24" s="4"/>
      <c r="D24" s="4"/>
      <c r="E24" s="4"/>
      <c r="F24" s="174"/>
      <c r="G24" s="4"/>
      <c r="H24" s="4"/>
      <c r="I24" s="4"/>
      <c r="J24" s="4"/>
      <c r="M24" s="187"/>
      <c r="N24" s="188"/>
      <c r="O24" s="188"/>
      <c r="P24" s="188"/>
      <c r="Q24" s="188"/>
      <c r="R24" s="188"/>
      <c r="S24" s="188"/>
      <c r="T24" s="188"/>
      <c r="U24" s="188"/>
      <c r="V24" s="188"/>
      <c r="W24" s="188"/>
      <c r="X24" s="188"/>
      <c r="Y24" s="188"/>
      <c r="Z24" s="25"/>
      <c r="AB24" s="188"/>
      <c r="AC24" s="188"/>
      <c r="AD24" s="188"/>
      <c r="AE24" s="188"/>
      <c r="AF24" s="188"/>
      <c r="AG24" s="188"/>
      <c r="AH24" s="188"/>
      <c r="AI24" s="188"/>
      <c r="AJ24" s="188"/>
      <c r="AK24" s="188"/>
      <c r="AL24" s="188"/>
      <c r="AM24" s="188"/>
      <c r="AN24" s="25"/>
      <c r="AP24" s="188"/>
      <c r="AQ24" s="188"/>
      <c r="AR24" s="188"/>
      <c r="AS24" s="188"/>
      <c r="AT24" s="188"/>
      <c r="AU24" s="188"/>
      <c r="AV24" s="188"/>
      <c r="AW24" s="188"/>
      <c r="AX24" s="188"/>
      <c r="AY24" s="188"/>
      <c r="AZ24" s="188"/>
      <c r="BA24" s="188"/>
      <c r="BB24" s="25"/>
      <c r="BD24" s="188"/>
      <c r="BE24" s="188"/>
      <c r="BF24" s="188"/>
      <c r="BG24" s="188"/>
      <c r="BH24" s="188"/>
      <c r="BI24" s="188"/>
      <c r="BJ24" s="188"/>
      <c r="BK24" s="188"/>
      <c r="BL24" s="188"/>
      <c r="BM24" s="188"/>
      <c r="BN24" s="188"/>
      <c r="BO24" s="188"/>
      <c r="BP24" s="25"/>
      <c r="BR24" s="188"/>
      <c r="BS24" s="188"/>
      <c r="BT24" s="188"/>
      <c r="BU24" s="188"/>
      <c r="BV24" s="188"/>
      <c r="BW24" s="188"/>
      <c r="BX24" s="188"/>
      <c r="BY24" s="188"/>
      <c r="BZ24" s="188"/>
      <c r="CA24" s="188"/>
      <c r="CB24" s="188"/>
      <c r="CC24" s="188"/>
      <c r="CD24" s="25"/>
    </row>
    <row r="25" spans="1:83" ht="14.25" customHeight="1" collapsed="1">
      <c r="A25" s="201" t="s">
        <v>689</v>
      </c>
      <c r="B25" s="225"/>
      <c r="C25" s="226"/>
      <c r="D25" s="226"/>
      <c r="E25" s="156"/>
      <c r="F25" s="230">
        <f>SUM(N25:Y25)</f>
        <v>90</v>
      </c>
      <c r="G25" s="190">
        <f>SUM(AB25:AM25)</f>
        <v>144</v>
      </c>
      <c r="H25" s="190">
        <f>SUM(AP25:BA25)</f>
        <v>216</v>
      </c>
      <c r="I25" s="190">
        <f>SUM(BD25:BO25)</f>
        <v>216</v>
      </c>
      <c r="J25" s="190">
        <f>SUM(BR25:CC25)</f>
        <v>216</v>
      </c>
      <c r="M25" s="187" t="s">
        <v>689</v>
      </c>
      <c r="N25" s="188">
        <f t="shared" ref="N25:Y25" si="19">N21*N27</f>
        <v>6</v>
      </c>
      <c r="O25" s="188">
        <f t="shared" si="19"/>
        <v>6</v>
      </c>
      <c r="P25" s="188">
        <f t="shared" si="19"/>
        <v>6</v>
      </c>
      <c r="Q25" s="188">
        <f t="shared" si="19"/>
        <v>6</v>
      </c>
      <c r="R25" s="188">
        <f t="shared" si="19"/>
        <v>6</v>
      </c>
      <c r="S25" s="188">
        <f t="shared" si="19"/>
        <v>6</v>
      </c>
      <c r="T25" s="188">
        <f t="shared" si="19"/>
        <v>6</v>
      </c>
      <c r="U25" s="188">
        <f t="shared" si="19"/>
        <v>6</v>
      </c>
      <c r="V25" s="188">
        <f t="shared" si="19"/>
        <v>6</v>
      </c>
      <c r="W25" s="188">
        <f t="shared" si="19"/>
        <v>12</v>
      </c>
      <c r="X25" s="188">
        <f t="shared" si="19"/>
        <v>12</v>
      </c>
      <c r="Y25" s="188">
        <f t="shared" si="19"/>
        <v>12</v>
      </c>
      <c r="Z25" s="25"/>
      <c r="AB25" s="188">
        <f t="shared" ref="AB25:AM25" si="20">AB21*AB27</f>
        <v>12</v>
      </c>
      <c r="AC25" s="188">
        <f t="shared" si="20"/>
        <v>12</v>
      </c>
      <c r="AD25" s="188">
        <f t="shared" si="20"/>
        <v>12</v>
      </c>
      <c r="AE25" s="188">
        <f t="shared" si="20"/>
        <v>12</v>
      </c>
      <c r="AF25" s="188">
        <f t="shared" si="20"/>
        <v>12</v>
      </c>
      <c r="AG25" s="188">
        <f t="shared" si="20"/>
        <v>12</v>
      </c>
      <c r="AH25" s="188">
        <f t="shared" si="20"/>
        <v>12</v>
      </c>
      <c r="AI25" s="188">
        <f t="shared" si="20"/>
        <v>12</v>
      </c>
      <c r="AJ25" s="188">
        <f t="shared" si="20"/>
        <v>12</v>
      </c>
      <c r="AK25" s="188">
        <f t="shared" si="20"/>
        <v>12</v>
      </c>
      <c r="AL25" s="188">
        <f t="shared" si="20"/>
        <v>12</v>
      </c>
      <c r="AM25" s="188">
        <f t="shared" si="20"/>
        <v>12</v>
      </c>
      <c r="AN25" s="25"/>
      <c r="AP25" s="188">
        <f t="shared" ref="AP25:BA25" si="21">AP21*AP27</f>
        <v>18</v>
      </c>
      <c r="AQ25" s="188">
        <f t="shared" si="21"/>
        <v>18</v>
      </c>
      <c r="AR25" s="188">
        <f t="shared" si="21"/>
        <v>18</v>
      </c>
      <c r="AS25" s="188">
        <f t="shared" si="21"/>
        <v>18</v>
      </c>
      <c r="AT25" s="188">
        <f t="shared" si="21"/>
        <v>18</v>
      </c>
      <c r="AU25" s="188">
        <f t="shared" si="21"/>
        <v>18</v>
      </c>
      <c r="AV25" s="188">
        <f t="shared" si="21"/>
        <v>18</v>
      </c>
      <c r="AW25" s="188">
        <f t="shared" si="21"/>
        <v>18</v>
      </c>
      <c r="AX25" s="188">
        <f t="shared" si="21"/>
        <v>18</v>
      </c>
      <c r="AY25" s="188">
        <f t="shared" si="21"/>
        <v>18</v>
      </c>
      <c r="AZ25" s="188">
        <f t="shared" si="21"/>
        <v>18</v>
      </c>
      <c r="BA25" s="188">
        <f t="shared" si="21"/>
        <v>18</v>
      </c>
      <c r="BB25" s="25"/>
      <c r="BD25" s="188">
        <f t="shared" ref="BD25:BO25" si="22">BD21*BD27</f>
        <v>18</v>
      </c>
      <c r="BE25" s="188">
        <f t="shared" si="22"/>
        <v>18</v>
      </c>
      <c r="BF25" s="188">
        <f t="shared" si="22"/>
        <v>18</v>
      </c>
      <c r="BG25" s="188">
        <f t="shared" si="22"/>
        <v>18</v>
      </c>
      <c r="BH25" s="188">
        <f t="shared" si="22"/>
        <v>18</v>
      </c>
      <c r="BI25" s="188">
        <f t="shared" si="22"/>
        <v>18</v>
      </c>
      <c r="BJ25" s="188">
        <f t="shared" si="22"/>
        <v>18</v>
      </c>
      <c r="BK25" s="188">
        <f t="shared" si="22"/>
        <v>18</v>
      </c>
      <c r="BL25" s="188">
        <f t="shared" si="22"/>
        <v>18</v>
      </c>
      <c r="BM25" s="188">
        <f t="shared" si="22"/>
        <v>18</v>
      </c>
      <c r="BN25" s="188">
        <f t="shared" si="22"/>
        <v>18</v>
      </c>
      <c r="BO25" s="188">
        <f t="shared" si="22"/>
        <v>18</v>
      </c>
      <c r="BP25" s="25"/>
      <c r="BR25" s="188">
        <f t="shared" ref="BR25:CC25" si="23">BR21*BR27</f>
        <v>18</v>
      </c>
      <c r="BS25" s="188">
        <f t="shared" si="23"/>
        <v>18</v>
      </c>
      <c r="BT25" s="188">
        <f t="shared" si="23"/>
        <v>18</v>
      </c>
      <c r="BU25" s="188">
        <f t="shared" si="23"/>
        <v>18</v>
      </c>
      <c r="BV25" s="188">
        <f t="shared" si="23"/>
        <v>18</v>
      </c>
      <c r="BW25" s="188">
        <f t="shared" si="23"/>
        <v>18</v>
      </c>
      <c r="BX25" s="188">
        <f t="shared" si="23"/>
        <v>18</v>
      </c>
      <c r="BY25" s="188">
        <f t="shared" si="23"/>
        <v>18</v>
      </c>
      <c r="BZ25" s="188">
        <f t="shared" si="23"/>
        <v>18</v>
      </c>
      <c r="CA25" s="188">
        <f t="shared" si="23"/>
        <v>18</v>
      </c>
      <c r="CB25" s="188">
        <f t="shared" si="23"/>
        <v>18</v>
      </c>
      <c r="CC25" s="188">
        <f t="shared" si="23"/>
        <v>18</v>
      </c>
      <c r="CD25" s="25"/>
    </row>
    <row r="26" spans="1:83" ht="14.25" customHeight="1">
      <c r="A26" s="201" t="s">
        <v>694</v>
      </c>
      <c r="B26" s="225"/>
      <c r="C26" s="226"/>
      <c r="D26" s="226"/>
      <c r="E26" s="156"/>
      <c r="F26" s="231">
        <f>F25/$B$20</f>
        <v>0.24657534246575341</v>
      </c>
      <c r="G26" s="192">
        <f>G25/$B$20</f>
        <v>0.39452054794520547</v>
      </c>
      <c r="H26" s="192">
        <f>H25/$B$20</f>
        <v>0.59178082191780823</v>
      </c>
      <c r="I26" s="192">
        <f>I25/$B$20</f>
        <v>0.59178082191780823</v>
      </c>
      <c r="J26" s="192">
        <f t="shared" ref="J26" si="24">J25/$B$20</f>
        <v>0.59178082191780823</v>
      </c>
      <c r="M26" s="187"/>
      <c r="N26" s="188"/>
      <c r="O26" s="188"/>
      <c r="P26" s="188"/>
      <c r="Q26" s="188"/>
      <c r="R26" s="188"/>
      <c r="S26" s="188"/>
      <c r="T26" s="188"/>
      <c r="U26" s="188"/>
      <c r="V26" s="188"/>
      <c r="W26" s="188"/>
      <c r="X26" s="188"/>
      <c r="Y26" s="188"/>
      <c r="Z26" s="25"/>
      <c r="AB26" s="188"/>
      <c r="AC26" s="188"/>
      <c r="AD26" s="188"/>
      <c r="AE26" s="188"/>
      <c r="AF26" s="188"/>
      <c r="AG26" s="188"/>
      <c r="AH26" s="188"/>
      <c r="AI26" s="188"/>
      <c r="AJ26" s="188"/>
      <c r="AK26" s="188"/>
      <c r="AL26" s="188"/>
      <c r="AM26" s="188"/>
      <c r="AN26" s="25"/>
      <c r="AP26" s="188"/>
      <c r="AQ26" s="188"/>
      <c r="AR26" s="188"/>
      <c r="AS26" s="188"/>
      <c r="AT26" s="188"/>
      <c r="AU26" s="188"/>
      <c r="AV26" s="188"/>
      <c r="AW26" s="188"/>
      <c r="AX26" s="188"/>
      <c r="AY26" s="188"/>
      <c r="AZ26" s="188"/>
      <c r="BA26" s="188"/>
      <c r="BB26" s="25"/>
      <c r="BD26" s="188"/>
      <c r="BE26" s="188"/>
      <c r="BF26" s="188"/>
      <c r="BG26" s="188"/>
      <c r="BH26" s="188"/>
      <c r="BI26" s="188"/>
      <c r="BJ26" s="188"/>
      <c r="BK26" s="188"/>
      <c r="BL26" s="188"/>
      <c r="BM26" s="188"/>
      <c r="BN26" s="188"/>
      <c r="BO26" s="188"/>
      <c r="BP26" s="25"/>
      <c r="BR26" s="188"/>
      <c r="BS26" s="188"/>
      <c r="BT26" s="188"/>
      <c r="BU26" s="188"/>
      <c r="BV26" s="188"/>
      <c r="BW26" s="188"/>
      <c r="BX26" s="188"/>
      <c r="BY26" s="188"/>
      <c r="BZ26" s="188"/>
      <c r="CA26" s="188"/>
      <c r="CB26" s="188"/>
      <c r="CC26" s="188"/>
      <c r="CD26" s="25"/>
    </row>
    <row r="27" spans="1:83" ht="14.25" customHeight="1">
      <c r="A27" s="201" t="s">
        <v>691</v>
      </c>
      <c r="B27" s="225"/>
      <c r="C27" s="226"/>
      <c r="D27" s="226"/>
      <c r="E27" s="156"/>
      <c r="F27" s="230">
        <f>SUM(N27:Y27)</f>
        <v>15</v>
      </c>
      <c r="G27" s="190">
        <f>SUM(AB27:AM27)</f>
        <v>24</v>
      </c>
      <c r="H27" s="190">
        <f>SUM(AP27:BA27)</f>
        <v>36</v>
      </c>
      <c r="I27" s="190">
        <f>SUM(BD27:BO27)</f>
        <v>36</v>
      </c>
      <c r="J27" s="190">
        <f>SUM(BR27:CC27)</f>
        <v>36</v>
      </c>
      <c r="M27" s="187" t="s">
        <v>688</v>
      </c>
      <c r="N27" s="5">
        <v>1</v>
      </c>
      <c r="O27" s="5">
        <v>1</v>
      </c>
      <c r="P27" s="5">
        <v>1</v>
      </c>
      <c r="Q27" s="5">
        <v>1</v>
      </c>
      <c r="R27" s="5">
        <v>1</v>
      </c>
      <c r="S27" s="5">
        <v>1</v>
      </c>
      <c r="T27" s="5">
        <v>1</v>
      </c>
      <c r="U27" s="5">
        <v>1</v>
      </c>
      <c r="V27" s="5">
        <v>1</v>
      </c>
      <c r="W27" s="5">
        <v>2</v>
      </c>
      <c r="X27" s="5">
        <v>2</v>
      </c>
      <c r="Y27" s="5">
        <v>2</v>
      </c>
      <c r="Z27" s="25"/>
      <c r="AB27" s="5">
        <v>2</v>
      </c>
      <c r="AC27" s="5">
        <v>2</v>
      </c>
      <c r="AD27" s="5">
        <v>2</v>
      </c>
      <c r="AE27" s="5">
        <v>2</v>
      </c>
      <c r="AF27" s="5">
        <v>2</v>
      </c>
      <c r="AG27" s="5">
        <v>2</v>
      </c>
      <c r="AH27" s="5">
        <v>2</v>
      </c>
      <c r="AI27" s="5">
        <v>2</v>
      </c>
      <c r="AJ27" s="5">
        <v>2</v>
      </c>
      <c r="AK27" s="5">
        <v>2</v>
      </c>
      <c r="AL27" s="5">
        <v>2</v>
      </c>
      <c r="AM27" s="5">
        <v>2</v>
      </c>
      <c r="AN27" s="25"/>
      <c r="AP27" s="5">
        <v>3</v>
      </c>
      <c r="AQ27" s="5">
        <v>3</v>
      </c>
      <c r="AR27" s="5">
        <v>3</v>
      </c>
      <c r="AS27" s="5">
        <v>3</v>
      </c>
      <c r="AT27" s="5">
        <v>3</v>
      </c>
      <c r="AU27" s="5">
        <v>3</v>
      </c>
      <c r="AV27" s="5">
        <v>3</v>
      </c>
      <c r="AW27" s="5">
        <v>3</v>
      </c>
      <c r="AX27" s="5">
        <v>3</v>
      </c>
      <c r="AY27" s="5">
        <v>3</v>
      </c>
      <c r="AZ27" s="5">
        <v>3</v>
      </c>
      <c r="BA27" s="5">
        <v>3</v>
      </c>
      <c r="BB27" s="25"/>
      <c r="BD27" s="5">
        <v>3</v>
      </c>
      <c r="BE27" s="5">
        <v>3</v>
      </c>
      <c r="BF27" s="5">
        <v>3</v>
      </c>
      <c r="BG27" s="5">
        <v>3</v>
      </c>
      <c r="BH27" s="5">
        <v>3</v>
      </c>
      <c r="BI27" s="5">
        <v>3</v>
      </c>
      <c r="BJ27" s="5">
        <v>3</v>
      </c>
      <c r="BK27" s="5">
        <v>3</v>
      </c>
      <c r="BL27" s="5">
        <v>3</v>
      </c>
      <c r="BM27" s="5">
        <v>3</v>
      </c>
      <c r="BN27" s="5">
        <v>3</v>
      </c>
      <c r="BO27" s="5">
        <v>3</v>
      </c>
      <c r="BP27" s="25"/>
      <c r="BR27" s="5">
        <v>3</v>
      </c>
      <c r="BS27" s="5">
        <v>3</v>
      </c>
      <c r="BT27" s="5">
        <v>3</v>
      </c>
      <c r="BU27" s="5">
        <v>3</v>
      </c>
      <c r="BV27" s="5">
        <v>3</v>
      </c>
      <c r="BW27" s="5">
        <v>3</v>
      </c>
      <c r="BX27" s="5">
        <v>3</v>
      </c>
      <c r="BY27" s="5">
        <v>3</v>
      </c>
      <c r="BZ27" s="5">
        <v>3</v>
      </c>
      <c r="CA27" s="5">
        <v>3</v>
      </c>
      <c r="CB27" s="5">
        <v>3</v>
      </c>
      <c r="CC27" s="5">
        <v>3</v>
      </c>
      <c r="CD27" s="25"/>
    </row>
    <row r="28" spans="1:83" ht="14.25" customHeight="1">
      <c r="A28" s="201" t="s">
        <v>690</v>
      </c>
      <c r="B28" s="225"/>
      <c r="C28" s="226"/>
      <c r="D28" s="226"/>
      <c r="E28" s="156"/>
      <c r="F28" s="230">
        <f>SUM(N28:Y28)</f>
        <v>52</v>
      </c>
      <c r="G28" s="190">
        <f>SUM(AB28:AM28)</f>
        <v>52</v>
      </c>
      <c r="H28" s="190">
        <f>SUM(AP28:BA28)</f>
        <v>52</v>
      </c>
      <c r="I28" s="190">
        <f>SUM(BD28:BO28)</f>
        <v>52</v>
      </c>
      <c r="J28" s="190">
        <f>SUM(BR28:CC28)</f>
        <v>52</v>
      </c>
      <c r="M28" s="187" t="s">
        <v>684</v>
      </c>
      <c r="N28" s="5">
        <v>5</v>
      </c>
      <c r="O28" s="5">
        <v>4</v>
      </c>
      <c r="P28" s="5">
        <v>4</v>
      </c>
      <c r="Q28" s="5">
        <v>4</v>
      </c>
      <c r="R28" s="5">
        <v>5</v>
      </c>
      <c r="S28" s="5">
        <v>4</v>
      </c>
      <c r="T28" s="5">
        <v>5</v>
      </c>
      <c r="U28" s="5">
        <v>4</v>
      </c>
      <c r="V28" s="5">
        <v>4</v>
      </c>
      <c r="W28" s="5">
        <v>4</v>
      </c>
      <c r="X28" s="5">
        <v>4</v>
      </c>
      <c r="Y28" s="5">
        <v>5</v>
      </c>
      <c r="Z28" s="188"/>
      <c r="AB28" s="5">
        <v>5</v>
      </c>
      <c r="AC28" s="5">
        <v>4</v>
      </c>
      <c r="AD28" s="5">
        <v>4</v>
      </c>
      <c r="AE28" s="5">
        <v>4</v>
      </c>
      <c r="AF28" s="5">
        <v>5</v>
      </c>
      <c r="AG28" s="5">
        <v>4</v>
      </c>
      <c r="AH28" s="5">
        <v>5</v>
      </c>
      <c r="AI28" s="5">
        <v>4</v>
      </c>
      <c r="AJ28" s="5">
        <v>4</v>
      </c>
      <c r="AK28" s="5">
        <v>4</v>
      </c>
      <c r="AL28" s="5">
        <v>4</v>
      </c>
      <c r="AM28" s="5">
        <v>5</v>
      </c>
      <c r="AN28" s="188"/>
      <c r="AP28" s="5">
        <v>5</v>
      </c>
      <c r="AQ28" s="5">
        <v>4</v>
      </c>
      <c r="AR28" s="5">
        <v>4</v>
      </c>
      <c r="AS28" s="5">
        <v>4</v>
      </c>
      <c r="AT28" s="5">
        <v>5</v>
      </c>
      <c r="AU28" s="5">
        <v>4</v>
      </c>
      <c r="AV28" s="5">
        <v>5</v>
      </c>
      <c r="AW28" s="5">
        <v>4</v>
      </c>
      <c r="AX28" s="5">
        <v>4</v>
      </c>
      <c r="AY28" s="5">
        <v>4</v>
      </c>
      <c r="AZ28" s="5">
        <v>4</v>
      </c>
      <c r="BA28" s="5">
        <v>5</v>
      </c>
      <c r="BB28" s="188"/>
      <c r="BD28" s="5">
        <v>5</v>
      </c>
      <c r="BE28" s="5">
        <v>4</v>
      </c>
      <c r="BF28" s="5">
        <v>4</v>
      </c>
      <c r="BG28" s="5">
        <v>4</v>
      </c>
      <c r="BH28" s="5">
        <v>5</v>
      </c>
      <c r="BI28" s="5">
        <v>4</v>
      </c>
      <c r="BJ28" s="5">
        <v>5</v>
      </c>
      <c r="BK28" s="5">
        <v>4</v>
      </c>
      <c r="BL28" s="5">
        <v>4</v>
      </c>
      <c r="BM28" s="5">
        <v>4</v>
      </c>
      <c r="BN28" s="5">
        <v>4</v>
      </c>
      <c r="BO28" s="5">
        <v>5</v>
      </c>
      <c r="BP28" s="188"/>
      <c r="BR28" s="5">
        <v>5</v>
      </c>
      <c r="BS28" s="5">
        <v>4</v>
      </c>
      <c r="BT28" s="5">
        <v>4</v>
      </c>
      <c r="BU28" s="5">
        <v>4</v>
      </c>
      <c r="BV28" s="5">
        <v>5</v>
      </c>
      <c r="BW28" s="5">
        <v>4</v>
      </c>
      <c r="BX28" s="5">
        <v>5</v>
      </c>
      <c r="BY28" s="5">
        <v>4</v>
      </c>
      <c r="BZ28" s="5">
        <v>4</v>
      </c>
      <c r="CA28" s="5">
        <v>4</v>
      </c>
      <c r="CB28" s="5">
        <v>4</v>
      </c>
      <c r="CC28" s="5">
        <v>5</v>
      </c>
      <c r="CD28" s="188"/>
    </row>
    <row r="29" spans="1:83" ht="14.25" customHeight="1">
      <c r="A29" s="201" t="s">
        <v>693</v>
      </c>
      <c r="B29" s="225"/>
      <c r="C29" s="226"/>
      <c r="D29" s="226"/>
      <c r="E29" s="156"/>
      <c r="F29" s="232">
        <f>F27/F28</f>
        <v>0.28846153846153844</v>
      </c>
      <c r="G29" s="191">
        <f t="shared" ref="G29:J29" si="25">G27/G28</f>
        <v>0.46153846153846156</v>
      </c>
      <c r="H29" s="191">
        <f t="shared" si="25"/>
        <v>0.69230769230769229</v>
      </c>
      <c r="I29" s="191">
        <f t="shared" si="25"/>
        <v>0.69230769230769229</v>
      </c>
      <c r="J29" s="191">
        <f t="shared" si="25"/>
        <v>0.69230769230769229</v>
      </c>
      <c r="M29" s="187" t="s">
        <v>683</v>
      </c>
      <c r="N29" s="25">
        <f t="shared" ref="N29:Y29" si="26">N27/N28</f>
        <v>0.2</v>
      </c>
      <c r="O29" s="25">
        <f t="shared" si="26"/>
        <v>0.25</v>
      </c>
      <c r="P29" s="25">
        <f t="shared" si="26"/>
        <v>0.25</v>
      </c>
      <c r="Q29" s="25">
        <f t="shared" si="26"/>
        <v>0.25</v>
      </c>
      <c r="R29" s="25">
        <f t="shared" si="26"/>
        <v>0.2</v>
      </c>
      <c r="S29" s="25">
        <f t="shared" si="26"/>
        <v>0.25</v>
      </c>
      <c r="T29" s="25">
        <f t="shared" si="26"/>
        <v>0.2</v>
      </c>
      <c r="U29" s="25">
        <f t="shared" si="26"/>
        <v>0.25</v>
      </c>
      <c r="V29" s="25">
        <f t="shared" si="26"/>
        <v>0.25</v>
      </c>
      <c r="W29" s="25">
        <f t="shared" si="26"/>
        <v>0.5</v>
      </c>
      <c r="X29" s="25">
        <f t="shared" si="26"/>
        <v>0.5</v>
      </c>
      <c r="Y29" s="25">
        <f t="shared" si="26"/>
        <v>0.4</v>
      </c>
      <c r="Z29" s="25"/>
      <c r="AB29" s="25">
        <f t="shared" ref="AB29:AM29" si="27">AB27/AB28</f>
        <v>0.4</v>
      </c>
      <c r="AC29" s="25">
        <f t="shared" si="27"/>
        <v>0.5</v>
      </c>
      <c r="AD29" s="25">
        <f t="shared" si="27"/>
        <v>0.5</v>
      </c>
      <c r="AE29" s="25">
        <f t="shared" si="27"/>
        <v>0.5</v>
      </c>
      <c r="AF29" s="25">
        <f t="shared" si="27"/>
        <v>0.4</v>
      </c>
      <c r="AG29" s="25">
        <f t="shared" si="27"/>
        <v>0.5</v>
      </c>
      <c r="AH29" s="25">
        <f t="shared" si="27"/>
        <v>0.4</v>
      </c>
      <c r="AI29" s="25">
        <f t="shared" si="27"/>
        <v>0.5</v>
      </c>
      <c r="AJ29" s="25">
        <f t="shared" si="27"/>
        <v>0.5</v>
      </c>
      <c r="AK29" s="25">
        <f t="shared" si="27"/>
        <v>0.5</v>
      </c>
      <c r="AL29" s="25">
        <f t="shared" si="27"/>
        <v>0.5</v>
      </c>
      <c r="AM29" s="25">
        <f t="shared" si="27"/>
        <v>0.4</v>
      </c>
      <c r="AN29" s="25"/>
      <c r="AP29" s="25">
        <f t="shared" ref="AP29:BA29" si="28">AP27/AP28</f>
        <v>0.6</v>
      </c>
      <c r="AQ29" s="25">
        <f t="shared" si="28"/>
        <v>0.75</v>
      </c>
      <c r="AR29" s="25">
        <f t="shared" si="28"/>
        <v>0.75</v>
      </c>
      <c r="AS29" s="25">
        <f t="shared" si="28"/>
        <v>0.75</v>
      </c>
      <c r="AT29" s="25">
        <f t="shared" si="28"/>
        <v>0.6</v>
      </c>
      <c r="AU29" s="25">
        <f t="shared" si="28"/>
        <v>0.75</v>
      </c>
      <c r="AV29" s="25">
        <f t="shared" si="28"/>
        <v>0.6</v>
      </c>
      <c r="AW29" s="25">
        <f t="shared" si="28"/>
        <v>0.75</v>
      </c>
      <c r="AX29" s="25">
        <f t="shared" si="28"/>
        <v>0.75</v>
      </c>
      <c r="AY29" s="25">
        <f t="shared" si="28"/>
        <v>0.75</v>
      </c>
      <c r="AZ29" s="25">
        <f t="shared" si="28"/>
        <v>0.75</v>
      </c>
      <c r="BA29" s="25">
        <f t="shared" si="28"/>
        <v>0.6</v>
      </c>
      <c r="BB29" s="25"/>
      <c r="BD29" s="25">
        <f t="shared" ref="BD29:BO29" si="29">BD27/BD28</f>
        <v>0.6</v>
      </c>
      <c r="BE29" s="25">
        <f t="shared" si="29"/>
        <v>0.75</v>
      </c>
      <c r="BF29" s="25">
        <f t="shared" si="29"/>
        <v>0.75</v>
      </c>
      <c r="BG29" s="25">
        <f t="shared" si="29"/>
        <v>0.75</v>
      </c>
      <c r="BH29" s="25">
        <f t="shared" si="29"/>
        <v>0.6</v>
      </c>
      <c r="BI29" s="25">
        <f t="shared" si="29"/>
        <v>0.75</v>
      </c>
      <c r="BJ29" s="25">
        <f t="shared" si="29"/>
        <v>0.6</v>
      </c>
      <c r="BK29" s="25">
        <f t="shared" si="29"/>
        <v>0.75</v>
      </c>
      <c r="BL29" s="25">
        <f t="shared" si="29"/>
        <v>0.75</v>
      </c>
      <c r="BM29" s="25">
        <f t="shared" si="29"/>
        <v>0.75</v>
      </c>
      <c r="BN29" s="25">
        <f t="shared" si="29"/>
        <v>0.75</v>
      </c>
      <c r="BO29" s="25">
        <f t="shared" si="29"/>
        <v>0.6</v>
      </c>
      <c r="BP29" s="25"/>
      <c r="BR29" s="25">
        <f t="shared" ref="BR29:CC29" si="30">BR27/BR28</f>
        <v>0.6</v>
      </c>
      <c r="BS29" s="25">
        <f t="shared" si="30"/>
        <v>0.75</v>
      </c>
      <c r="BT29" s="25">
        <f t="shared" si="30"/>
        <v>0.75</v>
      </c>
      <c r="BU29" s="25">
        <f t="shared" si="30"/>
        <v>0.75</v>
      </c>
      <c r="BV29" s="25">
        <f t="shared" si="30"/>
        <v>0.6</v>
      </c>
      <c r="BW29" s="25">
        <f t="shared" si="30"/>
        <v>0.75</v>
      </c>
      <c r="BX29" s="25">
        <f t="shared" si="30"/>
        <v>0.6</v>
      </c>
      <c r="BY29" s="25">
        <f t="shared" si="30"/>
        <v>0.75</v>
      </c>
      <c r="BZ29" s="25">
        <f t="shared" si="30"/>
        <v>0.75</v>
      </c>
      <c r="CA29" s="25">
        <f t="shared" si="30"/>
        <v>0.75</v>
      </c>
      <c r="CB29" s="25">
        <f t="shared" si="30"/>
        <v>0.75</v>
      </c>
      <c r="CC29" s="25">
        <f t="shared" si="30"/>
        <v>0.6</v>
      </c>
      <c r="CD29" s="25"/>
    </row>
    <row r="30" spans="1:83" ht="14.25" customHeight="1">
      <c r="A30" s="201" t="s">
        <v>692</v>
      </c>
      <c r="B30" s="225"/>
      <c r="C30" s="226"/>
      <c r="D30" s="226"/>
      <c r="E30" s="156"/>
      <c r="F30" s="233">
        <f>AVERAGE(N27:Y27)</f>
        <v>1.25</v>
      </c>
      <c r="G30" s="189">
        <f>AVERAGE(AB27:AM27)</f>
        <v>2</v>
      </c>
      <c r="H30" s="189">
        <f>AVERAGE(AP27:BA27)</f>
        <v>3</v>
      </c>
      <c r="I30" s="189">
        <f>AVERAGE(BD27:BO27)</f>
        <v>3</v>
      </c>
      <c r="J30" s="189">
        <f>AVERAGE(BR27:CC27)</f>
        <v>3</v>
      </c>
      <c r="M30" s="187"/>
      <c r="N30" s="25"/>
      <c r="O30" s="25"/>
      <c r="P30" s="25"/>
      <c r="Q30" s="25"/>
      <c r="R30" s="25"/>
      <c r="S30" s="25"/>
      <c r="T30" s="25"/>
      <c r="U30" s="25"/>
      <c r="V30" s="25"/>
      <c r="W30" s="25"/>
      <c r="X30" s="25"/>
      <c r="Y30" s="25"/>
      <c r="Z30" s="25"/>
      <c r="AB30" s="25"/>
      <c r="AC30" s="25"/>
      <c r="AD30" s="25"/>
      <c r="AE30" s="25"/>
      <c r="AF30" s="25"/>
      <c r="AG30" s="25"/>
      <c r="AH30" s="25"/>
      <c r="AI30" s="25"/>
      <c r="AJ30" s="25"/>
      <c r="AK30" s="25"/>
      <c r="AL30" s="25"/>
      <c r="AM30" s="25"/>
      <c r="AN30" s="25"/>
      <c r="AP30" s="25"/>
      <c r="AQ30" s="25"/>
      <c r="AR30" s="25"/>
      <c r="AS30" s="25"/>
      <c r="AT30" s="25"/>
      <c r="AU30" s="25"/>
      <c r="AV30" s="25"/>
      <c r="AW30" s="25"/>
      <c r="AX30" s="25"/>
      <c r="AY30" s="25"/>
      <c r="AZ30" s="25"/>
      <c r="BA30" s="25"/>
      <c r="BB30" s="25"/>
      <c r="BD30" s="25"/>
      <c r="BE30" s="25"/>
      <c r="BF30" s="25"/>
      <c r="BG30" s="25"/>
      <c r="BH30" s="25"/>
      <c r="BI30" s="25"/>
      <c r="BJ30" s="25"/>
      <c r="BK30" s="25"/>
      <c r="BL30" s="25"/>
      <c r="BM30" s="25"/>
      <c r="BN30" s="25"/>
      <c r="BO30" s="25"/>
      <c r="BP30" s="25"/>
      <c r="BR30" s="25"/>
      <c r="BS30" s="25"/>
      <c r="BT30" s="25"/>
      <c r="BU30" s="25"/>
      <c r="BV30" s="25"/>
      <c r="BW30" s="25"/>
      <c r="BX30" s="25"/>
      <c r="BY30" s="25"/>
      <c r="BZ30" s="25"/>
      <c r="CA30" s="25"/>
      <c r="CB30" s="25"/>
      <c r="CC30" s="25"/>
      <c r="CD30" s="25"/>
    </row>
    <row r="31" spans="1:83" ht="14.25" customHeight="1">
      <c r="A31" s="201" t="s">
        <v>696</v>
      </c>
      <c r="B31" s="203"/>
      <c r="C31" s="203"/>
      <c r="D31" s="214"/>
      <c r="E31" s="185"/>
      <c r="F31" s="215">
        <f>SUM(N31:Y31)</f>
        <v>375</v>
      </c>
      <c r="G31" s="185">
        <f>SUM(AB31:AM31)</f>
        <v>600</v>
      </c>
      <c r="H31" s="185">
        <f>SUM(AP31:BA31)</f>
        <v>900</v>
      </c>
      <c r="I31" s="185">
        <f>SUM(BD31:BO31)</f>
        <v>900</v>
      </c>
      <c r="J31" s="185">
        <f>SUM(BR31:CC31)</f>
        <v>900</v>
      </c>
      <c r="M31" s="187"/>
      <c r="N31" s="164">
        <f t="shared" ref="N31:Y31" si="31">$B$23*N$27</f>
        <v>25</v>
      </c>
      <c r="O31" s="164">
        <f t="shared" si="31"/>
        <v>25</v>
      </c>
      <c r="P31" s="164">
        <f t="shared" si="31"/>
        <v>25</v>
      </c>
      <c r="Q31" s="164">
        <f t="shared" si="31"/>
        <v>25</v>
      </c>
      <c r="R31" s="164">
        <f t="shared" si="31"/>
        <v>25</v>
      </c>
      <c r="S31" s="164">
        <f t="shared" si="31"/>
        <v>25</v>
      </c>
      <c r="T31" s="164">
        <f t="shared" si="31"/>
        <v>25</v>
      </c>
      <c r="U31" s="164">
        <f t="shared" si="31"/>
        <v>25</v>
      </c>
      <c r="V31" s="164">
        <f t="shared" si="31"/>
        <v>25</v>
      </c>
      <c r="W31" s="164">
        <f t="shared" si="31"/>
        <v>50</v>
      </c>
      <c r="X31" s="164">
        <f t="shared" si="31"/>
        <v>50</v>
      </c>
      <c r="Y31" s="164">
        <f t="shared" si="31"/>
        <v>50</v>
      </c>
      <c r="Z31" s="188"/>
      <c r="AA31" s="188"/>
      <c r="AB31" s="164">
        <f t="shared" ref="AB31:AM31" si="32">$B$23*AB$27</f>
        <v>50</v>
      </c>
      <c r="AC31" s="164">
        <f t="shared" si="32"/>
        <v>50</v>
      </c>
      <c r="AD31" s="164">
        <f t="shared" si="32"/>
        <v>50</v>
      </c>
      <c r="AE31" s="164">
        <f t="shared" si="32"/>
        <v>50</v>
      </c>
      <c r="AF31" s="164">
        <f t="shared" si="32"/>
        <v>50</v>
      </c>
      <c r="AG31" s="164">
        <f t="shared" si="32"/>
        <v>50</v>
      </c>
      <c r="AH31" s="164">
        <f t="shared" si="32"/>
        <v>50</v>
      </c>
      <c r="AI31" s="164">
        <f t="shared" si="32"/>
        <v>50</v>
      </c>
      <c r="AJ31" s="164">
        <f t="shared" si="32"/>
        <v>50</v>
      </c>
      <c r="AK31" s="164">
        <f t="shared" si="32"/>
        <v>50</v>
      </c>
      <c r="AL31" s="164">
        <f t="shared" si="32"/>
        <v>50</v>
      </c>
      <c r="AM31" s="164">
        <f t="shared" si="32"/>
        <v>50</v>
      </c>
      <c r="AN31" s="188"/>
      <c r="AO31" s="188"/>
      <c r="AP31" s="164">
        <f t="shared" ref="AP31:BA31" si="33">$B$23*AP$27</f>
        <v>75</v>
      </c>
      <c r="AQ31" s="164">
        <f t="shared" si="33"/>
        <v>75</v>
      </c>
      <c r="AR31" s="164">
        <f t="shared" si="33"/>
        <v>75</v>
      </c>
      <c r="AS31" s="164">
        <f t="shared" si="33"/>
        <v>75</v>
      </c>
      <c r="AT31" s="164">
        <f t="shared" si="33"/>
        <v>75</v>
      </c>
      <c r="AU31" s="164">
        <f t="shared" si="33"/>
        <v>75</v>
      </c>
      <c r="AV31" s="164">
        <f t="shared" si="33"/>
        <v>75</v>
      </c>
      <c r="AW31" s="164">
        <f t="shared" si="33"/>
        <v>75</v>
      </c>
      <c r="AX31" s="164">
        <f t="shared" si="33"/>
        <v>75</v>
      </c>
      <c r="AY31" s="164">
        <f t="shared" si="33"/>
        <v>75</v>
      </c>
      <c r="AZ31" s="164">
        <f t="shared" si="33"/>
        <v>75</v>
      </c>
      <c r="BA31" s="164">
        <f t="shared" si="33"/>
        <v>75</v>
      </c>
      <c r="BB31" s="188"/>
      <c r="BC31" s="188"/>
      <c r="BD31" s="164">
        <f t="shared" ref="BD31:BO31" si="34">$B$23*BD$27</f>
        <v>75</v>
      </c>
      <c r="BE31" s="164">
        <f t="shared" si="34"/>
        <v>75</v>
      </c>
      <c r="BF31" s="164">
        <f t="shared" si="34"/>
        <v>75</v>
      </c>
      <c r="BG31" s="164">
        <f t="shared" si="34"/>
        <v>75</v>
      </c>
      <c r="BH31" s="164">
        <f t="shared" si="34"/>
        <v>75</v>
      </c>
      <c r="BI31" s="164">
        <f t="shared" si="34"/>
        <v>75</v>
      </c>
      <c r="BJ31" s="164">
        <f t="shared" si="34"/>
        <v>75</v>
      </c>
      <c r="BK31" s="164">
        <f t="shared" si="34"/>
        <v>75</v>
      </c>
      <c r="BL31" s="164">
        <f t="shared" si="34"/>
        <v>75</v>
      </c>
      <c r="BM31" s="164">
        <f t="shared" si="34"/>
        <v>75</v>
      </c>
      <c r="BN31" s="164">
        <f t="shared" si="34"/>
        <v>75</v>
      </c>
      <c r="BO31" s="164">
        <f t="shared" si="34"/>
        <v>75</v>
      </c>
      <c r="BP31" s="188"/>
      <c r="BQ31" s="194"/>
      <c r="BR31" s="164">
        <f t="shared" ref="BR31:CC31" si="35">$B$23*BR$27</f>
        <v>75</v>
      </c>
      <c r="BS31" s="164">
        <f t="shared" si="35"/>
        <v>75</v>
      </c>
      <c r="BT31" s="164">
        <f t="shared" si="35"/>
        <v>75</v>
      </c>
      <c r="BU31" s="164">
        <f t="shared" si="35"/>
        <v>75</v>
      </c>
      <c r="BV31" s="164">
        <f t="shared" si="35"/>
        <v>75</v>
      </c>
      <c r="BW31" s="164">
        <f t="shared" si="35"/>
        <v>75</v>
      </c>
      <c r="BX31" s="164">
        <f t="shared" si="35"/>
        <v>75</v>
      </c>
      <c r="BY31" s="164">
        <f t="shared" si="35"/>
        <v>75</v>
      </c>
      <c r="BZ31" s="164">
        <f t="shared" si="35"/>
        <v>75</v>
      </c>
      <c r="CA31" s="164">
        <f t="shared" si="35"/>
        <v>75</v>
      </c>
      <c r="CB31" s="164">
        <f t="shared" si="35"/>
        <v>75</v>
      </c>
      <c r="CC31" s="164">
        <f t="shared" si="35"/>
        <v>75</v>
      </c>
      <c r="CD31" s="26"/>
    </row>
    <row r="32" spans="1:83" ht="14.25" customHeight="1">
      <c r="A32" s="218" t="s">
        <v>743</v>
      </c>
      <c r="B32" s="203"/>
      <c r="C32" s="203"/>
      <c r="D32" s="214"/>
      <c r="E32" s="185"/>
      <c r="F32" s="234">
        <f>SUM(N32:Y32)</f>
        <v>635593.22033898311</v>
      </c>
      <c r="G32" s="141">
        <f>SUM(AB32:AM32)</f>
        <v>1016949.152542373</v>
      </c>
      <c r="H32" s="141">
        <f>SUM(AP32:BA32)</f>
        <v>1525423.7288135595</v>
      </c>
      <c r="I32" s="141">
        <f>SUM(BD32:BO32)</f>
        <v>1525423.7288135595</v>
      </c>
      <c r="J32" s="141">
        <f>SUM(BR32:CC32)</f>
        <v>1525423.7288135595</v>
      </c>
      <c r="M32" s="187"/>
      <c r="N32" s="141">
        <f t="shared" ref="N32:Y32" si="36">$E$14*$B$23*N27*$N$22</f>
        <v>42372.881355932201</v>
      </c>
      <c r="O32" s="141">
        <f t="shared" si="36"/>
        <v>42372.881355932201</v>
      </c>
      <c r="P32" s="141">
        <f t="shared" si="36"/>
        <v>42372.881355932201</v>
      </c>
      <c r="Q32" s="141">
        <f t="shared" si="36"/>
        <v>42372.881355932201</v>
      </c>
      <c r="R32" s="141">
        <f t="shared" si="36"/>
        <v>42372.881355932201</v>
      </c>
      <c r="S32" s="141">
        <f t="shared" si="36"/>
        <v>42372.881355932201</v>
      </c>
      <c r="T32" s="141">
        <f t="shared" si="36"/>
        <v>42372.881355932201</v>
      </c>
      <c r="U32" s="141">
        <f t="shared" si="36"/>
        <v>42372.881355932201</v>
      </c>
      <c r="V32" s="141">
        <f t="shared" si="36"/>
        <v>42372.881355932201</v>
      </c>
      <c r="W32" s="141">
        <f t="shared" si="36"/>
        <v>84745.762711864401</v>
      </c>
      <c r="X32" s="141">
        <f t="shared" si="36"/>
        <v>84745.762711864401</v>
      </c>
      <c r="Y32" s="141">
        <f t="shared" si="36"/>
        <v>84745.762711864401</v>
      </c>
      <c r="Z32" s="188"/>
      <c r="AA32" s="188"/>
      <c r="AB32" s="141">
        <f t="shared" ref="AB32:AM32" si="37">$E$14*$B$23*AB27*$N$22</f>
        <v>84745.762711864401</v>
      </c>
      <c r="AC32" s="141">
        <f t="shared" si="37"/>
        <v>84745.762711864401</v>
      </c>
      <c r="AD32" s="141">
        <f t="shared" si="37"/>
        <v>84745.762711864401</v>
      </c>
      <c r="AE32" s="141">
        <f t="shared" si="37"/>
        <v>84745.762711864401</v>
      </c>
      <c r="AF32" s="141">
        <f t="shared" si="37"/>
        <v>84745.762711864401</v>
      </c>
      <c r="AG32" s="141">
        <f t="shared" si="37"/>
        <v>84745.762711864401</v>
      </c>
      <c r="AH32" s="141">
        <f t="shared" si="37"/>
        <v>84745.762711864401</v>
      </c>
      <c r="AI32" s="141">
        <f t="shared" si="37"/>
        <v>84745.762711864401</v>
      </c>
      <c r="AJ32" s="141">
        <f t="shared" si="37"/>
        <v>84745.762711864401</v>
      </c>
      <c r="AK32" s="141">
        <f t="shared" si="37"/>
        <v>84745.762711864401</v>
      </c>
      <c r="AL32" s="141">
        <f t="shared" si="37"/>
        <v>84745.762711864401</v>
      </c>
      <c r="AM32" s="141">
        <f t="shared" si="37"/>
        <v>84745.762711864401</v>
      </c>
      <c r="AN32" s="188"/>
      <c r="AO32" s="188"/>
      <c r="AP32" s="141">
        <f t="shared" ref="AP32:BA32" si="38">$E$14*$B$23*AP27*$N$22</f>
        <v>127118.64406779662</v>
      </c>
      <c r="AQ32" s="141">
        <f t="shared" si="38"/>
        <v>127118.64406779662</v>
      </c>
      <c r="AR32" s="141">
        <f t="shared" si="38"/>
        <v>127118.64406779662</v>
      </c>
      <c r="AS32" s="141">
        <f t="shared" si="38"/>
        <v>127118.64406779662</v>
      </c>
      <c r="AT32" s="141">
        <f t="shared" si="38"/>
        <v>127118.64406779662</v>
      </c>
      <c r="AU32" s="141">
        <f t="shared" si="38"/>
        <v>127118.64406779662</v>
      </c>
      <c r="AV32" s="141">
        <f t="shared" si="38"/>
        <v>127118.64406779662</v>
      </c>
      <c r="AW32" s="141">
        <f t="shared" si="38"/>
        <v>127118.64406779662</v>
      </c>
      <c r="AX32" s="141">
        <f t="shared" si="38"/>
        <v>127118.64406779662</v>
      </c>
      <c r="AY32" s="141">
        <f t="shared" si="38"/>
        <v>127118.64406779662</v>
      </c>
      <c r="AZ32" s="141">
        <f t="shared" si="38"/>
        <v>127118.64406779662</v>
      </c>
      <c r="BA32" s="141">
        <f t="shared" si="38"/>
        <v>127118.64406779662</v>
      </c>
      <c r="BB32" s="188"/>
      <c r="BC32" s="188"/>
      <c r="BD32" s="141">
        <f t="shared" ref="BD32:BO32" si="39">$E$14*$B$23*BD27*$N$22</f>
        <v>127118.64406779662</v>
      </c>
      <c r="BE32" s="141">
        <f t="shared" si="39"/>
        <v>127118.64406779662</v>
      </c>
      <c r="BF32" s="141">
        <f t="shared" si="39"/>
        <v>127118.64406779662</v>
      </c>
      <c r="BG32" s="141">
        <f t="shared" si="39"/>
        <v>127118.64406779662</v>
      </c>
      <c r="BH32" s="141">
        <f t="shared" si="39"/>
        <v>127118.64406779662</v>
      </c>
      <c r="BI32" s="141">
        <f t="shared" si="39"/>
        <v>127118.64406779662</v>
      </c>
      <c r="BJ32" s="141">
        <f t="shared" si="39"/>
        <v>127118.64406779662</v>
      </c>
      <c r="BK32" s="141">
        <f t="shared" si="39"/>
        <v>127118.64406779662</v>
      </c>
      <c r="BL32" s="141">
        <f t="shared" si="39"/>
        <v>127118.64406779662</v>
      </c>
      <c r="BM32" s="141">
        <f t="shared" si="39"/>
        <v>127118.64406779662</v>
      </c>
      <c r="BN32" s="141">
        <f t="shared" si="39"/>
        <v>127118.64406779662</v>
      </c>
      <c r="BO32" s="141">
        <f t="shared" si="39"/>
        <v>127118.64406779662</v>
      </c>
      <c r="BP32" s="188"/>
      <c r="BQ32" s="194"/>
      <c r="BR32" s="141">
        <f t="shared" ref="BR32:CC32" si="40">$E$14*$B$23*BR27*$N$22</f>
        <v>127118.64406779662</v>
      </c>
      <c r="BS32" s="141">
        <f t="shared" si="40"/>
        <v>127118.64406779662</v>
      </c>
      <c r="BT32" s="141">
        <f t="shared" si="40"/>
        <v>127118.64406779662</v>
      </c>
      <c r="BU32" s="141">
        <f t="shared" si="40"/>
        <v>127118.64406779662</v>
      </c>
      <c r="BV32" s="141">
        <f t="shared" si="40"/>
        <v>127118.64406779662</v>
      </c>
      <c r="BW32" s="141">
        <f t="shared" si="40"/>
        <v>127118.64406779662</v>
      </c>
      <c r="BX32" s="141">
        <f t="shared" si="40"/>
        <v>127118.64406779662</v>
      </c>
      <c r="BY32" s="141">
        <f t="shared" si="40"/>
        <v>127118.64406779662</v>
      </c>
      <c r="BZ32" s="141">
        <f t="shared" si="40"/>
        <v>127118.64406779662</v>
      </c>
      <c r="CA32" s="141">
        <f t="shared" si="40"/>
        <v>127118.64406779662</v>
      </c>
      <c r="CB32" s="141">
        <f t="shared" si="40"/>
        <v>127118.64406779662</v>
      </c>
      <c r="CC32" s="141">
        <f t="shared" si="40"/>
        <v>127118.64406779662</v>
      </c>
      <c r="CD32" s="26"/>
    </row>
    <row r="33" spans="1:82" ht="14.25" customHeight="1">
      <c r="A33" s="218" t="s">
        <v>744</v>
      </c>
      <c r="B33" s="203"/>
      <c r="C33" s="203"/>
      <c r="D33" s="214"/>
      <c r="E33" s="185"/>
      <c r="F33" s="234">
        <f>SUM(N33:Y33)</f>
        <v>-143008.4745762712</v>
      </c>
      <c r="G33" s="141">
        <f>SUM(AB33:AM33)</f>
        <v>-228813.55932203392</v>
      </c>
      <c r="H33" s="141">
        <f>SUM(AP33:BA33)</f>
        <v>-343220.33898305095</v>
      </c>
      <c r="I33" s="141">
        <f>SUM(BD33:BO33)</f>
        <v>-343220.33898305095</v>
      </c>
      <c r="J33" s="141">
        <f>SUM(BR33:CC33)</f>
        <v>-343220.33898305095</v>
      </c>
      <c r="M33" s="187"/>
      <c r="N33" s="141">
        <f t="shared" ref="N33:Y33" si="41">($B$14-$E$14)*$B$23*N27*$N$22</f>
        <v>-9533.8983050847473</v>
      </c>
      <c r="O33" s="141">
        <f t="shared" si="41"/>
        <v>-9533.8983050847473</v>
      </c>
      <c r="P33" s="141">
        <f t="shared" si="41"/>
        <v>-9533.8983050847473</v>
      </c>
      <c r="Q33" s="141">
        <f t="shared" si="41"/>
        <v>-9533.8983050847473</v>
      </c>
      <c r="R33" s="141">
        <f t="shared" si="41"/>
        <v>-9533.8983050847473</v>
      </c>
      <c r="S33" s="141">
        <f t="shared" si="41"/>
        <v>-9533.8983050847473</v>
      </c>
      <c r="T33" s="141">
        <f t="shared" si="41"/>
        <v>-9533.8983050847473</v>
      </c>
      <c r="U33" s="141">
        <f t="shared" si="41"/>
        <v>-9533.8983050847473</v>
      </c>
      <c r="V33" s="141">
        <f t="shared" si="41"/>
        <v>-9533.8983050847473</v>
      </c>
      <c r="W33" s="141">
        <f t="shared" si="41"/>
        <v>-19067.796610169495</v>
      </c>
      <c r="X33" s="141">
        <f t="shared" si="41"/>
        <v>-19067.796610169495</v>
      </c>
      <c r="Y33" s="141">
        <f t="shared" si="41"/>
        <v>-19067.796610169495</v>
      </c>
      <c r="Z33" s="188"/>
      <c r="AA33" s="188"/>
      <c r="AB33" s="141">
        <f t="shared" ref="AB33:AM33" si="42">($B$14-$E$14)*$B$23*AB27*$N$22</f>
        <v>-19067.796610169495</v>
      </c>
      <c r="AC33" s="141">
        <f t="shared" si="42"/>
        <v>-19067.796610169495</v>
      </c>
      <c r="AD33" s="141">
        <f t="shared" si="42"/>
        <v>-19067.796610169495</v>
      </c>
      <c r="AE33" s="141">
        <f t="shared" si="42"/>
        <v>-19067.796610169495</v>
      </c>
      <c r="AF33" s="141">
        <f t="shared" si="42"/>
        <v>-19067.796610169495</v>
      </c>
      <c r="AG33" s="141">
        <f t="shared" si="42"/>
        <v>-19067.796610169495</v>
      </c>
      <c r="AH33" s="141">
        <f t="shared" si="42"/>
        <v>-19067.796610169495</v>
      </c>
      <c r="AI33" s="141">
        <f t="shared" si="42"/>
        <v>-19067.796610169495</v>
      </c>
      <c r="AJ33" s="141">
        <f t="shared" si="42"/>
        <v>-19067.796610169495</v>
      </c>
      <c r="AK33" s="141">
        <f t="shared" si="42"/>
        <v>-19067.796610169495</v>
      </c>
      <c r="AL33" s="141">
        <f t="shared" si="42"/>
        <v>-19067.796610169495</v>
      </c>
      <c r="AM33" s="141">
        <f t="shared" si="42"/>
        <v>-19067.796610169495</v>
      </c>
      <c r="AN33" s="188"/>
      <c r="AO33" s="188"/>
      <c r="AP33" s="141">
        <f t="shared" ref="AP33:BA33" si="43">($B$14-$E$14)*$B$23*AP27*$N$22</f>
        <v>-28601.694915254237</v>
      </c>
      <c r="AQ33" s="141">
        <f t="shared" si="43"/>
        <v>-28601.694915254237</v>
      </c>
      <c r="AR33" s="141">
        <f t="shared" si="43"/>
        <v>-28601.694915254237</v>
      </c>
      <c r="AS33" s="141">
        <f t="shared" si="43"/>
        <v>-28601.694915254237</v>
      </c>
      <c r="AT33" s="141">
        <f t="shared" si="43"/>
        <v>-28601.694915254237</v>
      </c>
      <c r="AU33" s="141">
        <f t="shared" si="43"/>
        <v>-28601.694915254237</v>
      </c>
      <c r="AV33" s="141">
        <f t="shared" si="43"/>
        <v>-28601.694915254237</v>
      </c>
      <c r="AW33" s="141">
        <f t="shared" si="43"/>
        <v>-28601.694915254237</v>
      </c>
      <c r="AX33" s="141">
        <f t="shared" si="43"/>
        <v>-28601.694915254237</v>
      </c>
      <c r="AY33" s="141">
        <f t="shared" si="43"/>
        <v>-28601.694915254237</v>
      </c>
      <c r="AZ33" s="141">
        <f t="shared" si="43"/>
        <v>-28601.694915254237</v>
      </c>
      <c r="BA33" s="141">
        <f t="shared" si="43"/>
        <v>-28601.694915254237</v>
      </c>
      <c r="BB33" s="188"/>
      <c r="BC33" s="188"/>
      <c r="BD33" s="141">
        <f t="shared" ref="BD33:BO33" si="44">($B$14-$E$14)*$B$23*BD27*$N$22</f>
        <v>-28601.694915254237</v>
      </c>
      <c r="BE33" s="141">
        <f t="shared" si="44"/>
        <v>-28601.694915254237</v>
      </c>
      <c r="BF33" s="141">
        <f t="shared" si="44"/>
        <v>-28601.694915254237</v>
      </c>
      <c r="BG33" s="141">
        <f t="shared" si="44"/>
        <v>-28601.694915254237</v>
      </c>
      <c r="BH33" s="141">
        <f t="shared" si="44"/>
        <v>-28601.694915254237</v>
      </c>
      <c r="BI33" s="141">
        <f t="shared" si="44"/>
        <v>-28601.694915254237</v>
      </c>
      <c r="BJ33" s="141">
        <f t="shared" si="44"/>
        <v>-28601.694915254237</v>
      </c>
      <c r="BK33" s="141">
        <f t="shared" si="44"/>
        <v>-28601.694915254237</v>
      </c>
      <c r="BL33" s="141">
        <f t="shared" si="44"/>
        <v>-28601.694915254237</v>
      </c>
      <c r="BM33" s="141">
        <f t="shared" si="44"/>
        <v>-28601.694915254237</v>
      </c>
      <c r="BN33" s="141">
        <f t="shared" si="44"/>
        <v>-28601.694915254237</v>
      </c>
      <c r="BO33" s="141">
        <f t="shared" si="44"/>
        <v>-28601.694915254237</v>
      </c>
      <c r="BP33" s="188"/>
      <c r="BQ33" s="194"/>
      <c r="BR33" s="141">
        <f t="shared" ref="BR33:CC33" si="45">($B$14-$E$14)*$B$23*BR27*$N$22</f>
        <v>-28601.694915254237</v>
      </c>
      <c r="BS33" s="141">
        <f t="shared" si="45"/>
        <v>-28601.694915254237</v>
      </c>
      <c r="BT33" s="141">
        <f t="shared" si="45"/>
        <v>-28601.694915254237</v>
      </c>
      <c r="BU33" s="141">
        <f t="shared" si="45"/>
        <v>-28601.694915254237</v>
      </c>
      <c r="BV33" s="141">
        <f t="shared" si="45"/>
        <v>-28601.694915254237</v>
      </c>
      <c r="BW33" s="141">
        <f t="shared" si="45"/>
        <v>-28601.694915254237</v>
      </c>
      <c r="BX33" s="141">
        <f t="shared" si="45"/>
        <v>-28601.694915254237</v>
      </c>
      <c r="BY33" s="141">
        <f t="shared" si="45"/>
        <v>-28601.694915254237</v>
      </c>
      <c r="BZ33" s="141">
        <f t="shared" si="45"/>
        <v>-28601.694915254237</v>
      </c>
      <c r="CA33" s="141">
        <f t="shared" si="45"/>
        <v>-28601.694915254237</v>
      </c>
      <c r="CB33" s="141">
        <f t="shared" si="45"/>
        <v>-28601.694915254237</v>
      </c>
      <c r="CC33" s="141">
        <f t="shared" si="45"/>
        <v>-28601.694915254237</v>
      </c>
      <c r="CD33" s="26"/>
    </row>
    <row r="34" spans="1:82" ht="14.25" customHeight="1">
      <c r="A34" s="202" t="s">
        <v>748</v>
      </c>
      <c r="B34" s="204"/>
      <c r="C34" s="203"/>
      <c r="D34" s="203"/>
      <c r="E34" s="142"/>
      <c r="F34" s="234">
        <f>SUM(N34:Y34)</f>
        <v>492584.74576271191</v>
      </c>
      <c r="G34" s="141">
        <f>SUM(AB34:AM34)</f>
        <v>788135.59322033927</v>
      </c>
      <c r="H34" s="141">
        <f>SUM(AP34:BA34)</f>
        <v>1182203.3898305085</v>
      </c>
      <c r="I34" s="141">
        <f>SUM(BD34:BO34)</f>
        <v>1182203.3898305085</v>
      </c>
      <c r="J34" s="141">
        <f>SUM(BR34:CC34)</f>
        <v>1182203.3898305085</v>
      </c>
      <c r="M34" s="27"/>
      <c r="N34" s="141">
        <f>$B$14*$B$23*N27*$N$22</f>
        <v>32838.983050847462</v>
      </c>
      <c r="O34" s="141">
        <f t="shared" ref="O34:Y34" si="46">$B$14*$B$23*O27*$N$22</f>
        <v>32838.983050847462</v>
      </c>
      <c r="P34" s="141">
        <f t="shared" si="46"/>
        <v>32838.983050847462</v>
      </c>
      <c r="Q34" s="141">
        <f t="shared" si="46"/>
        <v>32838.983050847462</v>
      </c>
      <c r="R34" s="141">
        <f t="shared" si="46"/>
        <v>32838.983050847462</v>
      </c>
      <c r="S34" s="141">
        <f t="shared" si="46"/>
        <v>32838.983050847462</v>
      </c>
      <c r="T34" s="141">
        <f t="shared" si="46"/>
        <v>32838.983050847462</v>
      </c>
      <c r="U34" s="141">
        <f t="shared" si="46"/>
        <v>32838.983050847462</v>
      </c>
      <c r="V34" s="141">
        <f t="shared" si="46"/>
        <v>32838.983050847462</v>
      </c>
      <c r="W34" s="141">
        <f t="shared" si="46"/>
        <v>65677.966101694925</v>
      </c>
      <c r="X34" s="141">
        <f t="shared" si="46"/>
        <v>65677.966101694925</v>
      </c>
      <c r="Y34" s="141">
        <f t="shared" si="46"/>
        <v>65677.966101694925</v>
      </c>
      <c r="Z34" s="26"/>
      <c r="AB34" s="141">
        <f t="shared" ref="AB34:AM34" si="47">$B$14*$B$23*AB27*$N$22</f>
        <v>65677.966101694925</v>
      </c>
      <c r="AC34" s="141">
        <f t="shared" si="47"/>
        <v>65677.966101694925</v>
      </c>
      <c r="AD34" s="141">
        <f t="shared" si="47"/>
        <v>65677.966101694925</v>
      </c>
      <c r="AE34" s="141">
        <f t="shared" si="47"/>
        <v>65677.966101694925</v>
      </c>
      <c r="AF34" s="141">
        <f t="shared" si="47"/>
        <v>65677.966101694925</v>
      </c>
      <c r="AG34" s="141">
        <f t="shared" si="47"/>
        <v>65677.966101694925</v>
      </c>
      <c r="AH34" s="141">
        <f t="shared" si="47"/>
        <v>65677.966101694925</v>
      </c>
      <c r="AI34" s="141">
        <f t="shared" si="47"/>
        <v>65677.966101694925</v>
      </c>
      <c r="AJ34" s="141">
        <f t="shared" si="47"/>
        <v>65677.966101694925</v>
      </c>
      <c r="AK34" s="141">
        <f t="shared" si="47"/>
        <v>65677.966101694925</v>
      </c>
      <c r="AL34" s="141">
        <f t="shared" si="47"/>
        <v>65677.966101694925</v>
      </c>
      <c r="AM34" s="141">
        <f t="shared" si="47"/>
        <v>65677.966101694925</v>
      </c>
      <c r="AN34" s="26"/>
      <c r="AP34" s="141">
        <f t="shared" ref="AP34:BA34" si="48">$B$14*$B$23*AP27*$N$22</f>
        <v>98516.94915254238</v>
      </c>
      <c r="AQ34" s="141">
        <f t="shared" si="48"/>
        <v>98516.94915254238</v>
      </c>
      <c r="AR34" s="141">
        <f t="shared" si="48"/>
        <v>98516.94915254238</v>
      </c>
      <c r="AS34" s="141">
        <f t="shared" si="48"/>
        <v>98516.94915254238</v>
      </c>
      <c r="AT34" s="141">
        <f t="shared" si="48"/>
        <v>98516.94915254238</v>
      </c>
      <c r="AU34" s="141">
        <f t="shared" si="48"/>
        <v>98516.94915254238</v>
      </c>
      <c r="AV34" s="141">
        <f t="shared" si="48"/>
        <v>98516.94915254238</v>
      </c>
      <c r="AW34" s="141">
        <f t="shared" si="48"/>
        <v>98516.94915254238</v>
      </c>
      <c r="AX34" s="141">
        <f t="shared" si="48"/>
        <v>98516.94915254238</v>
      </c>
      <c r="AY34" s="141">
        <f t="shared" si="48"/>
        <v>98516.94915254238</v>
      </c>
      <c r="AZ34" s="141">
        <f t="shared" si="48"/>
        <v>98516.94915254238</v>
      </c>
      <c r="BA34" s="141">
        <f t="shared" si="48"/>
        <v>98516.94915254238</v>
      </c>
      <c r="BB34" s="26"/>
      <c r="BD34" s="141">
        <f t="shared" ref="BD34:BO34" si="49">$B$14*$B$23*BD27*$N$22</f>
        <v>98516.94915254238</v>
      </c>
      <c r="BE34" s="141">
        <f t="shared" si="49"/>
        <v>98516.94915254238</v>
      </c>
      <c r="BF34" s="141">
        <f t="shared" si="49"/>
        <v>98516.94915254238</v>
      </c>
      <c r="BG34" s="141">
        <f t="shared" si="49"/>
        <v>98516.94915254238</v>
      </c>
      <c r="BH34" s="141">
        <f t="shared" si="49"/>
        <v>98516.94915254238</v>
      </c>
      <c r="BI34" s="141">
        <f t="shared" si="49"/>
        <v>98516.94915254238</v>
      </c>
      <c r="BJ34" s="141">
        <f t="shared" si="49"/>
        <v>98516.94915254238</v>
      </c>
      <c r="BK34" s="141">
        <f t="shared" si="49"/>
        <v>98516.94915254238</v>
      </c>
      <c r="BL34" s="141">
        <f t="shared" si="49"/>
        <v>98516.94915254238</v>
      </c>
      <c r="BM34" s="141">
        <f t="shared" si="49"/>
        <v>98516.94915254238</v>
      </c>
      <c r="BN34" s="141">
        <f t="shared" si="49"/>
        <v>98516.94915254238</v>
      </c>
      <c r="BO34" s="141">
        <f t="shared" si="49"/>
        <v>98516.94915254238</v>
      </c>
      <c r="BP34" s="26"/>
      <c r="BR34" s="141">
        <f t="shared" ref="BR34:CC34" si="50">$B$14*$B$23*BR27*$N$22</f>
        <v>98516.94915254238</v>
      </c>
      <c r="BS34" s="141">
        <f t="shared" si="50"/>
        <v>98516.94915254238</v>
      </c>
      <c r="BT34" s="141">
        <f t="shared" si="50"/>
        <v>98516.94915254238</v>
      </c>
      <c r="BU34" s="141">
        <f t="shared" si="50"/>
        <v>98516.94915254238</v>
      </c>
      <c r="BV34" s="141">
        <f t="shared" si="50"/>
        <v>98516.94915254238</v>
      </c>
      <c r="BW34" s="141">
        <f t="shared" si="50"/>
        <v>98516.94915254238</v>
      </c>
      <c r="BX34" s="141">
        <f t="shared" si="50"/>
        <v>98516.94915254238</v>
      </c>
      <c r="BY34" s="141">
        <f t="shared" si="50"/>
        <v>98516.94915254238</v>
      </c>
      <c r="BZ34" s="141">
        <f t="shared" si="50"/>
        <v>98516.94915254238</v>
      </c>
      <c r="CA34" s="141">
        <f t="shared" si="50"/>
        <v>98516.94915254238</v>
      </c>
      <c r="CB34" s="141">
        <f t="shared" si="50"/>
        <v>98516.94915254238</v>
      </c>
      <c r="CC34" s="141">
        <f t="shared" si="50"/>
        <v>98516.94915254238</v>
      </c>
      <c r="CD34" s="26"/>
    </row>
    <row r="35" spans="1:82" ht="14.25" customHeight="1">
      <c r="A35" s="7"/>
      <c r="B35" s="18"/>
      <c r="F35" s="18"/>
      <c r="G35" s="18"/>
      <c r="H35" s="18"/>
      <c r="I35" s="18"/>
      <c r="J35" s="18"/>
      <c r="M35" s="27"/>
      <c r="N35" s="18"/>
      <c r="O35" s="18"/>
      <c r="P35" s="18"/>
      <c r="Q35" s="18"/>
      <c r="R35" s="18"/>
      <c r="S35" s="18"/>
      <c r="T35" s="18"/>
      <c r="U35" s="18"/>
      <c r="V35" s="18"/>
      <c r="W35" s="18"/>
      <c r="X35" s="18"/>
      <c r="Y35" s="18"/>
      <c r="Z35" s="26"/>
      <c r="AB35" s="18"/>
      <c r="AC35" s="18"/>
      <c r="AD35" s="18"/>
      <c r="AE35" s="18"/>
      <c r="AF35" s="18"/>
      <c r="AG35" s="18"/>
      <c r="AH35" s="18"/>
      <c r="AI35" s="18"/>
      <c r="AJ35" s="18"/>
      <c r="AK35" s="18"/>
      <c r="AL35" s="18"/>
      <c r="AM35" s="18"/>
      <c r="AN35" s="26"/>
      <c r="AP35" s="18"/>
      <c r="AQ35" s="18"/>
      <c r="AR35" s="18"/>
      <c r="AS35" s="18"/>
      <c r="AT35" s="18"/>
      <c r="AU35" s="18"/>
      <c r="AV35" s="18"/>
      <c r="AW35" s="18"/>
      <c r="AX35" s="18"/>
      <c r="AY35" s="18"/>
      <c r="AZ35" s="18"/>
      <c r="BA35" s="18"/>
      <c r="BB35" s="26"/>
      <c r="BD35" s="18"/>
      <c r="BE35" s="18"/>
      <c r="BF35" s="18"/>
      <c r="BG35" s="18"/>
      <c r="BH35" s="18"/>
      <c r="BI35" s="18"/>
      <c r="BJ35" s="18"/>
      <c r="BK35" s="18"/>
      <c r="BL35" s="18"/>
      <c r="BM35" s="18"/>
      <c r="BN35" s="18"/>
      <c r="BO35" s="18"/>
      <c r="BP35" s="26"/>
      <c r="BR35" s="18"/>
      <c r="BS35" s="18"/>
      <c r="BT35" s="18"/>
      <c r="BU35" s="18"/>
      <c r="BV35" s="18"/>
      <c r="BW35" s="18"/>
      <c r="BX35" s="18"/>
      <c r="BY35" s="18"/>
      <c r="BZ35" s="18"/>
      <c r="CA35" s="18"/>
      <c r="CB35" s="18"/>
      <c r="CC35" s="18"/>
      <c r="CD35" s="26"/>
    </row>
    <row r="36" spans="1:82" ht="14.25" customHeight="1">
      <c r="A36" s="162" t="s">
        <v>675</v>
      </c>
      <c r="B36" s="4"/>
      <c r="C36" s="4"/>
      <c r="D36" s="4"/>
      <c r="F36" s="18">
        <f>SUM(F34)*($B$107+$B$108)</f>
        <v>88665.254237288143</v>
      </c>
      <c r="G36" s="18">
        <f>SUM(G34)*($B$107+$B$108)</f>
        <v>141864.40677966108</v>
      </c>
      <c r="H36" s="18">
        <f>SUM(H34)*($B$107+$B$108)</f>
        <v>212796.61016949153</v>
      </c>
      <c r="I36" s="18">
        <f>SUM(I34)*($B$107+$B$108)</f>
        <v>212796.61016949153</v>
      </c>
      <c r="J36" s="18">
        <f>SUM(J34)*($B$107+$B$108)</f>
        <v>212796.61016949153</v>
      </c>
      <c r="N36" s="18">
        <f>SUM(N32)*($B$107+$B$108)</f>
        <v>7627.1186440677957</v>
      </c>
      <c r="O36" s="18">
        <f t="shared" ref="O36:Y36" si="51">SUM(O32)*($B$107+$B$108)</f>
        <v>7627.1186440677957</v>
      </c>
      <c r="P36" s="18">
        <f t="shared" si="51"/>
        <v>7627.1186440677957</v>
      </c>
      <c r="Q36" s="18">
        <f t="shared" si="51"/>
        <v>7627.1186440677957</v>
      </c>
      <c r="R36" s="18">
        <f t="shared" si="51"/>
        <v>7627.1186440677957</v>
      </c>
      <c r="S36" s="18">
        <f t="shared" si="51"/>
        <v>7627.1186440677957</v>
      </c>
      <c r="T36" s="18">
        <f t="shared" si="51"/>
        <v>7627.1186440677957</v>
      </c>
      <c r="U36" s="18">
        <f t="shared" si="51"/>
        <v>7627.1186440677957</v>
      </c>
      <c r="V36" s="18">
        <f t="shared" si="51"/>
        <v>7627.1186440677957</v>
      </c>
      <c r="W36" s="18">
        <f t="shared" si="51"/>
        <v>15254.237288135591</v>
      </c>
      <c r="X36" s="18">
        <f t="shared" si="51"/>
        <v>15254.237288135591</v>
      </c>
      <c r="Y36" s="18">
        <f t="shared" si="51"/>
        <v>15254.237288135591</v>
      </c>
      <c r="AB36" s="18">
        <f t="shared" ref="AB36:AM36" si="52">SUM(AB32)*($B$107+$B$108)</f>
        <v>15254.237288135591</v>
      </c>
      <c r="AC36" s="18">
        <f t="shared" si="52"/>
        <v>15254.237288135591</v>
      </c>
      <c r="AD36" s="18">
        <f t="shared" si="52"/>
        <v>15254.237288135591</v>
      </c>
      <c r="AE36" s="18">
        <f t="shared" si="52"/>
        <v>15254.237288135591</v>
      </c>
      <c r="AF36" s="18">
        <f t="shared" si="52"/>
        <v>15254.237288135591</v>
      </c>
      <c r="AG36" s="18">
        <f t="shared" si="52"/>
        <v>15254.237288135591</v>
      </c>
      <c r="AH36" s="18">
        <f t="shared" si="52"/>
        <v>15254.237288135591</v>
      </c>
      <c r="AI36" s="18">
        <f t="shared" si="52"/>
        <v>15254.237288135591</v>
      </c>
      <c r="AJ36" s="18">
        <f t="shared" si="52"/>
        <v>15254.237288135591</v>
      </c>
      <c r="AK36" s="18">
        <f t="shared" si="52"/>
        <v>15254.237288135591</v>
      </c>
      <c r="AL36" s="18">
        <f t="shared" si="52"/>
        <v>15254.237288135591</v>
      </c>
      <c r="AM36" s="18">
        <f t="shared" si="52"/>
        <v>15254.237288135591</v>
      </c>
      <c r="AP36" s="18">
        <f t="shared" ref="AP36:BA36" si="53">SUM(AP32)*($B$107+$B$108)</f>
        <v>22881.355932203391</v>
      </c>
      <c r="AQ36" s="18">
        <f t="shared" si="53"/>
        <v>22881.355932203391</v>
      </c>
      <c r="AR36" s="18">
        <f t="shared" si="53"/>
        <v>22881.355932203391</v>
      </c>
      <c r="AS36" s="18">
        <f t="shared" si="53"/>
        <v>22881.355932203391</v>
      </c>
      <c r="AT36" s="18">
        <f t="shared" si="53"/>
        <v>22881.355932203391</v>
      </c>
      <c r="AU36" s="18">
        <f t="shared" si="53"/>
        <v>22881.355932203391</v>
      </c>
      <c r="AV36" s="18">
        <f t="shared" si="53"/>
        <v>22881.355932203391</v>
      </c>
      <c r="AW36" s="18">
        <f t="shared" si="53"/>
        <v>22881.355932203391</v>
      </c>
      <c r="AX36" s="18">
        <f t="shared" si="53"/>
        <v>22881.355932203391</v>
      </c>
      <c r="AY36" s="18">
        <f t="shared" si="53"/>
        <v>22881.355932203391</v>
      </c>
      <c r="AZ36" s="18">
        <f t="shared" si="53"/>
        <v>22881.355932203391</v>
      </c>
      <c r="BA36" s="18">
        <f t="shared" si="53"/>
        <v>22881.355932203391</v>
      </c>
      <c r="BD36" s="18">
        <f t="shared" ref="BD36:BO36" si="54">SUM(BD32)*($B$107+$B$108)</f>
        <v>22881.355932203391</v>
      </c>
      <c r="BE36" s="18">
        <f t="shared" si="54"/>
        <v>22881.355932203391</v>
      </c>
      <c r="BF36" s="18">
        <f t="shared" si="54"/>
        <v>22881.355932203391</v>
      </c>
      <c r="BG36" s="18">
        <f t="shared" si="54"/>
        <v>22881.355932203391</v>
      </c>
      <c r="BH36" s="18">
        <f t="shared" si="54"/>
        <v>22881.355932203391</v>
      </c>
      <c r="BI36" s="18">
        <f t="shared" si="54"/>
        <v>22881.355932203391</v>
      </c>
      <c r="BJ36" s="18">
        <f t="shared" si="54"/>
        <v>22881.355932203391</v>
      </c>
      <c r="BK36" s="18">
        <f t="shared" si="54"/>
        <v>22881.355932203391</v>
      </c>
      <c r="BL36" s="18">
        <f t="shared" si="54"/>
        <v>22881.355932203391</v>
      </c>
      <c r="BM36" s="18">
        <f t="shared" si="54"/>
        <v>22881.355932203391</v>
      </c>
      <c r="BN36" s="18">
        <f t="shared" si="54"/>
        <v>22881.355932203391</v>
      </c>
      <c r="BO36" s="18">
        <f t="shared" si="54"/>
        <v>22881.355932203391</v>
      </c>
      <c r="BR36" s="18">
        <f t="shared" ref="BR36:CC36" si="55">SUM(BR32)*($B$107+$B$108)</f>
        <v>22881.355932203391</v>
      </c>
      <c r="BS36" s="18">
        <f t="shared" si="55"/>
        <v>22881.355932203391</v>
      </c>
      <c r="BT36" s="18">
        <f t="shared" si="55"/>
        <v>22881.355932203391</v>
      </c>
      <c r="BU36" s="18">
        <f t="shared" si="55"/>
        <v>22881.355932203391</v>
      </c>
      <c r="BV36" s="18">
        <f t="shared" si="55"/>
        <v>22881.355932203391</v>
      </c>
      <c r="BW36" s="18">
        <f t="shared" si="55"/>
        <v>22881.355932203391</v>
      </c>
      <c r="BX36" s="18">
        <f t="shared" si="55"/>
        <v>22881.355932203391</v>
      </c>
      <c r="BY36" s="18">
        <f t="shared" si="55"/>
        <v>22881.355932203391</v>
      </c>
      <c r="BZ36" s="18">
        <f t="shared" si="55"/>
        <v>22881.355932203391</v>
      </c>
      <c r="CA36" s="18">
        <f t="shared" si="55"/>
        <v>22881.355932203391</v>
      </c>
      <c r="CB36" s="18">
        <f t="shared" si="55"/>
        <v>22881.355932203391</v>
      </c>
      <c r="CC36" s="18">
        <f t="shared" si="55"/>
        <v>22881.355932203391</v>
      </c>
    </row>
    <row r="37" spans="1:82" ht="14.25" customHeight="1">
      <c r="A37" s="4"/>
      <c r="B37" s="4"/>
      <c r="C37" s="4"/>
      <c r="D37" s="4"/>
      <c r="F37" s="15"/>
      <c r="H37" s="1"/>
    </row>
    <row r="38" spans="1:82" ht="18">
      <c r="A38" s="63" t="s">
        <v>658</v>
      </c>
      <c r="B38" s="8"/>
      <c r="D38" s="1"/>
    </row>
    <row r="39" spans="1:82" ht="14.25" customHeight="1">
      <c r="A39" s="7"/>
      <c r="B39" s="4" t="s">
        <v>0</v>
      </c>
      <c r="C39" s="4" t="s">
        <v>20</v>
      </c>
      <c r="D39" s="1"/>
    </row>
    <row r="40" spans="1:82" ht="14.25" customHeight="1">
      <c r="A40" s="140" t="s">
        <v>21</v>
      </c>
      <c r="B40" s="143">
        <v>6000</v>
      </c>
      <c r="C40" s="144">
        <f>B40*12</f>
        <v>72000</v>
      </c>
      <c r="D40" s="145"/>
      <c r="E40" s="142"/>
      <c r="F40" s="141">
        <f>SUM(N40:Y40)</f>
        <v>-72000</v>
      </c>
      <c r="G40" s="141">
        <f>SUM(AB40:AM40)</f>
        <v>-72000</v>
      </c>
      <c r="H40" s="141">
        <f>SUM(AP40:BA40)</f>
        <v>-72000</v>
      </c>
      <c r="I40" s="141">
        <f>SUM(BD40:BO40)</f>
        <v>-72000</v>
      </c>
      <c r="J40" s="141">
        <f>SUM(BR40:CC40)</f>
        <v>-72000</v>
      </c>
      <c r="N40" s="18">
        <f>-$B$40</f>
        <v>-6000</v>
      </c>
      <c r="O40" s="18">
        <f t="shared" ref="O40:Y40" si="56">-$B$40</f>
        <v>-6000</v>
      </c>
      <c r="P40" s="18">
        <f t="shared" si="56"/>
        <v>-6000</v>
      </c>
      <c r="Q40" s="18">
        <f t="shared" si="56"/>
        <v>-6000</v>
      </c>
      <c r="R40" s="18">
        <f t="shared" si="56"/>
        <v>-6000</v>
      </c>
      <c r="S40" s="18">
        <f t="shared" si="56"/>
        <v>-6000</v>
      </c>
      <c r="T40" s="18">
        <f t="shared" si="56"/>
        <v>-6000</v>
      </c>
      <c r="U40" s="18">
        <f t="shared" si="56"/>
        <v>-6000</v>
      </c>
      <c r="V40" s="18">
        <f t="shared" si="56"/>
        <v>-6000</v>
      </c>
      <c r="W40" s="18">
        <f t="shared" si="56"/>
        <v>-6000</v>
      </c>
      <c r="X40" s="18">
        <f t="shared" si="56"/>
        <v>-6000</v>
      </c>
      <c r="Y40" s="18">
        <f t="shared" si="56"/>
        <v>-6000</v>
      </c>
      <c r="AB40" s="18">
        <f>-$B$40</f>
        <v>-6000</v>
      </c>
      <c r="AC40" s="18">
        <f t="shared" ref="AC40:AM40" si="57">-$B$40</f>
        <v>-6000</v>
      </c>
      <c r="AD40" s="18">
        <f t="shared" si="57"/>
        <v>-6000</v>
      </c>
      <c r="AE40" s="18">
        <f t="shared" si="57"/>
        <v>-6000</v>
      </c>
      <c r="AF40" s="18">
        <f t="shared" si="57"/>
        <v>-6000</v>
      </c>
      <c r="AG40" s="18">
        <f t="shared" si="57"/>
        <v>-6000</v>
      </c>
      <c r="AH40" s="18">
        <f t="shared" si="57"/>
        <v>-6000</v>
      </c>
      <c r="AI40" s="18">
        <f t="shared" si="57"/>
        <v>-6000</v>
      </c>
      <c r="AJ40" s="18">
        <f t="shared" si="57"/>
        <v>-6000</v>
      </c>
      <c r="AK40" s="18">
        <f t="shared" si="57"/>
        <v>-6000</v>
      </c>
      <c r="AL40" s="18">
        <f t="shared" si="57"/>
        <v>-6000</v>
      </c>
      <c r="AM40" s="18">
        <f t="shared" si="57"/>
        <v>-6000</v>
      </c>
      <c r="AP40" s="18">
        <f>-$B$40</f>
        <v>-6000</v>
      </c>
      <c r="AQ40" s="18">
        <f t="shared" ref="AQ40:BA40" si="58">-$B$40</f>
        <v>-6000</v>
      </c>
      <c r="AR40" s="18">
        <f t="shared" si="58"/>
        <v>-6000</v>
      </c>
      <c r="AS40" s="18">
        <f t="shared" si="58"/>
        <v>-6000</v>
      </c>
      <c r="AT40" s="18">
        <f t="shared" si="58"/>
        <v>-6000</v>
      </c>
      <c r="AU40" s="18">
        <f t="shared" si="58"/>
        <v>-6000</v>
      </c>
      <c r="AV40" s="18">
        <f t="shared" si="58"/>
        <v>-6000</v>
      </c>
      <c r="AW40" s="18">
        <f t="shared" si="58"/>
        <v>-6000</v>
      </c>
      <c r="AX40" s="18">
        <f t="shared" si="58"/>
        <v>-6000</v>
      </c>
      <c r="AY40" s="18">
        <f t="shared" si="58"/>
        <v>-6000</v>
      </c>
      <c r="AZ40" s="18">
        <f t="shared" si="58"/>
        <v>-6000</v>
      </c>
      <c r="BA40" s="18">
        <f t="shared" si="58"/>
        <v>-6000</v>
      </c>
      <c r="BD40" s="18">
        <f>-$B$40</f>
        <v>-6000</v>
      </c>
      <c r="BE40" s="18">
        <f t="shared" ref="BE40:BO40" si="59">-$B$40</f>
        <v>-6000</v>
      </c>
      <c r="BF40" s="18">
        <f t="shared" si="59"/>
        <v>-6000</v>
      </c>
      <c r="BG40" s="18">
        <f t="shared" si="59"/>
        <v>-6000</v>
      </c>
      <c r="BH40" s="18">
        <f t="shared" si="59"/>
        <v>-6000</v>
      </c>
      <c r="BI40" s="18">
        <f t="shared" si="59"/>
        <v>-6000</v>
      </c>
      <c r="BJ40" s="18">
        <f t="shared" si="59"/>
        <v>-6000</v>
      </c>
      <c r="BK40" s="18">
        <f t="shared" si="59"/>
        <v>-6000</v>
      </c>
      <c r="BL40" s="18">
        <f t="shared" si="59"/>
        <v>-6000</v>
      </c>
      <c r="BM40" s="18">
        <f t="shared" si="59"/>
        <v>-6000</v>
      </c>
      <c r="BN40" s="18">
        <f t="shared" si="59"/>
        <v>-6000</v>
      </c>
      <c r="BO40" s="18">
        <f t="shared" si="59"/>
        <v>-6000</v>
      </c>
      <c r="BR40" s="18">
        <f>-$B$40</f>
        <v>-6000</v>
      </c>
      <c r="BS40" s="18">
        <f t="shared" ref="BS40:CC40" si="60">-$B$40</f>
        <v>-6000</v>
      </c>
      <c r="BT40" s="18">
        <f t="shared" si="60"/>
        <v>-6000</v>
      </c>
      <c r="BU40" s="18">
        <f t="shared" si="60"/>
        <v>-6000</v>
      </c>
      <c r="BV40" s="18">
        <f t="shared" si="60"/>
        <v>-6000</v>
      </c>
      <c r="BW40" s="18">
        <f t="shared" si="60"/>
        <v>-6000</v>
      </c>
      <c r="BX40" s="18">
        <f t="shared" si="60"/>
        <v>-6000</v>
      </c>
      <c r="BY40" s="18">
        <f t="shared" si="60"/>
        <v>-6000</v>
      </c>
      <c r="BZ40" s="18">
        <f t="shared" si="60"/>
        <v>-6000</v>
      </c>
      <c r="CA40" s="18">
        <f t="shared" si="60"/>
        <v>-6000</v>
      </c>
      <c r="CB40" s="18">
        <f t="shared" si="60"/>
        <v>-6000</v>
      </c>
      <c r="CC40" s="18">
        <f t="shared" si="60"/>
        <v>-6000</v>
      </c>
    </row>
    <row r="41" spans="1:82" ht="14.25" customHeight="1">
      <c r="A41" s="7"/>
      <c r="C41" s="4"/>
      <c r="D41" s="1"/>
    </row>
    <row r="42" spans="1:82" ht="14.25" customHeight="1">
      <c r="A42" s="7" t="s">
        <v>35</v>
      </c>
      <c r="B42" s="13" t="s">
        <v>5</v>
      </c>
      <c r="C42" s="22" t="s">
        <v>53</v>
      </c>
      <c r="D42" s="1"/>
    </row>
    <row r="43" spans="1:82" ht="14.25" customHeight="1">
      <c r="A43" s="146" t="s">
        <v>22</v>
      </c>
      <c r="B43" s="147">
        <v>2</v>
      </c>
      <c r="C43" s="148">
        <v>300</v>
      </c>
      <c r="D43" s="145"/>
      <c r="E43" s="142"/>
      <c r="F43" s="141">
        <f t="shared" ref="F43:F47" si="61">SUM(N43:Y43)</f>
        <v>-7200</v>
      </c>
      <c r="G43" s="141">
        <f t="shared" ref="G43:G47" si="62">SUM(AB43:AM43)</f>
        <v>-7200</v>
      </c>
      <c r="H43" s="141">
        <f t="shared" ref="H43:H47" si="63">SUM(AP43:BA43)</f>
        <v>-7200</v>
      </c>
      <c r="I43" s="141">
        <f t="shared" ref="I43:I47" si="64">SUM(BD43:BO43)</f>
        <v>-7200</v>
      </c>
      <c r="J43" s="141">
        <f t="shared" ref="J43:J47" si="65">SUM(BR43:CC43)</f>
        <v>-7200</v>
      </c>
      <c r="N43" s="18">
        <f>-$B43*$C43</f>
        <v>-600</v>
      </c>
      <c r="O43" s="18">
        <f t="shared" ref="O43:Y47" si="66">-$B43*$C43</f>
        <v>-600</v>
      </c>
      <c r="P43" s="18">
        <f t="shared" si="66"/>
        <v>-600</v>
      </c>
      <c r="Q43" s="18">
        <f t="shared" si="66"/>
        <v>-600</v>
      </c>
      <c r="R43" s="18">
        <f t="shared" si="66"/>
        <v>-600</v>
      </c>
      <c r="S43" s="18">
        <f t="shared" si="66"/>
        <v>-600</v>
      </c>
      <c r="T43" s="18">
        <f t="shared" si="66"/>
        <v>-600</v>
      </c>
      <c r="U43" s="18">
        <f t="shared" si="66"/>
        <v>-600</v>
      </c>
      <c r="V43" s="18">
        <f t="shared" si="66"/>
        <v>-600</v>
      </c>
      <c r="W43" s="18">
        <f t="shared" si="66"/>
        <v>-600</v>
      </c>
      <c r="X43" s="18">
        <f t="shared" si="66"/>
        <v>-600</v>
      </c>
      <c r="Y43" s="18">
        <f t="shared" si="66"/>
        <v>-600</v>
      </c>
      <c r="AB43" s="18">
        <f t="shared" ref="AB43:AM47" si="67">-$B43*$C43</f>
        <v>-600</v>
      </c>
      <c r="AC43" s="18">
        <f t="shared" si="67"/>
        <v>-600</v>
      </c>
      <c r="AD43" s="18">
        <f t="shared" si="67"/>
        <v>-600</v>
      </c>
      <c r="AE43" s="18">
        <f t="shared" si="67"/>
        <v>-600</v>
      </c>
      <c r="AF43" s="18">
        <f t="shared" si="67"/>
        <v>-600</v>
      </c>
      <c r="AG43" s="18">
        <f t="shared" si="67"/>
        <v>-600</v>
      </c>
      <c r="AH43" s="18">
        <f t="shared" si="67"/>
        <v>-600</v>
      </c>
      <c r="AI43" s="18">
        <f t="shared" si="67"/>
        <v>-600</v>
      </c>
      <c r="AJ43" s="18">
        <f t="shared" si="67"/>
        <v>-600</v>
      </c>
      <c r="AK43" s="18">
        <f t="shared" si="67"/>
        <v>-600</v>
      </c>
      <c r="AL43" s="18">
        <f t="shared" si="67"/>
        <v>-600</v>
      </c>
      <c r="AM43" s="18">
        <f t="shared" si="67"/>
        <v>-600</v>
      </c>
      <c r="AP43" s="18">
        <f t="shared" ref="AP43:BA47" si="68">-$B43*$C43</f>
        <v>-600</v>
      </c>
      <c r="AQ43" s="18">
        <f t="shared" si="68"/>
        <v>-600</v>
      </c>
      <c r="AR43" s="18">
        <f t="shared" si="68"/>
        <v>-600</v>
      </c>
      <c r="AS43" s="18">
        <f t="shared" si="68"/>
        <v>-600</v>
      </c>
      <c r="AT43" s="18">
        <f t="shared" si="68"/>
        <v>-600</v>
      </c>
      <c r="AU43" s="18">
        <f t="shared" si="68"/>
        <v>-600</v>
      </c>
      <c r="AV43" s="18">
        <f t="shared" si="68"/>
        <v>-600</v>
      </c>
      <c r="AW43" s="18">
        <f t="shared" si="68"/>
        <v>-600</v>
      </c>
      <c r="AX43" s="18">
        <f t="shared" si="68"/>
        <v>-600</v>
      </c>
      <c r="AY43" s="18">
        <f t="shared" si="68"/>
        <v>-600</v>
      </c>
      <c r="AZ43" s="18">
        <f t="shared" si="68"/>
        <v>-600</v>
      </c>
      <c r="BA43" s="18">
        <f t="shared" si="68"/>
        <v>-600</v>
      </c>
      <c r="BD43" s="18">
        <f t="shared" ref="BD43:BO47" si="69">-$B43*$C43</f>
        <v>-600</v>
      </c>
      <c r="BE43" s="18">
        <f t="shared" si="69"/>
        <v>-600</v>
      </c>
      <c r="BF43" s="18">
        <f t="shared" si="69"/>
        <v>-600</v>
      </c>
      <c r="BG43" s="18">
        <f t="shared" si="69"/>
        <v>-600</v>
      </c>
      <c r="BH43" s="18">
        <f t="shared" si="69"/>
        <v>-600</v>
      </c>
      <c r="BI43" s="18">
        <f t="shared" si="69"/>
        <v>-600</v>
      </c>
      <c r="BJ43" s="18">
        <f t="shared" si="69"/>
        <v>-600</v>
      </c>
      <c r="BK43" s="18">
        <f t="shared" si="69"/>
        <v>-600</v>
      </c>
      <c r="BL43" s="18">
        <f t="shared" si="69"/>
        <v>-600</v>
      </c>
      <c r="BM43" s="18">
        <f t="shared" si="69"/>
        <v>-600</v>
      </c>
      <c r="BN43" s="18">
        <f t="shared" si="69"/>
        <v>-600</v>
      </c>
      <c r="BO43" s="18">
        <f t="shared" si="69"/>
        <v>-600</v>
      </c>
      <c r="BR43" s="18">
        <f t="shared" ref="BR43:CC47" si="70">-$B43*$C43</f>
        <v>-600</v>
      </c>
      <c r="BS43" s="18">
        <f t="shared" si="70"/>
        <v>-600</v>
      </c>
      <c r="BT43" s="18">
        <f t="shared" si="70"/>
        <v>-600</v>
      </c>
      <c r="BU43" s="18">
        <f t="shared" si="70"/>
        <v>-600</v>
      </c>
      <c r="BV43" s="18">
        <f t="shared" si="70"/>
        <v>-600</v>
      </c>
      <c r="BW43" s="18">
        <f t="shared" si="70"/>
        <v>-600</v>
      </c>
      <c r="BX43" s="18">
        <f t="shared" si="70"/>
        <v>-600</v>
      </c>
      <c r="BY43" s="18">
        <f t="shared" si="70"/>
        <v>-600</v>
      </c>
      <c r="BZ43" s="18">
        <f t="shared" si="70"/>
        <v>-600</v>
      </c>
      <c r="CA43" s="18">
        <f t="shared" si="70"/>
        <v>-600</v>
      </c>
      <c r="CB43" s="18">
        <f t="shared" si="70"/>
        <v>-600</v>
      </c>
      <c r="CC43" s="18">
        <f t="shared" si="70"/>
        <v>-600</v>
      </c>
    </row>
    <row r="44" spans="1:82" ht="14.25" customHeight="1">
      <c r="A44" s="146" t="s">
        <v>23</v>
      </c>
      <c r="B44" s="147">
        <v>2</v>
      </c>
      <c r="C44" s="148">
        <v>200</v>
      </c>
      <c r="D44" s="145"/>
      <c r="E44" s="142"/>
      <c r="F44" s="141">
        <f t="shared" si="61"/>
        <v>-4800</v>
      </c>
      <c r="G44" s="141">
        <f t="shared" si="62"/>
        <v>-4800</v>
      </c>
      <c r="H44" s="141">
        <f t="shared" si="63"/>
        <v>-4800</v>
      </c>
      <c r="I44" s="141">
        <f t="shared" si="64"/>
        <v>-4800</v>
      </c>
      <c r="J44" s="141">
        <f t="shared" si="65"/>
        <v>-4800</v>
      </c>
      <c r="N44" s="18">
        <f t="shared" ref="N44:N47" si="71">-$B44*$C44</f>
        <v>-400</v>
      </c>
      <c r="O44" s="18">
        <f t="shared" si="66"/>
        <v>-400</v>
      </c>
      <c r="P44" s="18">
        <f t="shared" si="66"/>
        <v>-400</v>
      </c>
      <c r="Q44" s="18">
        <f t="shared" si="66"/>
        <v>-400</v>
      </c>
      <c r="R44" s="18">
        <f t="shared" si="66"/>
        <v>-400</v>
      </c>
      <c r="S44" s="18">
        <f t="shared" si="66"/>
        <v>-400</v>
      </c>
      <c r="T44" s="18">
        <f t="shared" si="66"/>
        <v>-400</v>
      </c>
      <c r="U44" s="18">
        <f t="shared" si="66"/>
        <v>-400</v>
      </c>
      <c r="V44" s="18">
        <f t="shared" si="66"/>
        <v>-400</v>
      </c>
      <c r="W44" s="18">
        <f t="shared" si="66"/>
        <v>-400</v>
      </c>
      <c r="X44" s="18">
        <f t="shared" si="66"/>
        <v>-400</v>
      </c>
      <c r="Y44" s="18">
        <f t="shared" si="66"/>
        <v>-400</v>
      </c>
      <c r="AB44" s="18">
        <f t="shared" si="67"/>
        <v>-400</v>
      </c>
      <c r="AC44" s="18">
        <f t="shared" si="67"/>
        <v>-400</v>
      </c>
      <c r="AD44" s="18">
        <f t="shared" si="67"/>
        <v>-400</v>
      </c>
      <c r="AE44" s="18">
        <f t="shared" si="67"/>
        <v>-400</v>
      </c>
      <c r="AF44" s="18">
        <f t="shared" si="67"/>
        <v>-400</v>
      </c>
      <c r="AG44" s="18">
        <f t="shared" si="67"/>
        <v>-400</v>
      </c>
      <c r="AH44" s="18">
        <f t="shared" si="67"/>
        <v>-400</v>
      </c>
      <c r="AI44" s="18">
        <f t="shared" si="67"/>
        <v>-400</v>
      </c>
      <c r="AJ44" s="18">
        <f t="shared" si="67"/>
        <v>-400</v>
      </c>
      <c r="AK44" s="18">
        <f t="shared" si="67"/>
        <v>-400</v>
      </c>
      <c r="AL44" s="18">
        <f t="shared" si="67"/>
        <v>-400</v>
      </c>
      <c r="AM44" s="18">
        <f t="shared" si="67"/>
        <v>-400</v>
      </c>
      <c r="AP44" s="18">
        <f t="shared" si="68"/>
        <v>-400</v>
      </c>
      <c r="AQ44" s="18">
        <f t="shared" si="68"/>
        <v>-400</v>
      </c>
      <c r="AR44" s="18">
        <f t="shared" si="68"/>
        <v>-400</v>
      </c>
      <c r="AS44" s="18">
        <f t="shared" si="68"/>
        <v>-400</v>
      </c>
      <c r="AT44" s="18">
        <f t="shared" si="68"/>
        <v>-400</v>
      </c>
      <c r="AU44" s="18">
        <f t="shared" si="68"/>
        <v>-400</v>
      </c>
      <c r="AV44" s="18">
        <f t="shared" si="68"/>
        <v>-400</v>
      </c>
      <c r="AW44" s="18">
        <f t="shared" si="68"/>
        <v>-400</v>
      </c>
      <c r="AX44" s="18">
        <f t="shared" si="68"/>
        <v>-400</v>
      </c>
      <c r="AY44" s="18">
        <f t="shared" si="68"/>
        <v>-400</v>
      </c>
      <c r="AZ44" s="18">
        <f t="shared" si="68"/>
        <v>-400</v>
      </c>
      <c r="BA44" s="18">
        <f t="shared" si="68"/>
        <v>-400</v>
      </c>
      <c r="BD44" s="18">
        <f t="shared" si="69"/>
        <v>-400</v>
      </c>
      <c r="BE44" s="18">
        <f t="shared" si="69"/>
        <v>-400</v>
      </c>
      <c r="BF44" s="18">
        <f t="shared" si="69"/>
        <v>-400</v>
      </c>
      <c r="BG44" s="18">
        <f t="shared" si="69"/>
        <v>-400</v>
      </c>
      <c r="BH44" s="18">
        <f t="shared" si="69"/>
        <v>-400</v>
      </c>
      <c r="BI44" s="18">
        <f t="shared" si="69"/>
        <v>-400</v>
      </c>
      <c r="BJ44" s="18">
        <f t="shared" si="69"/>
        <v>-400</v>
      </c>
      <c r="BK44" s="18">
        <f t="shared" si="69"/>
        <v>-400</v>
      </c>
      <c r="BL44" s="18">
        <f t="shared" si="69"/>
        <v>-400</v>
      </c>
      <c r="BM44" s="18">
        <f t="shared" si="69"/>
        <v>-400</v>
      </c>
      <c r="BN44" s="18">
        <f t="shared" si="69"/>
        <v>-400</v>
      </c>
      <c r="BO44" s="18">
        <f t="shared" si="69"/>
        <v>-400</v>
      </c>
      <c r="BR44" s="18">
        <f t="shared" si="70"/>
        <v>-400</v>
      </c>
      <c r="BS44" s="18">
        <f t="shared" si="70"/>
        <v>-400</v>
      </c>
      <c r="BT44" s="18">
        <f t="shared" si="70"/>
        <v>-400</v>
      </c>
      <c r="BU44" s="18">
        <f t="shared" si="70"/>
        <v>-400</v>
      </c>
      <c r="BV44" s="18">
        <f t="shared" si="70"/>
        <v>-400</v>
      </c>
      <c r="BW44" s="18">
        <f t="shared" si="70"/>
        <v>-400</v>
      </c>
      <c r="BX44" s="18">
        <f t="shared" si="70"/>
        <v>-400</v>
      </c>
      <c r="BY44" s="18">
        <f t="shared" si="70"/>
        <v>-400</v>
      </c>
      <c r="BZ44" s="18">
        <f t="shared" si="70"/>
        <v>-400</v>
      </c>
      <c r="CA44" s="18">
        <f t="shared" si="70"/>
        <v>-400</v>
      </c>
      <c r="CB44" s="18">
        <f t="shared" si="70"/>
        <v>-400</v>
      </c>
      <c r="CC44" s="18">
        <f t="shared" si="70"/>
        <v>-400</v>
      </c>
    </row>
    <row r="45" spans="1:82" ht="14.25" customHeight="1">
      <c r="A45" s="146" t="s">
        <v>24</v>
      </c>
      <c r="B45" s="147">
        <v>5</v>
      </c>
      <c r="C45" s="148">
        <v>150</v>
      </c>
      <c r="D45" s="145"/>
      <c r="E45" s="142"/>
      <c r="F45" s="141">
        <f t="shared" si="61"/>
        <v>-9000</v>
      </c>
      <c r="G45" s="141">
        <f t="shared" si="62"/>
        <v>-9000</v>
      </c>
      <c r="H45" s="141">
        <f t="shared" si="63"/>
        <v>-9000</v>
      </c>
      <c r="I45" s="141">
        <f t="shared" si="64"/>
        <v>-9000</v>
      </c>
      <c r="J45" s="141">
        <f t="shared" si="65"/>
        <v>-9000</v>
      </c>
      <c r="N45" s="18">
        <f t="shared" si="71"/>
        <v>-750</v>
      </c>
      <c r="O45" s="18">
        <f t="shared" si="66"/>
        <v>-750</v>
      </c>
      <c r="P45" s="18">
        <f t="shared" si="66"/>
        <v>-750</v>
      </c>
      <c r="Q45" s="18">
        <f t="shared" si="66"/>
        <v>-750</v>
      </c>
      <c r="R45" s="18">
        <f t="shared" si="66"/>
        <v>-750</v>
      </c>
      <c r="S45" s="18">
        <f t="shared" si="66"/>
        <v>-750</v>
      </c>
      <c r="T45" s="18">
        <f t="shared" si="66"/>
        <v>-750</v>
      </c>
      <c r="U45" s="18">
        <f t="shared" si="66"/>
        <v>-750</v>
      </c>
      <c r="V45" s="18">
        <f t="shared" si="66"/>
        <v>-750</v>
      </c>
      <c r="W45" s="18">
        <f t="shared" si="66"/>
        <v>-750</v>
      </c>
      <c r="X45" s="18">
        <f t="shared" si="66"/>
        <v>-750</v>
      </c>
      <c r="Y45" s="18">
        <f t="shared" si="66"/>
        <v>-750</v>
      </c>
      <c r="AB45" s="18">
        <f t="shared" si="67"/>
        <v>-750</v>
      </c>
      <c r="AC45" s="18">
        <f t="shared" si="67"/>
        <v>-750</v>
      </c>
      <c r="AD45" s="18">
        <f t="shared" si="67"/>
        <v>-750</v>
      </c>
      <c r="AE45" s="18">
        <f t="shared" si="67"/>
        <v>-750</v>
      </c>
      <c r="AF45" s="18">
        <f t="shared" si="67"/>
        <v>-750</v>
      </c>
      <c r="AG45" s="18">
        <f t="shared" si="67"/>
        <v>-750</v>
      </c>
      <c r="AH45" s="18">
        <f t="shared" si="67"/>
        <v>-750</v>
      </c>
      <c r="AI45" s="18">
        <f t="shared" si="67"/>
        <v>-750</v>
      </c>
      <c r="AJ45" s="18">
        <f t="shared" si="67"/>
        <v>-750</v>
      </c>
      <c r="AK45" s="18">
        <f t="shared" si="67"/>
        <v>-750</v>
      </c>
      <c r="AL45" s="18">
        <f t="shared" si="67"/>
        <v>-750</v>
      </c>
      <c r="AM45" s="18">
        <f t="shared" si="67"/>
        <v>-750</v>
      </c>
      <c r="AP45" s="18">
        <f t="shared" si="68"/>
        <v>-750</v>
      </c>
      <c r="AQ45" s="18">
        <f t="shared" si="68"/>
        <v>-750</v>
      </c>
      <c r="AR45" s="18">
        <f t="shared" si="68"/>
        <v>-750</v>
      </c>
      <c r="AS45" s="18">
        <f t="shared" si="68"/>
        <v>-750</v>
      </c>
      <c r="AT45" s="18">
        <f t="shared" si="68"/>
        <v>-750</v>
      </c>
      <c r="AU45" s="18">
        <f t="shared" si="68"/>
        <v>-750</v>
      </c>
      <c r="AV45" s="18">
        <f t="shared" si="68"/>
        <v>-750</v>
      </c>
      <c r="AW45" s="18">
        <f t="shared" si="68"/>
        <v>-750</v>
      </c>
      <c r="AX45" s="18">
        <f t="shared" si="68"/>
        <v>-750</v>
      </c>
      <c r="AY45" s="18">
        <f t="shared" si="68"/>
        <v>-750</v>
      </c>
      <c r="AZ45" s="18">
        <f t="shared" si="68"/>
        <v>-750</v>
      </c>
      <c r="BA45" s="18">
        <f t="shared" si="68"/>
        <v>-750</v>
      </c>
      <c r="BD45" s="18">
        <f t="shared" si="69"/>
        <v>-750</v>
      </c>
      <c r="BE45" s="18">
        <f t="shared" si="69"/>
        <v>-750</v>
      </c>
      <c r="BF45" s="18">
        <f t="shared" si="69"/>
        <v>-750</v>
      </c>
      <c r="BG45" s="18">
        <f t="shared" si="69"/>
        <v>-750</v>
      </c>
      <c r="BH45" s="18">
        <f t="shared" si="69"/>
        <v>-750</v>
      </c>
      <c r="BI45" s="18">
        <f t="shared" si="69"/>
        <v>-750</v>
      </c>
      <c r="BJ45" s="18">
        <f t="shared" si="69"/>
        <v>-750</v>
      </c>
      <c r="BK45" s="18">
        <f t="shared" si="69"/>
        <v>-750</v>
      </c>
      <c r="BL45" s="18">
        <f t="shared" si="69"/>
        <v>-750</v>
      </c>
      <c r="BM45" s="18">
        <f t="shared" si="69"/>
        <v>-750</v>
      </c>
      <c r="BN45" s="18">
        <f t="shared" si="69"/>
        <v>-750</v>
      </c>
      <c r="BO45" s="18">
        <f t="shared" si="69"/>
        <v>-750</v>
      </c>
      <c r="BR45" s="18">
        <f t="shared" si="70"/>
        <v>-750</v>
      </c>
      <c r="BS45" s="18">
        <f t="shared" si="70"/>
        <v>-750</v>
      </c>
      <c r="BT45" s="18">
        <f t="shared" si="70"/>
        <v>-750</v>
      </c>
      <c r="BU45" s="18">
        <f t="shared" si="70"/>
        <v>-750</v>
      </c>
      <c r="BV45" s="18">
        <f t="shared" si="70"/>
        <v>-750</v>
      </c>
      <c r="BW45" s="18">
        <f t="shared" si="70"/>
        <v>-750</v>
      </c>
      <c r="BX45" s="18">
        <f t="shared" si="70"/>
        <v>-750</v>
      </c>
      <c r="BY45" s="18">
        <f t="shared" si="70"/>
        <v>-750</v>
      </c>
      <c r="BZ45" s="18">
        <f t="shared" si="70"/>
        <v>-750</v>
      </c>
      <c r="CA45" s="18">
        <f t="shared" si="70"/>
        <v>-750</v>
      </c>
      <c r="CB45" s="18">
        <f t="shared" si="70"/>
        <v>-750</v>
      </c>
      <c r="CC45" s="18">
        <f t="shared" si="70"/>
        <v>-750</v>
      </c>
    </row>
    <row r="46" spans="1:82" ht="14.25" customHeight="1">
      <c r="A46" s="146" t="s">
        <v>25</v>
      </c>
      <c r="B46" s="147">
        <v>2</v>
      </c>
      <c r="C46" s="148">
        <v>150</v>
      </c>
      <c r="D46" s="145"/>
      <c r="E46" s="142"/>
      <c r="F46" s="141">
        <f t="shared" si="61"/>
        <v>-3600</v>
      </c>
      <c r="G46" s="141">
        <f t="shared" si="62"/>
        <v>-3600</v>
      </c>
      <c r="H46" s="141">
        <f t="shared" si="63"/>
        <v>-3600</v>
      </c>
      <c r="I46" s="141">
        <f t="shared" si="64"/>
        <v>-3600</v>
      </c>
      <c r="J46" s="141">
        <f t="shared" si="65"/>
        <v>-3600</v>
      </c>
      <c r="N46" s="18">
        <f t="shared" si="71"/>
        <v>-300</v>
      </c>
      <c r="O46" s="18">
        <f t="shared" si="66"/>
        <v>-300</v>
      </c>
      <c r="P46" s="18">
        <f t="shared" si="66"/>
        <v>-300</v>
      </c>
      <c r="Q46" s="18">
        <f t="shared" si="66"/>
        <v>-300</v>
      </c>
      <c r="R46" s="18">
        <f t="shared" si="66"/>
        <v>-300</v>
      </c>
      <c r="S46" s="18">
        <f t="shared" si="66"/>
        <v>-300</v>
      </c>
      <c r="T46" s="18">
        <f t="shared" si="66"/>
        <v>-300</v>
      </c>
      <c r="U46" s="18">
        <f t="shared" si="66"/>
        <v>-300</v>
      </c>
      <c r="V46" s="18">
        <f t="shared" si="66"/>
        <v>-300</v>
      </c>
      <c r="W46" s="18">
        <f t="shared" si="66"/>
        <v>-300</v>
      </c>
      <c r="X46" s="18">
        <f t="shared" si="66"/>
        <v>-300</v>
      </c>
      <c r="Y46" s="18">
        <f t="shared" si="66"/>
        <v>-300</v>
      </c>
      <c r="AB46" s="18">
        <f t="shared" si="67"/>
        <v>-300</v>
      </c>
      <c r="AC46" s="18">
        <f t="shared" si="67"/>
        <v>-300</v>
      </c>
      <c r="AD46" s="18">
        <f t="shared" si="67"/>
        <v>-300</v>
      </c>
      <c r="AE46" s="18">
        <f t="shared" si="67"/>
        <v>-300</v>
      </c>
      <c r="AF46" s="18">
        <f t="shared" si="67"/>
        <v>-300</v>
      </c>
      <c r="AG46" s="18">
        <f t="shared" si="67"/>
        <v>-300</v>
      </c>
      <c r="AH46" s="18">
        <f t="shared" si="67"/>
        <v>-300</v>
      </c>
      <c r="AI46" s="18">
        <f t="shared" si="67"/>
        <v>-300</v>
      </c>
      <c r="AJ46" s="18">
        <f t="shared" si="67"/>
        <v>-300</v>
      </c>
      <c r="AK46" s="18">
        <f t="shared" si="67"/>
        <v>-300</v>
      </c>
      <c r="AL46" s="18">
        <f t="shared" si="67"/>
        <v>-300</v>
      </c>
      <c r="AM46" s="18">
        <f t="shared" si="67"/>
        <v>-300</v>
      </c>
      <c r="AP46" s="18">
        <f t="shared" si="68"/>
        <v>-300</v>
      </c>
      <c r="AQ46" s="18">
        <f t="shared" si="68"/>
        <v>-300</v>
      </c>
      <c r="AR46" s="18">
        <f t="shared" si="68"/>
        <v>-300</v>
      </c>
      <c r="AS46" s="18">
        <f t="shared" si="68"/>
        <v>-300</v>
      </c>
      <c r="AT46" s="18">
        <f t="shared" si="68"/>
        <v>-300</v>
      </c>
      <c r="AU46" s="18">
        <f t="shared" si="68"/>
        <v>-300</v>
      </c>
      <c r="AV46" s="18">
        <f t="shared" si="68"/>
        <v>-300</v>
      </c>
      <c r="AW46" s="18">
        <f t="shared" si="68"/>
        <v>-300</v>
      </c>
      <c r="AX46" s="18">
        <f t="shared" si="68"/>
        <v>-300</v>
      </c>
      <c r="AY46" s="18">
        <f t="shared" si="68"/>
        <v>-300</v>
      </c>
      <c r="AZ46" s="18">
        <f t="shared" si="68"/>
        <v>-300</v>
      </c>
      <c r="BA46" s="18">
        <f t="shared" si="68"/>
        <v>-300</v>
      </c>
      <c r="BD46" s="18">
        <f t="shared" si="69"/>
        <v>-300</v>
      </c>
      <c r="BE46" s="18">
        <f t="shared" si="69"/>
        <v>-300</v>
      </c>
      <c r="BF46" s="18">
        <f t="shared" si="69"/>
        <v>-300</v>
      </c>
      <c r="BG46" s="18">
        <f t="shared" si="69"/>
        <v>-300</v>
      </c>
      <c r="BH46" s="18">
        <f t="shared" si="69"/>
        <v>-300</v>
      </c>
      <c r="BI46" s="18">
        <f t="shared" si="69"/>
        <v>-300</v>
      </c>
      <c r="BJ46" s="18">
        <f t="shared" si="69"/>
        <v>-300</v>
      </c>
      <c r="BK46" s="18">
        <f t="shared" si="69"/>
        <v>-300</v>
      </c>
      <c r="BL46" s="18">
        <f t="shared" si="69"/>
        <v>-300</v>
      </c>
      <c r="BM46" s="18">
        <f t="shared" si="69"/>
        <v>-300</v>
      </c>
      <c r="BN46" s="18">
        <f t="shared" si="69"/>
        <v>-300</v>
      </c>
      <c r="BO46" s="18">
        <f t="shared" si="69"/>
        <v>-300</v>
      </c>
      <c r="BR46" s="18">
        <f t="shared" si="70"/>
        <v>-300</v>
      </c>
      <c r="BS46" s="18">
        <f t="shared" si="70"/>
        <v>-300</v>
      </c>
      <c r="BT46" s="18">
        <f t="shared" si="70"/>
        <v>-300</v>
      </c>
      <c r="BU46" s="18">
        <f t="shared" si="70"/>
        <v>-300</v>
      </c>
      <c r="BV46" s="18">
        <f t="shared" si="70"/>
        <v>-300</v>
      </c>
      <c r="BW46" s="18">
        <f t="shared" si="70"/>
        <v>-300</v>
      </c>
      <c r="BX46" s="18">
        <f t="shared" si="70"/>
        <v>-300</v>
      </c>
      <c r="BY46" s="18">
        <f t="shared" si="70"/>
        <v>-300</v>
      </c>
      <c r="BZ46" s="18">
        <f t="shared" si="70"/>
        <v>-300</v>
      </c>
      <c r="CA46" s="18">
        <f t="shared" si="70"/>
        <v>-300</v>
      </c>
      <c r="CB46" s="18">
        <f t="shared" si="70"/>
        <v>-300</v>
      </c>
      <c r="CC46" s="18">
        <f t="shared" si="70"/>
        <v>-300</v>
      </c>
    </row>
    <row r="47" spans="1:82" ht="14.25" customHeight="1">
      <c r="A47" s="149" t="s">
        <v>52</v>
      </c>
      <c r="B47" s="147">
        <v>1</v>
      </c>
      <c r="C47" s="148">
        <v>3500</v>
      </c>
      <c r="D47" s="145"/>
      <c r="E47" s="142"/>
      <c r="F47" s="141">
        <f t="shared" si="61"/>
        <v>-42000</v>
      </c>
      <c r="G47" s="141">
        <f t="shared" si="62"/>
        <v>-42000</v>
      </c>
      <c r="H47" s="141">
        <f t="shared" si="63"/>
        <v>-42000</v>
      </c>
      <c r="I47" s="141">
        <f t="shared" si="64"/>
        <v>-42000</v>
      </c>
      <c r="J47" s="141">
        <f t="shared" si="65"/>
        <v>-42000</v>
      </c>
      <c r="N47" s="18">
        <f t="shared" si="71"/>
        <v>-3500</v>
      </c>
      <c r="O47" s="18">
        <f t="shared" si="66"/>
        <v>-3500</v>
      </c>
      <c r="P47" s="18">
        <f t="shared" si="66"/>
        <v>-3500</v>
      </c>
      <c r="Q47" s="18">
        <f t="shared" si="66"/>
        <v>-3500</v>
      </c>
      <c r="R47" s="18">
        <f t="shared" si="66"/>
        <v>-3500</v>
      </c>
      <c r="S47" s="18">
        <f t="shared" si="66"/>
        <v>-3500</v>
      </c>
      <c r="T47" s="18">
        <f t="shared" si="66"/>
        <v>-3500</v>
      </c>
      <c r="U47" s="18">
        <f t="shared" si="66"/>
        <v>-3500</v>
      </c>
      <c r="V47" s="18">
        <f t="shared" si="66"/>
        <v>-3500</v>
      </c>
      <c r="W47" s="18">
        <f t="shared" si="66"/>
        <v>-3500</v>
      </c>
      <c r="X47" s="18">
        <f t="shared" si="66"/>
        <v>-3500</v>
      </c>
      <c r="Y47" s="18">
        <f t="shared" si="66"/>
        <v>-3500</v>
      </c>
      <c r="AB47" s="18">
        <f t="shared" si="67"/>
        <v>-3500</v>
      </c>
      <c r="AC47" s="18">
        <f t="shared" si="67"/>
        <v>-3500</v>
      </c>
      <c r="AD47" s="18">
        <f t="shared" si="67"/>
        <v>-3500</v>
      </c>
      <c r="AE47" s="18">
        <f t="shared" si="67"/>
        <v>-3500</v>
      </c>
      <c r="AF47" s="18">
        <f t="shared" si="67"/>
        <v>-3500</v>
      </c>
      <c r="AG47" s="18">
        <f t="shared" si="67"/>
        <v>-3500</v>
      </c>
      <c r="AH47" s="18">
        <f t="shared" si="67"/>
        <v>-3500</v>
      </c>
      <c r="AI47" s="18">
        <f t="shared" si="67"/>
        <v>-3500</v>
      </c>
      <c r="AJ47" s="18">
        <f t="shared" si="67"/>
        <v>-3500</v>
      </c>
      <c r="AK47" s="18">
        <f t="shared" si="67"/>
        <v>-3500</v>
      </c>
      <c r="AL47" s="18">
        <f t="shared" si="67"/>
        <v>-3500</v>
      </c>
      <c r="AM47" s="18">
        <f t="shared" si="67"/>
        <v>-3500</v>
      </c>
      <c r="AP47" s="18">
        <f t="shared" si="68"/>
        <v>-3500</v>
      </c>
      <c r="AQ47" s="18">
        <f t="shared" si="68"/>
        <v>-3500</v>
      </c>
      <c r="AR47" s="18">
        <f t="shared" si="68"/>
        <v>-3500</v>
      </c>
      <c r="AS47" s="18">
        <f t="shared" si="68"/>
        <v>-3500</v>
      </c>
      <c r="AT47" s="18">
        <f t="shared" si="68"/>
        <v>-3500</v>
      </c>
      <c r="AU47" s="18">
        <f t="shared" si="68"/>
        <v>-3500</v>
      </c>
      <c r="AV47" s="18">
        <f t="shared" si="68"/>
        <v>-3500</v>
      </c>
      <c r="AW47" s="18">
        <f t="shared" si="68"/>
        <v>-3500</v>
      </c>
      <c r="AX47" s="18">
        <f t="shared" si="68"/>
        <v>-3500</v>
      </c>
      <c r="AY47" s="18">
        <f t="shared" si="68"/>
        <v>-3500</v>
      </c>
      <c r="AZ47" s="18">
        <f t="shared" si="68"/>
        <v>-3500</v>
      </c>
      <c r="BA47" s="18">
        <f t="shared" si="68"/>
        <v>-3500</v>
      </c>
      <c r="BD47" s="18">
        <f t="shared" si="69"/>
        <v>-3500</v>
      </c>
      <c r="BE47" s="18">
        <f t="shared" si="69"/>
        <v>-3500</v>
      </c>
      <c r="BF47" s="18">
        <f t="shared" si="69"/>
        <v>-3500</v>
      </c>
      <c r="BG47" s="18">
        <f t="shared" si="69"/>
        <v>-3500</v>
      </c>
      <c r="BH47" s="18">
        <f t="shared" si="69"/>
        <v>-3500</v>
      </c>
      <c r="BI47" s="18">
        <f t="shared" si="69"/>
        <v>-3500</v>
      </c>
      <c r="BJ47" s="18">
        <f t="shared" si="69"/>
        <v>-3500</v>
      </c>
      <c r="BK47" s="18">
        <f t="shared" si="69"/>
        <v>-3500</v>
      </c>
      <c r="BL47" s="18">
        <f t="shared" si="69"/>
        <v>-3500</v>
      </c>
      <c r="BM47" s="18">
        <f t="shared" si="69"/>
        <v>-3500</v>
      </c>
      <c r="BN47" s="18">
        <f t="shared" si="69"/>
        <v>-3500</v>
      </c>
      <c r="BO47" s="18">
        <f t="shared" si="69"/>
        <v>-3500</v>
      </c>
      <c r="BR47" s="18">
        <f t="shared" si="70"/>
        <v>-3500</v>
      </c>
      <c r="BS47" s="18">
        <f t="shared" si="70"/>
        <v>-3500</v>
      </c>
      <c r="BT47" s="18">
        <f t="shared" si="70"/>
        <v>-3500</v>
      </c>
      <c r="BU47" s="18">
        <f t="shared" si="70"/>
        <v>-3500</v>
      </c>
      <c r="BV47" s="18">
        <f t="shared" si="70"/>
        <v>-3500</v>
      </c>
      <c r="BW47" s="18">
        <f t="shared" si="70"/>
        <v>-3500</v>
      </c>
      <c r="BX47" s="18">
        <f t="shared" si="70"/>
        <v>-3500</v>
      </c>
      <c r="BY47" s="18">
        <f t="shared" si="70"/>
        <v>-3500</v>
      </c>
      <c r="BZ47" s="18">
        <f t="shared" si="70"/>
        <v>-3500</v>
      </c>
      <c r="CA47" s="18">
        <f t="shared" si="70"/>
        <v>-3500</v>
      </c>
      <c r="CB47" s="18">
        <f t="shared" si="70"/>
        <v>-3500</v>
      </c>
      <c r="CC47" s="18">
        <f t="shared" si="70"/>
        <v>-3500</v>
      </c>
    </row>
    <row r="48" spans="1:82" ht="14.25" customHeight="1"/>
    <row r="49" spans="1:81" ht="14.25" customHeight="1">
      <c r="A49" s="7" t="s">
        <v>34</v>
      </c>
      <c r="B49" s="13"/>
      <c r="C49" s="8"/>
      <c r="D49" s="1"/>
      <c r="F49" s="18"/>
      <c r="G49" s="18"/>
      <c r="H49" s="18"/>
      <c r="I49" s="18"/>
      <c r="J49" s="18"/>
      <c r="N49" s="18"/>
      <c r="O49" s="18"/>
      <c r="P49" s="18"/>
      <c r="Q49" s="18"/>
      <c r="R49" s="18"/>
      <c r="S49" s="18"/>
      <c r="T49" s="18"/>
      <c r="U49" s="18"/>
      <c r="V49" s="18"/>
      <c r="W49" s="18"/>
      <c r="X49" s="18"/>
      <c r="Y49" s="18"/>
      <c r="AB49" s="18"/>
      <c r="AC49" s="18"/>
      <c r="AD49" s="18"/>
      <c r="AE49" s="18"/>
      <c r="AF49" s="18"/>
      <c r="AG49" s="18"/>
      <c r="AH49" s="18"/>
      <c r="AI49" s="18"/>
      <c r="AJ49" s="18"/>
      <c r="AK49" s="18"/>
      <c r="AL49" s="18"/>
      <c r="AM49" s="18"/>
      <c r="AP49" s="18"/>
      <c r="AQ49" s="18"/>
      <c r="AR49" s="18"/>
      <c r="AS49" s="18"/>
      <c r="AT49" s="18"/>
      <c r="AU49" s="18"/>
      <c r="AV49" s="18"/>
      <c r="AW49" s="18"/>
      <c r="AX49" s="18"/>
      <c r="AY49" s="18"/>
      <c r="AZ49" s="18"/>
      <c r="BA49" s="18"/>
      <c r="BD49" s="18"/>
      <c r="BE49" s="18"/>
      <c r="BF49" s="18"/>
      <c r="BG49" s="18"/>
      <c r="BH49" s="18"/>
      <c r="BI49" s="18"/>
      <c r="BJ49" s="18"/>
      <c r="BK49" s="18"/>
      <c r="BL49" s="18"/>
      <c r="BM49" s="18"/>
      <c r="BN49" s="18"/>
      <c r="BO49" s="18"/>
      <c r="BR49" s="18"/>
      <c r="BS49" s="18"/>
      <c r="BT49" s="18"/>
      <c r="BU49" s="18"/>
      <c r="BV49" s="18"/>
      <c r="BW49" s="18"/>
      <c r="BX49" s="18"/>
      <c r="BY49" s="18"/>
      <c r="BZ49" s="18"/>
      <c r="CA49" s="18"/>
      <c r="CB49" s="18"/>
      <c r="CC49" s="18"/>
    </row>
    <row r="50" spans="1:81" ht="14.25" customHeight="1">
      <c r="A50" s="146" t="s">
        <v>26</v>
      </c>
      <c r="B50" s="150">
        <v>0.06</v>
      </c>
      <c r="C50" s="151" t="s">
        <v>27</v>
      </c>
      <c r="D50" s="145"/>
      <c r="E50" s="142"/>
      <c r="F50" s="141">
        <f t="shared" ref="F50:F53" si="72">SUM(N50:Y50)</f>
        <v>-3996</v>
      </c>
      <c r="G50" s="141">
        <f t="shared" ref="G50:G53" si="73">SUM(AB50:AM50)</f>
        <v>-3996</v>
      </c>
      <c r="H50" s="141">
        <f t="shared" ref="H50:H53" si="74">SUM(AP50:BA50)</f>
        <v>-3996</v>
      </c>
      <c r="I50" s="141">
        <f t="shared" ref="I50:I53" si="75">SUM(BD50:BO50)</f>
        <v>-3996</v>
      </c>
      <c r="J50" s="141">
        <f t="shared" ref="J50:J53" si="76">SUM(BR50:CC50)</f>
        <v>-3996</v>
      </c>
      <c r="N50" s="18">
        <f t="shared" ref="N50:Y53" si="77">SUM(N$43:N$47)*$B50</f>
        <v>-333</v>
      </c>
      <c r="O50" s="18">
        <f t="shared" si="77"/>
        <v>-333</v>
      </c>
      <c r="P50" s="18">
        <f t="shared" si="77"/>
        <v>-333</v>
      </c>
      <c r="Q50" s="18">
        <f t="shared" si="77"/>
        <v>-333</v>
      </c>
      <c r="R50" s="18">
        <f t="shared" si="77"/>
        <v>-333</v>
      </c>
      <c r="S50" s="18">
        <f t="shared" si="77"/>
        <v>-333</v>
      </c>
      <c r="T50" s="18">
        <f t="shared" si="77"/>
        <v>-333</v>
      </c>
      <c r="U50" s="18">
        <f t="shared" si="77"/>
        <v>-333</v>
      </c>
      <c r="V50" s="18">
        <f t="shared" si="77"/>
        <v>-333</v>
      </c>
      <c r="W50" s="18">
        <f t="shared" si="77"/>
        <v>-333</v>
      </c>
      <c r="X50" s="18">
        <f t="shared" si="77"/>
        <v>-333</v>
      </c>
      <c r="Y50" s="18">
        <f t="shared" si="77"/>
        <v>-333</v>
      </c>
      <c r="AB50" s="18">
        <f t="shared" ref="AB50:AM53" si="78">SUM(AB$43:AB$47)*$B50</f>
        <v>-333</v>
      </c>
      <c r="AC50" s="18">
        <f t="shared" si="78"/>
        <v>-333</v>
      </c>
      <c r="AD50" s="18">
        <f t="shared" si="78"/>
        <v>-333</v>
      </c>
      <c r="AE50" s="18">
        <f t="shared" si="78"/>
        <v>-333</v>
      </c>
      <c r="AF50" s="18">
        <f t="shared" si="78"/>
        <v>-333</v>
      </c>
      <c r="AG50" s="18">
        <f t="shared" si="78"/>
        <v>-333</v>
      </c>
      <c r="AH50" s="18">
        <f t="shared" si="78"/>
        <v>-333</v>
      </c>
      <c r="AI50" s="18">
        <f t="shared" si="78"/>
        <v>-333</v>
      </c>
      <c r="AJ50" s="18">
        <f t="shared" si="78"/>
        <v>-333</v>
      </c>
      <c r="AK50" s="18">
        <f t="shared" si="78"/>
        <v>-333</v>
      </c>
      <c r="AL50" s="18">
        <f t="shared" si="78"/>
        <v>-333</v>
      </c>
      <c r="AM50" s="18">
        <f t="shared" si="78"/>
        <v>-333</v>
      </c>
      <c r="AP50" s="18">
        <f t="shared" ref="AP50:BA53" si="79">SUM(AP$43:AP$47)*$B50</f>
        <v>-333</v>
      </c>
      <c r="AQ50" s="18">
        <f t="shared" si="79"/>
        <v>-333</v>
      </c>
      <c r="AR50" s="18">
        <f t="shared" si="79"/>
        <v>-333</v>
      </c>
      <c r="AS50" s="18">
        <f t="shared" si="79"/>
        <v>-333</v>
      </c>
      <c r="AT50" s="18">
        <f t="shared" si="79"/>
        <v>-333</v>
      </c>
      <c r="AU50" s="18">
        <f t="shared" si="79"/>
        <v>-333</v>
      </c>
      <c r="AV50" s="18">
        <f t="shared" si="79"/>
        <v>-333</v>
      </c>
      <c r="AW50" s="18">
        <f t="shared" si="79"/>
        <v>-333</v>
      </c>
      <c r="AX50" s="18">
        <f t="shared" si="79"/>
        <v>-333</v>
      </c>
      <c r="AY50" s="18">
        <f t="shared" si="79"/>
        <v>-333</v>
      </c>
      <c r="AZ50" s="18">
        <f t="shared" si="79"/>
        <v>-333</v>
      </c>
      <c r="BA50" s="18">
        <f t="shared" si="79"/>
        <v>-333</v>
      </c>
      <c r="BD50" s="18">
        <f t="shared" ref="BD50:BO53" si="80">SUM(BD$43:BD$47)*$B50</f>
        <v>-333</v>
      </c>
      <c r="BE50" s="18">
        <f t="shared" si="80"/>
        <v>-333</v>
      </c>
      <c r="BF50" s="18">
        <f t="shared" si="80"/>
        <v>-333</v>
      </c>
      <c r="BG50" s="18">
        <f t="shared" si="80"/>
        <v>-333</v>
      </c>
      <c r="BH50" s="18">
        <f t="shared" si="80"/>
        <v>-333</v>
      </c>
      <c r="BI50" s="18">
        <f t="shared" si="80"/>
        <v>-333</v>
      </c>
      <c r="BJ50" s="18">
        <f t="shared" si="80"/>
        <v>-333</v>
      </c>
      <c r="BK50" s="18">
        <f t="shared" si="80"/>
        <v>-333</v>
      </c>
      <c r="BL50" s="18">
        <f t="shared" si="80"/>
        <v>-333</v>
      </c>
      <c r="BM50" s="18">
        <f t="shared" si="80"/>
        <v>-333</v>
      </c>
      <c r="BN50" s="18">
        <f t="shared" si="80"/>
        <v>-333</v>
      </c>
      <c r="BO50" s="18">
        <f t="shared" si="80"/>
        <v>-333</v>
      </c>
      <c r="BR50" s="18">
        <f t="shared" ref="BR50:CC53" si="81">SUM(BR$43:BR$47)*$B50</f>
        <v>-333</v>
      </c>
      <c r="BS50" s="18">
        <f t="shared" si="81"/>
        <v>-333</v>
      </c>
      <c r="BT50" s="18">
        <f t="shared" si="81"/>
        <v>-333</v>
      </c>
      <c r="BU50" s="18">
        <f t="shared" si="81"/>
        <v>-333</v>
      </c>
      <c r="BV50" s="18">
        <f t="shared" si="81"/>
        <v>-333</v>
      </c>
      <c r="BW50" s="18">
        <f t="shared" si="81"/>
        <v>-333</v>
      </c>
      <c r="BX50" s="18">
        <f t="shared" si="81"/>
        <v>-333</v>
      </c>
      <c r="BY50" s="18">
        <f t="shared" si="81"/>
        <v>-333</v>
      </c>
      <c r="BZ50" s="18">
        <f t="shared" si="81"/>
        <v>-333</v>
      </c>
      <c r="CA50" s="18">
        <f t="shared" si="81"/>
        <v>-333</v>
      </c>
      <c r="CB50" s="18">
        <f t="shared" si="81"/>
        <v>-333</v>
      </c>
      <c r="CC50" s="18">
        <f t="shared" si="81"/>
        <v>-333</v>
      </c>
    </row>
    <row r="51" spans="1:81" ht="14.25" customHeight="1">
      <c r="A51" s="146" t="s">
        <v>28</v>
      </c>
      <c r="B51" s="150">
        <v>1.4999999999999999E-2</v>
      </c>
      <c r="C51" s="151" t="s">
        <v>29</v>
      </c>
      <c r="D51" s="145"/>
      <c r="E51" s="142"/>
      <c r="F51" s="141">
        <f t="shared" si="72"/>
        <v>-999</v>
      </c>
      <c r="G51" s="141">
        <f t="shared" si="73"/>
        <v>-999</v>
      </c>
      <c r="H51" s="141">
        <f t="shared" si="74"/>
        <v>-999</v>
      </c>
      <c r="I51" s="141">
        <f t="shared" si="75"/>
        <v>-999</v>
      </c>
      <c r="J51" s="141">
        <f t="shared" si="76"/>
        <v>-999</v>
      </c>
      <c r="N51" s="18">
        <f t="shared" si="77"/>
        <v>-83.25</v>
      </c>
      <c r="O51" s="18">
        <f t="shared" si="77"/>
        <v>-83.25</v>
      </c>
      <c r="P51" s="18">
        <f t="shared" si="77"/>
        <v>-83.25</v>
      </c>
      <c r="Q51" s="18">
        <f t="shared" si="77"/>
        <v>-83.25</v>
      </c>
      <c r="R51" s="18">
        <f t="shared" si="77"/>
        <v>-83.25</v>
      </c>
      <c r="S51" s="18">
        <f t="shared" si="77"/>
        <v>-83.25</v>
      </c>
      <c r="T51" s="18">
        <f t="shared" si="77"/>
        <v>-83.25</v>
      </c>
      <c r="U51" s="18">
        <f t="shared" si="77"/>
        <v>-83.25</v>
      </c>
      <c r="V51" s="18">
        <f t="shared" si="77"/>
        <v>-83.25</v>
      </c>
      <c r="W51" s="18">
        <f t="shared" si="77"/>
        <v>-83.25</v>
      </c>
      <c r="X51" s="18">
        <f t="shared" si="77"/>
        <v>-83.25</v>
      </c>
      <c r="Y51" s="18">
        <f t="shared" si="77"/>
        <v>-83.25</v>
      </c>
      <c r="AB51" s="18">
        <f t="shared" si="78"/>
        <v>-83.25</v>
      </c>
      <c r="AC51" s="18">
        <f t="shared" si="78"/>
        <v>-83.25</v>
      </c>
      <c r="AD51" s="18">
        <f t="shared" si="78"/>
        <v>-83.25</v>
      </c>
      <c r="AE51" s="18">
        <f t="shared" si="78"/>
        <v>-83.25</v>
      </c>
      <c r="AF51" s="18">
        <f t="shared" si="78"/>
        <v>-83.25</v>
      </c>
      <c r="AG51" s="18">
        <f t="shared" si="78"/>
        <v>-83.25</v>
      </c>
      <c r="AH51" s="18">
        <f t="shared" si="78"/>
        <v>-83.25</v>
      </c>
      <c r="AI51" s="18">
        <f t="shared" si="78"/>
        <v>-83.25</v>
      </c>
      <c r="AJ51" s="18">
        <f t="shared" si="78"/>
        <v>-83.25</v>
      </c>
      <c r="AK51" s="18">
        <f t="shared" si="78"/>
        <v>-83.25</v>
      </c>
      <c r="AL51" s="18">
        <f t="shared" si="78"/>
        <v>-83.25</v>
      </c>
      <c r="AM51" s="18">
        <f t="shared" si="78"/>
        <v>-83.25</v>
      </c>
      <c r="AP51" s="18">
        <f t="shared" si="79"/>
        <v>-83.25</v>
      </c>
      <c r="AQ51" s="18">
        <f t="shared" si="79"/>
        <v>-83.25</v>
      </c>
      <c r="AR51" s="18">
        <f t="shared" si="79"/>
        <v>-83.25</v>
      </c>
      <c r="AS51" s="18">
        <f t="shared" si="79"/>
        <v>-83.25</v>
      </c>
      <c r="AT51" s="18">
        <f t="shared" si="79"/>
        <v>-83.25</v>
      </c>
      <c r="AU51" s="18">
        <f t="shared" si="79"/>
        <v>-83.25</v>
      </c>
      <c r="AV51" s="18">
        <f t="shared" si="79"/>
        <v>-83.25</v>
      </c>
      <c r="AW51" s="18">
        <f t="shared" si="79"/>
        <v>-83.25</v>
      </c>
      <c r="AX51" s="18">
        <f t="shared" si="79"/>
        <v>-83.25</v>
      </c>
      <c r="AY51" s="18">
        <f t="shared" si="79"/>
        <v>-83.25</v>
      </c>
      <c r="AZ51" s="18">
        <f t="shared" si="79"/>
        <v>-83.25</v>
      </c>
      <c r="BA51" s="18">
        <f t="shared" si="79"/>
        <v>-83.25</v>
      </c>
      <c r="BD51" s="18">
        <f t="shared" si="80"/>
        <v>-83.25</v>
      </c>
      <c r="BE51" s="18">
        <f t="shared" si="80"/>
        <v>-83.25</v>
      </c>
      <c r="BF51" s="18">
        <f t="shared" si="80"/>
        <v>-83.25</v>
      </c>
      <c r="BG51" s="18">
        <f t="shared" si="80"/>
        <v>-83.25</v>
      </c>
      <c r="BH51" s="18">
        <f t="shared" si="80"/>
        <v>-83.25</v>
      </c>
      <c r="BI51" s="18">
        <f t="shared" si="80"/>
        <v>-83.25</v>
      </c>
      <c r="BJ51" s="18">
        <f t="shared" si="80"/>
        <v>-83.25</v>
      </c>
      <c r="BK51" s="18">
        <f t="shared" si="80"/>
        <v>-83.25</v>
      </c>
      <c r="BL51" s="18">
        <f t="shared" si="80"/>
        <v>-83.25</v>
      </c>
      <c r="BM51" s="18">
        <f t="shared" si="80"/>
        <v>-83.25</v>
      </c>
      <c r="BN51" s="18">
        <f t="shared" si="80"/>
        <v>-83.25</v>
      </c>
      <c r="BO51" s="18">
        <f t="shared" si="80"/>
        <v>-83.25</v>
      </c>
      <c r="BR51" s="18">
        <f t="shared" si="81"/>
        <v>-83.25</v>
      </c>
      <c r="BS51" s="18">
        <f t="shared" si="81"/>
        <v>-83.25</v>
      </c>
      <c r="BT51" s="18">
        <f t="shared" si="81"/>
        <v>-83.25</v>
      </c>
      <c r="BU51" s="18">
        <f t="shared" si="81"/>
        <v>-83.25</v>
      </c>
      <c r="BV51" s="18">
        <f t="shared" si="81"/>
        <v>-83.25</v>
      </c>
      <c r="BW51" s="18">
        <f t="shared" si="81"/>
        <v>-83.25</v>
      </c>
      <c r="BX51" s="18">
        <f t="shared" si="81"/>
        <v>-83.25</v>
      </c>
      <c r="BY51" s="18">
        <f t="shared" si="81"/>
        <v>-83.25</v>
      </c>
      <c r="BZ51" s="18">
        <f t="shared" si="81"/>
        <v>-83.25</v>
      </c>
      <c r="CA51" s="18">
        <f t="shared" si="81"/>
        <v>-83.25</v>
      </c>
      <c r="CB51" s="18">
        <f t="shared" si="81"/>
        <v>-83.25</v>
      </c>
      <c r="CC51" s="18">
        <f t="shared" si="81"/>
        <v>-83.25</v>
      </c>
    </row>
    <row r="52" spans="1:81" ht="14.25" customHeight="1">
      <c r="A52" s="146" t="s">
        <v>30</v>
      </c>
      <c r="B52" s="150">
        <v>0.01</v>
      </c>
      <c r="C52" s="151" t="s">
        <v>32</v>
      </c>
      <c r="D52" s="145"/>
      <c r="E52" s="142"/>
      <c r="F52" s="141">
        <f t="shared" si="72"/>
        <v>-666</v>
      </c>
      <c r="G52" s="141">
        <f t="shared" si="73"/>
        <v>-666</v>
      </c>
      <c r="H52" s="141">
        <f t="shared" si="74"/>
        <v>-666</v>
      </c>
      <c r="I52" s="141">
        <f t="shared" si="75"/>
        <v>-666</v>
      </c>
      <c r="J52" s="141">
        <f t="shared" si="76"/>
        <v>-666</v>
      </c>
      <c r="N52" s="18">
        <f t="shared" si="77"/>
        <v>-55.5</v>
      </c>
      <c r="O52" s="18">
        <f t="shared" si="77"/>
        <v>-55.5</v>
      </c>
      <c r="P52" s="18">
        <f t="shared" si="77"/>
        <v>-55.5</v>
      </c>
      <c r="Q52" s="18">
        <f t="shared" si="77"/>
        <v>-55.5</v>
      </c>
      <c r="R52" s="18">
        <f t="shared" si="77"/>
        <v>-55.5</v>
      </c>
      <c r="S52" s="18">
        <f t="shared" si="77"/>
        <v>-55.5</v>
      </c>
      <c r="T52" s="18">
        <f t="shared" si="77"/>
        <v>-55.5</v>
      </c>
      <c r="U52" s="18">
        <f t="shared" si="77"/>
        <v>-55.5</v>
      </c>
      <c r="V52" s="18">
        <f t="shared" si="77"/>
        <v>-55.5</v>
      </c>
      <c r="W52" s="18">
        <f t="shared" si="77"/>
        <v>-55.5</v>
      </c>
      <c r="X52" s="18">
        <f t="shared" si="77"/>
        <v>-55.5</v>
      </c>
      <c r="Y52" s="18">
        <f t="shared" si="77"/>
        <v>-55.5</v>
      </c>
      <c r="AB52" s="18">
        <f t="shared" si="78"/>
        <v>-55.5</v>
      </c>
      <c r="AC52" s="18">
        <f t="shared" si="78"/>
        <v>-55.5</v>
      </c>
      <c r="AD52" s="18">
        <f t="shared" si="78"/>
        <v>-55.5</v>
      </c>
      <c r="AE52" s="18">
        <f t="shared" si="78"/>
        <v>-55.5</v>
      </c>
      <c r="AF52" s="18">
        <f t="shared" si="78"/>
        <v>-55.5</v>
      </c>
      <c r="AG52" s="18">
        <f t="shared" si="78"/>
        <v>-55.5</v>
      </c>
      <c r="AH52" s="18">
        <f t="shared" si="78"/>
        <v>-55.5</v>
      </c>
      <c r="AI52" s="18">
        <f t="shared" si="78"/>
        <v>-55.5</v>
      </c>
      <c r="AJ52" s="18">
        <f t="shared" si="78"/>
        <v>-55.5</v>
      </c>
      <c r="AK52" s="18">
        <f t="shared" si="78"/>
        <v>-55.5</v>
      </c>
      <c r="AL52" s="18">
        <f t="shared" si="78"/>
        <v>-55.5</v>
      </c>
      <c r="AM52" s="18">
        <f t="shared" si="78"/>
        <v>-55.5</v>
      </c>
      <c r="AP52" s="18">
        <f t="shared" si="79"/>
        <v>-55.5</v>
      </c>
      <c r="AQ52" s="18">
        <f t="shared" si="79"/>
        <v>-55.5</v>
      </c>
      <c r="AR52" s="18">
        <f t="shared" si="79"/>
        <v>-55.5</v>
      </c>
      <c r="AS52" s="18">
        <f t="shared" si="79"/>
        <v>-55.5</v>
      </c>
      <c r="AT52" s="18">
        <f t="shared" si="79"/>
        <v>-55.5</v>
      </c>
      <c r="AU52" s="18">
        <f t="shared" si="79"/>
        <v>-55.5</v>
      </c>
      <c r="AV52" s="18">
        <f t="shared" si="79"/>
        <v>-55.5</v>
      </c>
      <c r="AW52" s="18">
        <f t="shared" si="79"/>
        <v>-55.5</v>
      </c>
      <c r="AX52" s="18">
        <f t="shared" si="79"/>
        <v>-55.5</v>
      </c>
      <c r="AY52" s="18">
        <f t="shared" si="79"/>
        <v>-55.5</v>
      </c>
      <c r="AZ52" s="18">
        <f t="shared" si="79"/>
        <v>-55.5</v>
      </c>
      <c r="BA52" s="18">
        <f t="shared" si="79"/>
        <v>-55.5</v>
      </c>
      <c r="BD52" s="18">
        <f t="shared" si="80"/>
        <v>-55.5</v>
      </c>
      <c r="BE52" s="18">
        <f t="shared" si="80"/>
        <v>-55.5</v>
      </c>
      <c r="BF52" s="18">
        <f t="shared" si="80"/>
        <v>-55.5</v>
      </c>
      <c r="BG52" s="18">
        <f t="shared" si="80"/>
        <v>-55.5</v>
      </c>
      <c r="BH52" s="18">
        <f t="shared" si="80"/>
        <v>-55.5</v>
      </c>
      <c r="BI52" s="18">
        <f t="shared" si="80"/>
        <v>-55.5</v>
      </c>
      <c r="BJ52" s="18">
        <f t="shared" si="80"/>
        <v>-55.5</v>
      </c>
      <c r="BK52" s="18">
        <f t="shared" si="80"/>
        <v>-55.5</v>
      </c>
      <c r="BL52" s="18">
        <f t="shared" si="80"/>
        <v>-55.5</v>
      </c>
      <c r="BM52" s="18">
        <f t="shared" si="80"/>
        <v>-55.5</v>
      </c>
      <c r="BN52" s="18">
        <f t="shared" si="80"/>
        <v>-55.5</v>
      </c>
      <c r="BO52" s="18">
        <f t="shared" si="80"/>
        <v>-55.5</v>
      </c>
      <c r="BR52" s="18">
        <f t="shared" si="81"/>
        <v>-55.5</v>
      </c>
      <c r="BS52" s="18">
        <f t="shared" si="81"/>
        <v>-55.5</v>
      </c>
      <c r="BT52" s="18">
        <f t="shared" si="81"/>
        <v>-55.5</v>
      </c>
      <c r="BU52" s="18">
        <f t="shared" si="81"/>
        <v>-55.5</v>
      </c>
      <c r="BV52" s="18">
        <f t="shared" si="81"/>
        <v>-55.5</v>
      </c>
      <c r="BW52" s="18">
        <f t="shared" si="81"/>
        <v>-55.5</v>
      </c>
      <c r="BX52" s="18">
        <f t="shared" si="81"/>
        <v>-55.5</v>
      </c>
      <c r="BY52" s="18">
        <f t="shared" si="81"/>
        <v>-55.5</v>
      </c>
      <c r="BZ52" s="18">
        <f t="shared" si="81"/>
        <v>-55.5</v>
      </c>
      <c r="CA52" s="18">
        <f t="shared" si="81"/>
        <v>-55.5</v>
      </c>
      <c r="CB52" s="18">
        <f t="shared" si="81"/>
        <v>-55.5</v>
      </c>
      <c r="CC52" s="18">
        <f t="shared" si="81"/>
        <v>-55.5</v>
      </c>
    </row>
    <row r="53" spans="1:81" ht="14.25" customHeight="1">
      <c r="A53" s="146" t="s">
        <v>31</v>
      </c>
      <c r="B53" s="150">
        <v>2E-3</v>
      </c>
      <c r="C53" s="151" t="s">
        <v>33</v>
      </c>
      <c r="D53" s="145"/>
      <c r="E53" s="142"/>
      <c r="F53" s="141">
        <f t="shared" si="72"/>
        <v>-133.19999999999996</v>
      </c>
      <c r="G53" s="141">
        <f t="shared" si="73"/>
        <v>-133.19999999999996</v>
      </c>
      <c r="H53" s="141">
        <f t="shared" si="74"/>
        <v>-133.19999999999996</v>
      </c>
      <c r="I53" s="141">
        <f t="shared" si="75"/>
        <v>-133.19999999999996</v>
      </c>
      <c r="J53" s="141">
        <f t="shared" si="76"/>
        <v>-133.19999999999996</v>
      </c>
      <c r="N53" s="18">
        <f t="shared" si="77"/>
        <v>-11.1</v>
      </c>
      <c r="O53" s="18">
        <f t="shared" si="77"/>
        <v>-11.1</v>
      </c>
      <c r="P53" s="18">
        <f t="shared" si="77"/>
        <v>-11.1</v>
      </c>
      <c r="Q53" s="18">
        <f t="shared" si="77"/>
        <v>-11.1</v>
      </c>
      <c r="R53" s="18">
        <f t="shared" si="77"/>
        <v>-11.1</v>
      </c>
      <c r="S53" s="18">
        <f t="shared" si="77"/>
        <v>-11.1</v>
      </c>
      <c r="T53" s="18">
        <f t="shared" si="77"/>
        <v>-11.1</v>
      </c>
      <c r="U53" s="18">
        <f t="shared" si="77"/>
        <v>-11.1</v>
      </c>
      <c r="V53" s="18">
        <f t="shared" si="77"/>
        <v>-11.1</v>
      </c>
      <c r="W53" s="18">
        <f t="shared" si="77"/>
        <v>-11.1</v>
      </c>
      <c r="X53" s="18">
        <f t="shared" si="77"/>
        <v>-11.1</v>
      </c>
      <c r="Y53" s="18">
        <f t="shared" si="77"/>
        <v>-11.1</v>
      </c>
      <c r="AB53" s="18">
        <f t="shared" si="78"/>
        <v>-11.1</v>
      </c>
      <c r="AC53" s="18">
        <f t="shared" si="78"/>
        <v>-11.1</v>
      </c>
      <c r="AD53" s="18">
        <f t="shared" si="78"/>
        <v>-11.1</v>
      </c>
      <c r="AE53" s="18">
        <f t="shared" si="78"/>
        <v>-11.1</v>
      </c>
      <c r="AF53" s="18">
        <f t="shared" si="78"/>
        <v>-11.1</v>
      </c>
      <c r="AG53" s="18">
        <f t="shared" si="78"/>
        <v>-11.1</v>
      </c>
      <c r="AH53" s="18">
        <f t="shared" si="78"/>
        <v>-11.1</v>
      </c>
      <c r="AI53" s="18">
        <f t="shared" si="78"/>
        <v>-11.1</v>
      </c>
      <c r="AJ53" s="18">
        <f t="shared" si="78"/>
        <v>-11.1</v>
      </c>
      <c r="AK53" s="18">
        <f t="shared" si="78"/>
        <v>-11.1</v>
      </c>
      <c r="AL53" s="18">
        <f t="shared" si="78"/>
        <v>-11.1</v>
      </c>
      <c r="AM53" s="18">
        <f t="shared" si="78"/>
        <v>-11.1</v>
      </c>
      <c r="AP53" s="18">
        <f t="shared" si="79"/>
        <v>-11.1</v>
      </c>
      <c r="AQ53" s="18">
        <f t="shared" si="79"/>
        <v>-11.1</v>
      </c>
      <c r="AR53" s="18">
        <f t="shared" si="79"/>
        <v>-11.1</v>
      </c>
      <c r="AS53" s="18">
        <f t="shared" si="79"/>
        <v>-11.1</v>
      </c>
      <c r="AT53" s="18">
        <f t="shared" si="79"/>
        <v>-11.1</v>
      </c>
      <c r="AU53" s="18">
        <f t="shared" si="79"/>
        <v>-11.1</v>
      </c>
      <c r="AV53" s="18">
        <f t="shared" si="79"/>
        <v>-11.1</v>
      </c>
      <c r="AW53" s="18">
        <f t="shared" si="79"/>
        <v>-11.1</v>
      </c>
      <c r="AX53" s="18">
        <f t="shared" si="79"/>
        <v>-11.1</v>
      </c>
      <c r="AY53" s="18">
        <f t="shared" si="79"/>
        <v>-11.1</v>
      </c>
      <c r="AZ53" s="18">
        <f t="shared" si="79"/>
        <v>-11.1</v>
      </c>
      <c r="BA53" s="18">
        <f t="shared" si="79"/>
        <v>-11.1</v>
      </c>
      <c r="BD53" s="18">
        <f t="shared" si="80"/>
        <v>-11.1</v>
      </c>
      <c r="BE53" s="18">
        <f t="shared" si="80"/>
        <v>-11.1</v>
      </c>
      <c r="BF53" s="18">
        <f t="shared" si="80"/>
        <v>-11.1</v>
      </c>
      <c r="BG53" s="18">
        <f t="shared" si="80"/>
        <v>-11.1</v>
      </c>
      <c r="BH53" s="18">
        <f t="shared" si="80"/>
        <v>-11.1</v>
      </c>
      <c r="BI53" s="18">
        <f t="shared" si="80"/>
        <v>-11.1</v>
      </c>
      <c r="BJ53" s="18">
        <f t="shared" si="80"/>
        <v>-11.1</v>
      </c>
      <c r="BK53" s="18">
        <f t="shared" si="80"/>
        <v>-11.1</v>
      </c>
      <c r="BL53" s="18">
        <f t="shared" si="80"/>
        <v>-11.1</v>
      </c>
      <c r="BM53" s="18">
        <f t="shared" si="80"/>
        <v>-11.1</v>
      </c>
      <c r="BN53" s="18">
        <f t="shared" si="80"/>
        <v>-11.1</v>
      </c>
      <c r="BO53" s="18">
        <f t="shared" si="80"/>
        <v>-11.1</v>
      </c>
      <c r="BR53" s="18">
        <f t="shared" si="81"/>
        <v>-11.1</v>
      </c>
      <c r="BS53" s="18">
        <f t="shared" si="81"/>
        <v>-11.1</v>
      </c>
      <c r="BT53" s="18">
        <f t="shared" si="81"/>
        <v>-11.1</v>
      </c>
      <c r="BU53" s="18">
        <f t="shared" si="81"/>
        <v>-11.1</v>
      </c>
      <c r="BV53" s="18">
        <f t="shared" si="81"/>
        <v>-11.1</v>
      </c>
      <c r="BW53" s="18">
        <f t="shared" si="81"/>
        <v>-11.1</v>
      </c>
      <c r="BX53" s="18">
        <f t="shared" si="81"/>
        <v>-11.1</v>
      </c>
      <c r="BY53" s="18">
        <f t="shared" si="81"/>
        <v>-11.1</v>
      </c>
      <c r="BZ53" s="18">
        <f t="shared" si="81"/>
        <v>-11.1</v>
      </c>
      <c r="CA53" s="18">
        <f t="shared" si="81"/>
        <v>-11.1</v>
      </c>
      <c r="CB53" s="18">
        <f t="shared" si="81"/>
        <v>-11.1</v>
      </c>
      <c r="CC53" s="18">
        <f t="shared" si="81"/>
        <v>-11.1</v>
      </c>
    </row>
    <row r="54" spans="1:81" ht="14.25" customHeight="1">
      <c r="A54" s="135"/>
      <c r="B54" s="136"/>
      <c r="C54" s="137"/>
      <c r="D54" s="1"/>
      <c r="F54" s="18"/>
      <c r="G54" s="18"/>
      <c r="H54" s="18"/>
      <c r="I54" s="18"/>
      <c r="J54" s="18"/>
      <c r="N54" s="18"/>
      <c r="O54" s="18"/>
      <c r="P54" s="18"/>
      <c r="Q54" s="18"/>
      <c r="R54" s="18"/>
      <c r="S54" s="18"/>
      <c r="T54" s="18"/>
      <c r="U54" s="18"/>
      <c r="V54" s="18"/>
      <c r="W54" s="18"/>
      <c r="X54" s="18"/>
      <c r="Y54" s="18"/>
      <c r="AB54" s="18"/>
      <c r="AC54" s="18"/>
      <c r="AD54" s="18"/>
      <c r="AE54" s="18"/>
      <c r="AF54" s="18"/>
      <c r="AG54" s="18"/>
      <c r="AH54" s="18"/>
      <c r="AI54" s="18"/>
      <c r="AJ54" s="18"/>
      <c r="AK54" s="18"/>
      <c r="AL54" s="18"/>
      <c r="AM54" s="18"/>
      <c r="AP54" s="18"/>
      <c r="AQ54" s="18"/>
      <c r="AR54" s="18"/>
      <c r="AS54" s="18"/>
      <c r="AT54" s="18"/>
      <c r="AU54" s="18"/>
      <c r="AV54" s="18"/>
      <c r="AW54" s="18"/>
      <c r="AX54" s="18"/>
      <c r="AY54" s="18"/>
      <c r="AZ54" s="18"/>
      <c r="BA54" s="18"/>
      <c r="BD54" s="18"/>
      <c r="BE54" s="18"/>
      <c r="BF54" s="18"/>
      <c r="BG54" s="18"/>
      <c r="BH54" s="18"/>
      <c r="BI54" s="18"/>
      <c r="BJ54" s="18"/>
      <c r="BK54" s="18"/>
      <c r="BL54" s="18"/>
      <c r="BM54" s="18"/>
      <c r="BN54" s="18"/>
      <c r="BO54" s="18"/>
      <c r="BR54" s="18"/>
      <c r="BS54" s="18"/>
      <c r="BT54" s="18"/>
      <c r="BU54" s="18"/>
      <c r="BV54" s="18"/>
      <c r="BW54" s="18"/>
      <c r="BX54" s="18"/>
      <c r="BY54" s="18"/>
      <c r="BZ54" s="18"/>
      <c r="CA54" s="18"/>
      <c r="CB54" s="18"/>
      <c r="CC54" s="18"/>
    </row>
    <row r="55" spans="1:81" ht="14.25" customHeight="1">
      <c r="A55" s="4"/>
      <c r="B55" s="23" t="s">
        <v>0</v>
      </c>
      <c r="C55" s="22" t="s">
        <v>20</v>
      </c>
      <c r="D55" s="1"/>
    </row>
    <row r="56" spans="1:81" ht="14.25" customHeight="1">
      <c r="A56" s="140" t="s">
        <v>36</v>
      </c>
      <c r="B56" s="143">
        <v>2500</v>
      </c>
      <c r="C56" s="144">
        <f t="shared" ref="C56:C64" si="82">B56*12</f>
        <v>30000</v>
      </c>
      <c r="D56" s="145"/>
      <c r="E56" s="142"/>
      <c r="F56" s="141">
        <f t="shared" ref="F56:F64" si="83">SUM(N56:Y56)</f>
        <v>-30000</v>
      </c>
      <c r="G56" s="141">
        <f t="shared" ref="G56:G64" si="84">SUM(AB56:AM56)</f>
        <v>-30000</v>
      </c>
      <c r="H56" s="141">
        <f t="shared" ref="H56:H64" si="85">SUM(AP56:BA56)</f>
        <v>-30000</v>
      </c>
      <c r="I56" s="141">
        <f t="shared" ref="I56:I64" si="86">SUM(BD56:BO56)</f>
        <v>-30000</v>
      </c>
      <c r="J56" s="141">
        <f t="shared" ref="J56:J64" si="87">SUM(BR56:CC56)</f>
        <v>-30000</v>
      </c>
      <c r="N56" s="18">
        <f t="shared" ref="N56:Y56" si="88">-$B$56</f>
        <v>-2500</v>
      </c>
      <c r="O56" s="18">
        <f t="shared" si="88"/>
        <v>-2500</v>
      </c>
      <c r="P56" s="18">
        <f t="shared" si="88"/>
        <v>-2500</v>
      </c>
      <c r="Q56" s="18">
        <f t="shared" si="88"/>
        <v>-2500</v>
      </c>
      <c r="R56" s="18">
        <f t="shared" si="88"/>
        <v>-2500</v>
      </c>
      <c r="S56" s="18">
        <f t="shared" si="88"/>
        <v>-2500</v>
      </c>
      <c r="T56" s="18">
        <f t="shared" si="88"/>
        <v>-2500</v>
      </c>
      <c r="U56" s="18">
        <f t="shared" si="88"/>
        <v>-2500</v>
      </c>
      <c r="V56" s="18">
        <f t="shared" si="88"/>
        <v>-2500</v>
      </c>
      <c r="W56" s="18">
        <f t="shared" si="88"/>
        <v>-2500</v>
      </c>
      <c r="X56" s="18">
        <f t="shared" si="88"/>
        <v>-2500</v>
      </c>
      <c r="Y56" s="18">
        <f t="shared" si="88"/>
        <v>-2500</v>
      </c>
      <c r="AB56" s="18">
        <f t="shared" ref="AB56:AM56" si="89">-$B$56</f>
        <v>-2500</v>
      </c>
      <c r="AC56" s="18">
        <f t="shared" si="89"/>
        <v>-2500</v>
      </c>
      <c r="AD56" s="18">
        <f t="shared" si="89"/>
        <v>-2500</v>
      </c>
      <c r="AE56" s="18">
        <f t="shared" si="89"/>
        <v>-2500</v>
      </c>
      <c r="AF56" s="18">
        <f t="shared" si="89"/>
        <v>-2500</v>
      </c>
      <c r="AG56" s="18">
        <f t="shared" si="89"/>
        <v>-2500</v>
      </c>
      <c r="AH56" s="18">
        <f t="shared" si="89"/>
        <v>-2500</v>
      </c>
      <c r="AI56" s="18">
        <f t="shared" si="89"/>
        <v>-2500</v>
      </c>
      <c r="AJ56" s="18">
        <f t="shared" si="89"/>
        <v>-2500</v>
      </c>
      <c r="AK56" s="18">
        <f t="shared" si="89"/>
        <v>-2500</v>
      </c>
      <c r="AL56" s="18">
        <f t="shared" si="89"/>
        <v>-2500</v>
      </c>
      <c r="AM56" s="18">
        <f t="shared" si="89"/>
        <v>-2500</v>
      </c>
      <c r="AP56" s="18">
        <f t="shared" ref="AP56:BA56" si="90">-$B$56</f>
        <v>-2500</v>
      </c>
      <c r="AQ56" s="18">
        <f t="shared" si="90"/>
        <v>-2500</v>
      </c>
      <c r="AR56" s="18">
        <f t="shared" si="90"/>
        <v>-2500</v>
      </c>
      <c r="AS56" s="18">
        <f t="shared" si="90"/>
        <v>-2500</v>
      </c>
      <c r="AT56" s="18">
        <f t="shared" si="90"/>
        <v>-2500</v>
      </c>
      <c r="AU56" s="18">
        <f t="shared" si="90"/>
        <v>-2500</v>
      </c>
      <c r="AV56" s="18">
        <f t="shared" si="90"/>
        <v>-2500</v>
      </c>
      <c r="AW56" s="18">
        <f t="shared" si="90"/>
        <v>-2500</v>
      </c>
      <c r="AX56" s="18">
        <f t="shared" si="90"/>
        <v>-2500</v>
      </c>
      <c r="AY56" s="18">
        <f t="shared" si="90"/>
        <v>-2500</v>
      </c>
      <c r="AZ56" s="18">
        <f t="shared" si="90"/>
        <v>-2500</v>
      </c>
      <c r="BA56" s="18">
        <f t="shared" si="90"/>
        <v>-2500</v>
      </c>
      <c r="BD56" s="18">
        <f t="shared" ref="BD56:BO56" si="91">-$B$56</f>
        <v>-2500</v>
      </c>
      <c r="BE56" s="18">
        <f t="shared" si="91"/>
        <v>-2500</v>
      </c>
      <c r="BF56" s="18">
        <f t="shared" si="91"/>
        <v>-2500</v>
      </c>
      <c r="BG56" s="18">
        <f t="shared" si="91"/>
        <v>-2500</v>
      </c>
      <c r="BH56" s="18">
        <f t="shared" si="91"/>
        <v>-2500</v>
      </c>
      <c r="BI56" s="18">
        <f t="shared" si="91"/>
        <v>-2500</v>
      </c>
      <c r="BJ56" s="18">
        <f t="shared" si="91"/>
        <v>-2500</v>
      </c>
      <c r="BK56" s="18">
        <f t="shared" si="91"/>
        <v>-2500</v>
      </c>
      <c r="BL56" s="18">
        <f t="shared" si="91"/>
        <v>-2500</v>
      </c>
      <c r="BM56" s="18">
        <f t="shared" si="91"/>
        <v>-2500</v>
      </c>
      <c r="BN56" s="18">
        <f t="shared" si="91"/>
        <v>-2500</v>
      </c>
      <c r="BO56" s="18">
        <f t="shared" si="91"/>
        <v>-2500</v>
      </c>
      <c r="BR56" s="18">
        <f t="shared" ref="BR56:CC56" si="92">-$B$56</f>
        <v>-2500</v>
      </c>
      <c r="BS56" s="18">
        <f t="shared" si="92"/>
        <v>-2500</v>
      </c>
      <c r="BT56" s="18">
        <f t="shared" si="92"/>
        <v>-2500</v>
      </c>
      <c r="BU56" s="18">
        <f t="shared" si="92"/>
        <v>-2500</v>
      </c>
      <c r="BV56" s="18">
        <f t="shared" si="92"/>
        <v>-2500</v>
      </c>
      <c r="BW56" s="18">
        <f t="shared" si="92"/>
        <v>-2500</v>
      </c>
      <c r="BX56" s="18">
        <f t="shared" si="92"/>
        <v>-2500</v>
      </c>
      <c r="BY56" s="18">
        <f t="shared" si="92"/>
        <v>-2500</v>
      </c>
      <c r="BZ56" s="18">
        <f t="shared" si="92"/>
        <v>-2500</v>
      </c>
      <c r="CA56" s="18">
        <f t="shared" si="92"/>
        <v>-2500</v>
      </c>
      <c r="CB56" s="18">
        <f t="shared" si="92"/>
        <v>-2500</v>
      </c>
      <c r="CC56" s="18">
        <f t="shared" si="92"/>
        <v>-2500</v>
      </c>
    </row>
    <row r="57" spans="1:81" ht="14.25" customHeight="1">
      <c r="A57" s="140" t="s">
        <v>710</v>
      </c>
      <c r="B57" s="143">
        <v>1150</v>
      </c>
      <c r="C57" s="144">
        <f t="shared" si="82"/>
        <v>13800</v>
      </c>
      <c r="D57" s="145"/>
      <c r="E57" s="142"/>
      <c r="F57" s="141">
        <f t="shared" ref="F57" si="93">SUM(N57:Y57)</f>
        <v>-13800</v>
      </c>
      <c r="G57" s="141">
        <f t="shared" ref="G57" si="94">SUM(AB57:AM57)</f>
        <v>-13800</v>
      </c>
      <c r="H57" s="141">
        <f t="shared" ref="H57" si="95">SUM(AP57:BA57)</f>
        <v>-13800</v>
      </c>
      <c r="I57" s="141">
        <f t="shared" ref="I57" si="96">SUM(BD57:BO57)</f>
        <v>-13800</v>
      </c>
      <c r="J57" s="141">
        <f t="shared" ref="J57" si="97">SUM(BR57:CC57)</f>
        <v>-13800</v>
      </c>
      <c r="N57" s="18">
        <f t="shared" ref="N57:Y57" si="98">-$B$57</f>
        <v>-1150</v>
      </c>
      <c r="O57" s="18">
        <f t="shared" si="98"/>
        <v>-1150</v>
      </c>
      <c r="P57" s="18">
        <f t="shared" si="98"/>
        <v>-1150</v>
      </c>
      <c r="Q57" s="18">
        <f t="shared" si="98"/>
        <v>-1150</v>
      </c>
      <c r="R57" s="18">
        <f t="shared" si="98"/>
        <v>-1150</v>
      </c>
      <c r="S57" s="18">
        <f t="shared" si="98"/>
        <v>-1150</v>
      </c>
      <c r="T57" s="18">
        <f t="shared" si="98"/>
        <v>-1150</v>
      </c>
      <c r="U57" s="18">
        <f t="shared" si="98"/>
        <v>-1150</v>
      </c>
      <c r="V57" s="18">
        <f t="shared" si="98"/>
        <v>-1150</v>
      </c>
      <c r="W57" s="18">
        <f t="shared" si="98"/>
        <v>-1150</v>
      </c>
      <c r="X57" s="18">
        <f t="shared" si="98"/>
        <v>-1150</v>
      </c>
      <c r="Y57" s="18">
        <f t="shared" si="98"/>
        <v>-1150</v>
      </c>
      <c r="AB57" s="18">
        <f t="shared" ref="AB57:AM57" si="99">-$B$57</f>
        <v>-1150</v>
      </c>
      <c r="AC57" s="18">
        <f t="shared" si="99"/>
        <v>-1150</v>
      </c>
      <c r="AD57" s="18">
        <f t="shared" si="99"/>
        <v>-1150</v>
      </c>
      <c r="AE57" s="18">
        <f t="shared" si="99"/>
        <v>-1150</v>
      </c>
      <c r="AF57" s="18">
        <f t="shared" si="99"/>
        <v>-1150</v>
      </c>
      <c r="AG57" s="18">
        <f t="shared" si="99"/>
        <v>-1150</v>
      </c>
      <c r="AH57" s="18">
        <f t="shared" si="99"/>
        <v>-1150</v>
      </c>
      <c r="AI57" s="18">
        <f t="shared" si="99"/>
        <v>-1150</v>
      </c>
      <c r="AJ57" s="18">
        <f t="shared" si="99"/>
        <v>-1150</v>
      </c>
      <c r="AK57" s="18">
        <f t="shared" si="99"/>
        <v>-1150</v>
      </c>
      <c r="AL57" s="18">
        <f t="shared" si="99"/>
        <v>-1150</v>
      </c>
      <c r="AM57" s="18">
        <f t="shared" si="99"/>
        <v>-1150</v>
      </c>
      <c r="AP57" s="18">
        <f t="shared" ref="AP57:BA57" si="100">-$B$57</f>
        <v>-1150</v>
      </c>
      <c r="AQ57" s="18">
        <f t="shared" si="100"/>
        <v>-1150</v>
      </c>
      <c r="AR57" s="18">
        <f t="shared" si="100"/>
        <v>-1150</v>
      </c>
      <c r="AS57" s="18">
        <f t="shared" si="100"/>
        <v>-1150</v>
      </c>
      <c r="AT57" s="18">
        <f t="shared" si="100"/>
        <v>-1150</v>
      </c>
      <c r="AU57" s="18">
        <f t="shared" si="100"/>
        <v>-1150</v>
      </c>
      <c r="AV57" s="18">
        <f t="shared" si="100"/>
        <v>-1150</v>
      </c>
      <c r="AW57" s="18">
        <f t="shared" si="100"/>
        <v>-1150</v>
      </c>
      <c r="AX57" s="18">
        <f t="shared" si="100"/>
        <v>-1150</v>
      </c>
      <c r="AY57" s="18">
        <f t="shared" si="100"/>
        <v>-1150</v>
      </c>
      <c r="AZ57" s="18">
        <f t="shared" si="100"/>
        <v>-1150</v>
      </c>
      <c r="BA57" s="18">
        <f t="shared" si="100"/>
        <v>-1150</v>
      </c>
      <c r="BD57" s="18">
        <f t="shared" ref="BD57:BO57" si="101">-$B$57</f>
        <v>-1150</v>
      </c>
      <c r="BE57" s="18">
        <f t="shared" si="101"/>
        <v>-1150</v>
      </c>
      <c r="BF57" s="18">
        <f t="shared" si="101"/>
        <v>-1150</v>
      </c>
      <c r="BG57" s="18">
        <f t="shared" si="101"/>
        <v>-1150</v>
      </c>
      <c r="BH57" s="18">
        <f t="shared" si="101"/>
        <v>-1150</v>
      </c>
      <c r="BI57" s="18">
        <f t="shared" si="101"/>
        <v>-1150</v>
      </c>
      <c r="BJ57" s="18">
        <f t="shared" si="101"/>
        <v>-1150</v>
      </c>
      <c r="BK57" s="18">
        <f t="shared" si="101"/>
        <v>-1150</v>
      </c>
      <c r="BL57" s="18">
        <f t="shared" si="101"/>
        <v>-1150</v>
      </c>
      <c r="BM57" s="18">
        <f t="shared" si="101"/>
        <v>-1150</v>
      </c>
      <c r="BN57" s="18">
        <f t="shared" si="101"/>
        <v>-1150</v>
      </c>
      <c r="BO57" s="18">
        <f t="shared" si="101"/>
        <v>-1150</v>
      </c>
      <c r="BR57" s="18">
        <f t="shared" ref="BR57:CC57" si="102">-$B$57</f>
        <v>-1150</v>
      </c>
      <c r="BS57" s="18">
        <f t="shared" si="102"/>
        <v>-1150</v>
      </c>
      <c r="BT57" s="18">
        <f t="shared" si="102"/>
        <v>-1150</v>
      </c>
      <c r="BU57" s="18">
        <f t="shared" si="102"/>
        <v>-1150</v>
      </c>
      <c r="BV57" s="18">
        <f t="shared" si="102"/>
        <v>-1150</v>
      </c>
      <c r="BW57" s="18">
        <f t="shared" si="102"/>
        <v>-1150</v>
      </c>
      <c r="BX57" s="18">
        <f t="shared" si="102"/>
        <v>-1150</v>
      </c>
      <c r="BY57" s="18">
        <f t="shared" si="102"/>
        <v>-1150</v>
      </c>
      <c r="BZ57" s="18">
        <f t="shared" si="102"/>
        <v>-1150</v>
      </c>
      <c r="CA57" s="18">
        <f t="shared" si="102"/>
        <v>-1150</v>
      </c>
      <c r="CB57" s="18">
        <f t="shared" si="102"/>
        <v>-1150</v>
      </c>
      <c r="CC57" s="18">
        <f t="shared" si="102"/>
        <v>-1150</v>
      </c>
    </row>
    <row r="58" spans="1:81" ht="14.25" customHeight="1">
      <c r="A58" s="140" t="s">
        <v>711</v>
      </c>
      <c r="B58" s="143">
        <v>250</v>
      </c>
      <c r="C58" s="144">
        <f t="shared" si="82"/>
        <v>3000</v>
      </c>
      <c r="D58" s="145"/>
      <c r="E58" s="142"/>
      <c r="F58" s="141">
        <f t="shared" ref="F58" si="103">SUM(N58:Y58)</f>
        <v>-3000</v>
      </c>
      <c r="G58" s="141">
        <f t="shared" ref="G58" si="104">SUM(AB58:AM58)</f>
        <v>-3000</v>
      </c>
      <c r="H58" s="141">
        <f t="shared" ref="H58" si="105">SUM(AP58:BA58)</f>
        <v>-3000</v>
      </c>
      <c r="I58" s="141">
        <f t="shared" ref="I58" si="106">SUM(BD58:BO58)</f>
        <v>-3000</v>
      </c>
      <c r="J58" s="141">
        <f t="shared" ref="J58" si="107">SUM(BR58:CC58)</f>
        <v>-3000</v>
      </c>
      <c r="N58" s="18">
        <f t="shared" ref="N58:Y58" si="108">-$B$58</f>
        <v>-250</v>
      </c>
      <c r="O58" s="18">
        <f t="shared" si="108"/>
        <v>-250</v>
      </c>
      <c r="P58" s="18">
        <f t="shared" si="108"/>
        <v>-250</v>
      </c>
      <c r="Q58" s="18">
        <f t="shared" si="108"/>
        <v>-250</v>
      </c>
      <c r="R58" s="18">
        <f t="shared" si="108"/>
        <v>-250</v>
      </c>
      <c r="S58" s="18">
        <f t="shared" si="108"/>
        <v>-250</v>
      </c>
      <c r="T58" s="18">
        <f t="shared" si="108"/>
        <v>-250</v>
      </c>
      <c r="U58" s="18">
        <f t="shared" si="108"/>
        <v>-250</v>
      </c>
      <c r="V58" s="18">
        <f t="shared" si="108"/>
        <v>-250</v>
      </c>
      <c r="W58" s="18">
        <f t="shared" si="108"/>
        <v>-250</v>
      </c>
      <c r="X58" s="18">
        <f t="shared" si="108"/>
        <v>-250</v>
      </c>
      <c r="Y58" s="18">
        <f t="shared" si="108"/>
        <v>-250</v>
      </c>
      <c r="AB58" s="18">
        <f t="shared" ref="AB58:AM58" si="109">-$B$58</f>
        <v>-250</v>
      </c>
      <c r="AC58" s="18">
        <f t="shared" si="109"/>
        <v>-250</v>
      </c>
      <c r="AD58" s="18">
        <f t="shared" si="109"/>
        <v>-250</v>
      </c>
      <c r="AE58" s="18">
        <f t="shared" si="109"/>
        <v>-250</v>
      </c>
      <c r="AF58" s="18">
        <f t="shared" si="109"/>
        <v>-250</v>
      </c>
      <c r="AG58" s="18">
        <f t="shared" si="109"/>
        <v>-250</v>
      </c>
      <c r="AH58" s="18">
        <f t="shared" si="109"/>
        <v>-250</v>
      </c>
      <c r="AI58" s="18">
        <f t="shared" si="109"/>
        <v>-250</v>
      </c>
      <c r="AJ58" s="18">
        <f t="shared" si="109"/>
        <v>-250</v>
      </c>
      <c r="AK58" s="18">
        <f t="shared" si="109"/>
        <v>-250</v>
      </c>
      <c r="AL58" s="18">
        <f t="shared" si="109"/>
        <v>-250</v>
      </c>
      <c r="AM58" s="18">
        <f t="shared" si="109"/>
        <v>-250</v>
      </c>
      <c r="AP58" s="18">
        <f t="shared" ref="AP58:BA58" si="110">-$B$58</f>
        <v>-250</v>
      </c>
      <c r="AQ58" s="18">
        <f t="shared" si="110"/>
        <v>-250</v>
      </c>
      <c r="AR58" s="18">
        <f t="shared" si="110"/>
        <v>-250</v>
      </c>
      <c r="AS58" s="18">
        <f t="shared" si="110"/>
        <v>-250</v>
      </c>
      <c r="AT58" s="18">
        <f t="shared" si="110"/>
        <v>-250</v>
      </c>
      <c r="AU58" s="18">
        <f t="shared" si="110"/>
        <v>-250</v>
      </c>
      <c r="AV58" s="18">
        <f t="shared" si="110"/>
        <v>-250</v>
      </c>
      <c r="AW58" s="18">
        <f t="shared" si="110"/>
        <v>-250</v>
      </c>
      <c r="AX58" s="18">
        <f t="shared" si="110"/>
        <v>-250</v>
      </c>
      <c r="AY58" s="18">
        <f t="shared" si="110"/>
        <v>-250</v>
      </c>
      <c r="AZ58" s="18">
        <f t="shared" si="110"/>
        <v>-250</v>
      </c>
      <c r="BA58" s="18">
        <f t="shared" si="110"/>
        <v>-250</v>
      </c>
      <c r="BD58" s="18">
        <f t="shared" ref="BD58:BO58" si="111">-$B$58</f>
        <v>-250</v>
      </c>
      <c r="BE58" s="18">
        <f t="shared" si="111"/>
        <v>-250</v>
      </c>
      <c r="BF58" s="18">
        <f t="shared" si="111"/>
        <v>-250</v>
      </c>
      <c r="BG58" s="18">
        <f t="shared" si="111"/>
        <v>-250</v>
      </c>
      <c r="BH58" s="18">
        <f t="shared" si="111"/>
        <v>-250</v>
      </c>
      <c r="BI58" s="18">
        <f t="shared" si="111"/>
        <v>-250</v>
      </c>
      <c r="BJ58" s="18">
        <f t="shared" si="111"/>
        <v>-250</v>
      </c>
      <c r="BK58" s="18">
        <f t="shared" si="111"/>
        <v>-250</v>
      </c>
      <c r="BL58" s="18">
        <f t="shared" si="111"/>
        <v>-250</v>
      </c>
      <c r="BM58" s="18">
        <f t="shared" si="111"/>
        <v>-250</v>
      </c>
      <c r="BN58" s="18">
        <f t="shared" si="111"/>
        <v>-250</v>
      </c>
      <c r="BO58" s="18">
        <f t="shared" si="111"/>
        <v>-250</v>
      </c>
      <c r="BR58" s="18">
        <f t="shared" ref="BR58:CC58" si="112">-$B$58</f>
        <v>-250</v>
      </c>
      <c r="BS58" s="18">
        <f t="shared" si="112"/>
        <v>-250</v>
      </c>
      <c r="BT58" s="18">
        <f t="shared" si="112"/>
        <v>-250</v>
      </c>
      <c r="BU58" s="18">
        <f t="shared" si="112"/>
        <v>-250</v>
      </c>
      <c r="BV58" s="18">
        <f t="shared" si="112"/>
        <v>-250</v>
      </c>
      <c r="BW58" s="18">
        <f t="shared" si="112"/>
        <v>-250</v>
      </c>
      <c r="BX58" s="18">
        <f t="shared" si="112"/>
        <v>-250</v>
      </c>
      <c r="BY58" s="18">
        <f t="shared" si="112"/>
        <v>-250</v>
      </c>
      <c r="BZ58" s="18">
        <f t="shared" si="112"/>
        <v>-250</v>
      </c>
      <c r="CA58" s="18">
        <f t="shared" si="112"/>
        <v>-250</v>
      </c>
      <c r="CB58" s="18">
        <f t="shared" si="112"/>
        <v>-250</v>
      </c>
      <c r="CC58" s="18">
        <f t="shared" si="112"/>
        <v>-250</v>
      </c>
    </row>
    <row r="59" spans="1:81" ht="14.25" customHeight="1">
      <c r="A59" s="140" t="s">
        <v>37</v>
      </c>
      <c r="B59" s="143">
        <v>1500</v>
      </c>
      <c r="C59" s="144">
        <f t="shared" si="82"/>
        <v>18000</v>
      </c>
      <c r="D59" s="145"/>
      <c r="E59" s="142"/>
      <c r="F59" s="141">
        <f t="shared" si="83"/>
        <v>-18000</v>
      </c>
      <c r="G59" s="141">
        <f t="shared" si="84"/>
        <v>-18000</v>
      </c>
      <c r="H59" s="141">
        <f t="shared" si="85"/>
        <v>-18000</v>
      </c>
      <c r="I59" s="141">
        <f t="shared" si="86"/>
        <v>-18000</v>
      </c>
      <c r="J59" s="141">
        <f t="shared" si="87"/>
        <v>-18000</v>
      </c>
      <c r="N59" s="18">
        <f t="shared" ref="N59:Y59" si="113">-$B$59</f>
        <v>-1500</v>
      </c>
      <c r="O59" s="18">
        <f t="shared" si="113"/>
        <v>-1500</v>
      </c>
      <c r="P59" s="18">
        <f t="shared" si="113"/>
        <v>-1500</v>
      </c>
      <c r="Q59" s="18">
        <f t="shared" si="113"/>
        <v>-1500</v>
      </c>
      <c r="R59" s="18">
        <f t="shared" si="113"/>
        <v>-1500</v>
      </c>
      <c r="S59" s="18">
        <f t="shared" si="113"/>
        <v>-1500</v>
      </c>
      <c r="T59" s="18">
        <f t="shared" si="113"/>
        <v>-1500</v>
      </c>
      <c r="U59" s="18">
        <f t="shared" si="113"/>
        <v>-1500</v>
      </c>
      <c r="V59" s="18">
        <f t="shared" si="113"/>
        <v>-1500</v>
      </c>
      <c r="W59" s="18">
        <f t="shared" si="113"/>
        <v>-1500</v>
      </c>
      <c r="X59" s="18">
        <f t="shared" si="113"/>
        <v>-1500</v>
      </c>
      <c r="Y59" s="18">
        <f t="shared" si="113"/>
        <v>-1500</v>
      </c>
      <c r="AB59" s="18">
        <f t="shared" ref="AB59:AM59" si="114">-$B$59</f>
        <v>-1500</v>
      </c>
      <c r="AC59" s="18">
        <f t="shared" si="114"/>
        <v>-1500</v>
      </c>
      <c r="AD59" s="18">
        <f t="shared" si="114"/>
        <v>-1500</v>
      </c>
      <c r="AE59" s="18">
        <f t="shared" si="114"/>
        <v>-1500</v>
      </c>
      <c r="AF59" s="18">
        <f t="shared" si="114"/>
        <v>-1500</v>
      </c>
      <c r="AG59" s="18">
        <f t="shared" si="114"/>
        <v>-1500</v>
      </c>
      <c r="AH59" s="18">
        <f t="shared" si="114"/>
        <v>-1500</v>
      </c>
      <c r="AI59" s="18">
        <f t="shared" si="114"/>
        <v>-1500</v>
      </c>
      <c r="AJ59" s="18">
        <f t="shared" si="114"/>
        <v>-1500</v>
      </c>
      <c r="AK59" s="18">
        <f t="shared" si="114"/>
        <v>-1500</v>
      </c>
      <c r="AL59" s="18">
        <f t="shared" si="114"/>
        <v>-1500</v>
      </c>
      <c r="AM59" s="18">
        <f t="shared" si="114"/>
        <v>-1500</v>
      </c>
      <c r="AP59" s="18">
        <f t="shared" ref="AP59:BA59" si="115">-$B$59</f>
        <v>-1500</v>
      </c>
      <c r="AQ59" s="18">
        <f t="shared" si="115"/>
        <v>-1500</v>
      </c>
      <c r="AR59" s="18">
        <f t="shared" si="115"/>
        <v>-1500</v>
      </c>
      <c r="AS59" s="18">
        <f t="shared" si="115"/>
        <v>-1500</v>
      </c>
      <c r="AT59" s="18">
        <f t="shared" si="115"/>
        <v>-1500</v>
      </c>
      <c r="AU59" s="18">
        <f t="shared" si="115"/>
        <v>-1500</v>
      </c>
      <c r="AV59" s="18">
        <f t="shared" si="115"/>
        <v>-1500</v>
      </c>
      <c r="AW59" s="18">
        <f t="shared" si="115"/>
        <v>-1500</v>
      </c>
      <c r="AX59" s="18">
        <f t="shared" si="115"/>
        <v>-1500</v>
      </c>
      <c r="AY59" s="18">
        <f t="shared" si="115"/>
        <v>-1500</v>
      </c>
      <c r="AZ59" s="18">
        <f t="shared" si="115"/>
        <v>-1500</v>
      </c>
      <c r="BA59" s="18">
        <f t="shared" si="115"/>
        <v>-1500</v>
      </c>
      <c r="BD59" s="18">
        <f t="shared" ref="BD59:BO59" si="116">-$B$59</f>
        <v>-1500</v>
      </c>
      <c r="BE59" s="18">
        <f t="shared" si="116"/>
        <v>-1500</v>
      </c>
      <c r="BF59" s="18">
        <f t="shared" si="116"/>
        <v>-1500</v>
      </c>
      <c r="BG59" s="18">
        <f t="shared" si="116"/>
        <v>-1500</v>
      </c>
      <c r="BH59" s="18">
        <f t="shared" si="116"/>
        <v>-1500</v>
      </c>
      <c r="BI59" s="18">
        <f t="shared" si="116"/>
        <v>-1500</v>
      </c>
      <c r="BJ59" s="18">
        <f t="shared" si="116"/>
        <v>-1500</v>
      </c>
      <c r="BK59" s="18">
        <f t="shared" si="116"/>
        <v>-1500</v>
      </c>
      <c r="BL59" s="18">
        <f t="shared" si="116"/>
        <v>-1500</v>
      </c>
      <c r="BM59" s="18">
        <f t="shared" si="116"/>
        <v>-1500</v>
      </c>
      <c r="BN59" s="18">
        <f t="shared" si="116"/>
        <v>-1500</v>
      </c>
      <c r="BO59" s="18">
        <f t="shared" si="116"/>
        <v>-1500</v>
      </c>
      <c r="BR59" s="18">
        <f t="shared" ref="BR59:CC59" si="117">-$B$59</f>
        <v>-1500</v>
      </c>
      <c r="BS59" s="18">
        <f t="shared" si="117"/>
        <v>-1500</v>
      </c>
      <c r="BT59" s="18">
        <f t="shared" si="117"/>
        <v>-1500</v>
      </c>
      <c r="BU59" s="18">
        <f t="shared" si="117"/>
        <v>-1500</v>
      </c>
      <c r="BV59" s="18">
        <f t="shared" si="117"/>
        <v>-1500</v>
      </c>
      <c r="BW59" s="18">
        <f t="shared" si="117"/>
        <v>-1500</v>
      </c>
      <c r="BX59" s="18">
        <f t="shared" si="117"/>
        <v>-1500</v>
      </c>
      <c r="BY59" s="18">
        <f t="shared" si="117"/>
        <v>-1500</v>
      </c>
      <c r="BZ59" s="18">
        <f t="shared" si="117"/>
        <v>-1500</v>
      </c>
      <c r="CA59" s="18">
        <f t="shared" si="117"/>
        <v>-1500</v>
      </c>
      <c r="CB59" s="18">
        <f t="shared" si="117"/>
        <v>-1500</v>
      </c>
      <c r="CC59" s="18">
        <f t="shared" si="117"/>
        <v>-1500</v>
      </c>
    </row>
    <row r="60" spans="1:81" ht="14.25" customHeight="1">
      <c r="A60" s="140" t="s">
        <v>38</v>
      </c>
      <c r="B60" s="143">
        <v>3000</v>
      </c>
      <c r="C60" s="144">
        <f t="shared" si="82"/>
        <v>36000</v>
      </c>
      <c r="D60" s="152"/>
      <c r="E60" s="142"/>
      <c r="F60" s="141">
        <f t="shared" si="83"/>
        <v>-36000</v>
      </c>
      <c r="G60" s="141">
        <f t="shared" si="84"/>
        <v>-36000</v>
      </c>
      <c r="H60" s="141">
        <f t="shared" si="85"/>
        <v>-36000</v>
      </c>
      <c r="I60" s="141">
        <f t="shared" si="86"/>
        <v>-36000</v>
      </c>
      <c r="J60" s="141">
        <f t="shared" si="87"/>
        <v>-36000</v>
      </c>
      <c r="N60" s="18">
        <f t="shared" ref="N60:Y60" si="118">-$B$60</f>
        <v>-3000</v>
      </c>
      <c r="O60" s="18">
        <f t="shared" si="118"/>
        <v>-3000</v>
      </c>
      <c r="P60" s="18">
        <f t="shared" si="118"/>
        <v>-3000</v>
      </c>
      <c r="Q60" s="18">
        <f t="shared" si="118"/>
        <v>-3000</v>
      </c>
      <c r="R60" s="18">
        <f t="shared" si="118"/>
        <v>-3000</v>
      </c>
      <c r="S60" s="18">
        <f t="shared" si="118"/>
        <v>-3000</v>
      </c>
      <c r="T60" s="18">
        <f t="shared" si="118"/>
        <v>-3000</v>
      </c>
      <c r="U60" s="18">
        <f t="shared" si="118"/>
        <v>-3000</v>
      </c>
      <c r="V60" s="18">
        <f t="shared" si="118"/>
        <v>-3000</v>
      </c>
      <c r="W60" s="18">
        <f t="shared" si="118"/>
        <v>-3000</v>
      </c>
      <c r="X60" s="18">
        <f t="shared" si="118"/>
        <v>-3000</v>
      </c>
      <c r="Y60" s="18">
        <f t="shared" si="118"/>
        <v>-3000</v>
      </c>
      <c r="AB60" s="18">
        <f t="shared" ref="AB60:AM60" si="119">-$B$60</f>
        <v>-3000</v>
      </c>
      <c r="AC60" s="18">
        <f t="shared" si="119"/>
        <v>-3000</v>
      </c>
      <c r="AD60" s="18">
        <f t="shared" si="119"/>
        <v>-3000</v>
      </c>
      <c r="AE60" s="18">
        <f t="shared" si="119"/>
        <v>-3000</v>
      </c>
      <c r="AF60" s="18">
        <f t="shared" si="119"/>
        <v>-3000</v>
      </c>
      <c r="AG60" s="18">
        <f t="shared" si="119"/>
        <v>-3000</v>
      </c>
      <c r="AH60" s="18">
        <f t="shared" si="119"/>
        <v>-3000</v>
      </c>
      <c r="AI60" s="18">
        <f t="shared" si="119"/>
        <v>-3000</v>
      </c>
      <c r="AJ60" s="18">
        <f t="shared" si="119"/>
        <v>-3000</v>
      </c>
      <c r="AK60" s="18">
        <f t="shared" si="119"/>
        <v>-3000</v>
      </c>
      <c r="AL60" s="18">
        <f t="shared" si="119"/>
        <v>-3000</v>
      </c>
      <c r="AM60" s="18">
        <f t="shared" si="119"/>
        <v>-3000</v>
      </c>
      <c r="AP60" s="18">
        <f t="shared" ref="AP60:BA60" si="120">-$B$60</f>
        <v>-3000</v>
      </c>
      <c r="AQ60" s="18">
        <f t="shared" si="120"/>
        <v>-3000</v>
      </c>
      <c r="AR60" s="18">
        <f t="shared" si="120"/>
        <v>-3000</v>
      </c>
      <c r="AS60" s="18">
        <f t="shared" si="120"/>
        <v>-3000</v>
      </c>
      <c r="AT60" s="18">
        <f t="shared" si="120"/>
        <v>-3000</v>
      </c>
      <c r="AU60" s="18">
        <f t="shared" si="120"/>
        <v>-3000</v>
      </c>
      <c r="AV60" s="18">
        <f t="shared" si="120"/>
        <v>-3000</v>
      </c>
      <c r="AW60" s="18">
        <f t="shared" si="120"/>
        <v>-3000</v>
      </c>
      <c r="AX60" s="18">
        <f t="shared" si="120"/>
        <v>-3000</v>
      </c>
      <c r="AY60" s="18">
        <f t="shared" si="120"/>
        <v>-3000</v>
      </c>
      <c r="AZ60" s="18">
        <f t="shared" si="120"/>
        <v>-3000</v>
      </c>
      <c r="BA60" s="18">
        <f t="shared" si="120"/>
        <v>-3000</v>
      </c>
      <c r="BD60" s="18">
        <f t="shared" ref="BD60:BO60" si="121">-$B$60</f>
        <v>-3000</v>
      </c>
      <c r="BE60" s="18">
        <f t="shared" si="121"/>
        <v>-3000</v>
      </c>
      <c r="BF60" s="18">
        <f t="shared" si="121"/>
        <v>-3000</v>
      </c>
      <c r="BG60" s="18">
        <f t="shared" si="121"/>
        <v>-3000</v>
      </c>
      <c r="BH60" s="18">
        <f t="shared" si="121"/>
        <v>-3000</v>
      </c>
      <c r="BI60" s="18">
        <f t="shared" si="121"/>
        <v>-3000</v>
      </c>
      <c r="BJ60" s="18">
        <f t="shared" si="121"/>
        <v>-3000</v>
      </c>
      <c r="BK60" s="18">
        <f t="shared" si="121"/>
        <v>-3000</v>
      </c>
      <c r="BL60" s="18">
        <f t="shared" si="121"/>
        <v>-3000</v>
      </c>
      <c r="BM60" s="18">
        <f t="shared" si="121"/>
        <v>-3000</v>
      </c>
      <c r="BN60" s="18">
        <f t="shared" si="121"/>
        <v>-3000</v>
      </c>
      <c r="BO60" s="18">
        <f t="shared" si="121"/>
        <v>-3000</v>
      </c>
      <c r="BR60" s="18">
        <f t="shared" ref="BR60:CC60" si="122">-$B$60</f>
        <v>-3000</v>
      </c>
      <c r="BS60" s="18">
        <f t="shared" si="122"/>
        <v>-3000</v>
      </c>
      <c r="BT60" s="18">
        <f t="shared" si="122"/>
        <v>-3000</v>
      </c>
      <c r="BU60" s="18">
        <f t="shared" si="122"/>
        <v>-3000</v>
      </c>
      <c r="BV60" s="18">
        <f t="shared" si="122"/>
        <v>-3000</v>
      </c>
      <c r="BW60" s="18">
        <f t="shared" si="122"/>
        <v>-3000</v>
      </c>
      <c r="BX60" s="18">
        <f t="shared" si="122"/>
        <v>-3000</v>
      </c>
      <c r="BY60" s="18">
        <f t="shared" si="122"/>
        <v>-3000</v>
      </c>
      <c r="BZ60" s="18">
        <f t="shared" si="122"/>
        <v>-3000</v>
      </c>
      <c r="CA60" s="18">
        <f t="shared" si="122"/>
        <v>-3000</v>
      </c>
      <c r="CB60" s="18">
        <f t="shared" si="122"/>
        <v>-3000</v>
      </c>
      <c r="CC60" s="18">
        <f t="shared" si="122"/>
        <v>-3000</v>
      </c>
    </row>
    <row r="61" spans="1:81" ht="14.25" customHeight="1">
      <c r="A61" s="140" t="s">
        <v>697</v>
      </c>
      <c r="B61" s="143">
        <f>50*20</f>
        <v>1000</v>
      </c>
      <c r="C61" s="144">
        <f t="shared" si="82"/>
        <v>12000</v>
      </c>
      <c r="D61" s="152"/>
      <c r="E61" s="142"/>
      <c r="F61" s="141">
        <f t="shared" ref="F61" si="123">SUM(N61:Y61)</f>
        <v>-12000</v>
      </c>
      <c r="G61" s="141">
        <f t="shared" ref="G61" si="124">SUM(AB61:AM61)</f>
        <v>-12000</v>
      </c>
      <c r="H61" s="141">
        <f t="shared" ref="H61" si="125">SUM(AP61:BA61)</f>
        <v>-12000</v>
      </c>
      <c r="I61" s="141">
        <f t="shared" ref="I61" si="126">SUM(BD61:BO61)</f>
        <v>-12000</v>
      </c>
      <c r="J61" s="141">
        <f t="shared" ref="J61" si="127">SUM(BR61:CC61)</f>
        <v>-12000</v>
      </c>
      <c r="N61" s="18">
        <f t="shared" ref="N61:Y61" si="128">-$B$61</f>
        <v>-1000</v>
      </c>
      <c r="O61" s="18">
        <f t="shared" si="128"/>
        <v>-1000</v>
      </c>
      <c r="P61" s="18">
        <f t="shared" si="128"/>
        <v>-1000</v>
      </c>
      <c r="Q61" s="18">
        <f t="shared" si="128"/>
        <v>-1000</v>
      </c>
      <c r="R61" s="18">
        <f t="shared" si="128"/>
        <v>-1000</v>
      </c>
      <c r="S61" s="18">
        <f t="shared" si="128"/>
        <v>-1000</v>
      </c>
      <c r="T61" s="18">
        <f t="shared" si="128"/>
        <v>-1000</v>
      </c>
      <c r="U61" s="18">
        <f t="shared" si="128"/>
        <v>-1000</v>
      </c>
      <c r="V61" s="18">
        <f t="shared" si="128"/>
        <v>-1000</v>
      </c>
      <c r="W61" s="18">
        <f t="shared" si="128"/>
        <v>-1000</v>
      </c>
      <c r="X61" s="18">
        <f t="shared" si="128"/>
        <v>-1000</v>
      </c>
      <c r="Y61" s="18">
        <f t="shared" si="128"/>
        <v>-1000</v>
      </c>
      <c r="AB61" s="18">
        <f t="shared" ref="AB61:AM61" si="129">-$B$61</f>
        <v>-1000</v>
      </c>
      <c r="AC61" s="18">
        <f t="shared" si="129"/>
        <v>-1000</v>
      </c>
      <c r="AD61" s="18">
        <f t="shared" si="129"/>
        <v>-1000</v>
      </c>
      <c r="AE61" s="18">
        <f t="shared" si="129"/>
        <v>-1000</v>
      </c>
      <c r="AF61" s="18">
        <f t="shared" si="129"/>
        <v>-1000</v>
      </c>
      <c r="AG61" s="18">
        <f t="shared" si="129"/>
        <v>-1000</v>
      </c>
      <c r="AH61" s="18">
        <f t="shared" si="129"/>
        <v>-1000</v>
      </c>
      <c r="AI61" s="18">
        <f t="shared" si="129"/>
        <v>-1000</v>
      </c>
      <c r="AJ61" s="18">
        <f t="shared" si="129"/>
        <v>-1000</v>
      </c>
      <c r="AK61" s="18">
        <f t="shared" si="129"/>
        <v>-1000</v>
      </c>
      <c r="AL61" s="18">
        <f t="shared" si="129"/>
        <v>-1000</v>
      </c>
      <c r="AM61" s="18">
        <f t="shared" si="129"/>
        <v>-1000</v>
      </c>
      <c r="AP61" s="18">
        <f t="shared" ref="AP61:BA61" si="130">-$B$61</f>
        <v>-1000</v>
      </c>
      <c r="AQ61" s="18">
        <f t="shared" si="130"/>
        <v>-1000</v>
      </c>
      <c r="AR61" s="18">
        <f t="shared" si="130"/>
        <v>-1000</v>
      </c>
      <c r="AS61" s="18">
        <f t="shared" si="130"/>
        <v>-1000</v>
      </c>
      <c r="AT61" s="18">
        <f t="shared" si="130"/>
        <v>-1000</v>
      </c>
      <c r="AU61" s="18">
        <f t="shared" si="130"/>
        <v>-1000</v>
      </c>
      <c r="AV61" s="18">
        <f t="shared" si="130"/>
        <v>-1000</v>
      </c>
      <c r="AW61" s="18">
        <f t="shared" si="130"/>
        <v>-1000</v>
      </c>
      <c r="AX61" s="18">
        <f t="shared" si="130"/>
        <v>-1000</v>
      </c>
      <c r="AY61" s="18">
        <f t="shared" si="130"/>
        <v>-1000</v>
      </c>
      <c r="AZ61" s="18">
        <f t="shared" si="130"/>
        <v>-1000</v>
      </c>
      <c r="BA61" s="18">
        <f t="shared" si="130"/>
        <v>-1000</v>
      </c>
      <c r="BD61" s="18">
        <f t="shared" ref="BD61:BO61" si="131">-$B$61</f>
        <v>-1000</v>
      </c>
      <c r="BE61" s="18">
        <f t="shared" si="131"/>
        <v>-1000</v>
      </c>
      <c r="BF61" s="18">
        <f t="shared" si="131"/>
        <v>-1000</v>
      </c>
      <c r="BG61" s="18">
        <f t="shared" si="131"/>
        <v>-1000</v>
      </c>
      <c r="BH61" s="18">
        <f t="shared" si="131"/>
        <v>-1000</v>
      </c>
      <c r="BI61" s="18">
        <f t="shared" si="131"/>
        <v>-1000</v>
      </c>
      <c r="BJ61" s="18">
        <f t="shared" si="131"/>
        <v>-1000</v>
      </c>
      <c r="BK61" s="18">
        <f t="shared" si="131"/>
        <v>-1000</v>
      </c>
      <c r="BL61" s="18">
        <f t="shared" si="131"/>
        <v>-1000</v>
      </c>
      <c r="BM61" s="18">
        <f t="shared" si="131"/>
        <v>-1000</v>
      </c>
      <c r="BN61" s="18">
        <f t="shared" si="131"/>
        <v>-1000</v>
      </c>
      <c r="BO61" s="18">
        <f t="shared" si="131"/>
        <v>-1000</v>
      </c>
      <c r="BR61" s="18">
        <f t="shared" ref="BR61:CC61" si="132">-$B$61</f>
        <v>-1000</v>
      </c>
      <c r="BS61" s="18">
        <f t="shared" si="132"/>
        <v>-1000</v>
      </c>
      <c r="BT61" s="18">
        <f t="shared" si="132"/>
        <v>-1000</v>
      </c>
      <c r="BU61" s="18">
        <f t="shared" si="132"/>
        <v>-1000</v>
      </c>
      <c r="BV61" s="18">
        <f t="shared" si="132"/>
        <v>-1000</v>
      </c>
      <c r="BW61" s="18">
        <f t="shared" si="132"/>
        <v>-1000</v>
      </c>
      <c r="BX61" s="18">
        <f t="shared" si="132"/>
        <v>-1000</v>
      </c>
      <c r="BY61" s="18">
        <f t="shared" si="132"/>
        <v>-1000</v>
      </c>
      <c r="BZ61" s="18">
        <f t="shared" si="132"/>
        <v>-1000</v>
      </c>
      <c r="CA61" s="18">
        <f t="shared" si="132"/>
        <v>-1000</v>
      </c>
      <c r="CB61" s="18">
        <f t="shared" si="132"/>
        <v>-1000</v>
      </c>
      <c r="CC61" s="18">
        <f t="shared" si="132"/>
        <v>-1000</v>
      </c>
    </row>
    <row r="62" spans="1:81" ht="14.25" customHeight="1">
      <c r="A62" s="140" t="s">
        <v>39</v>
      </c>
      <c r="B62" s="143">
        <v>1500</v>
      </c>
      <c r="C62" s="144">
        <f t="shared" si="82"/>
        <v>18000</v>
      </c>
      <c r="D62" s="145"/>
      <c r="E62" s="142"/>
      <c r="F62" s="141">
        <f t="shared" si="83"/>
        <v>-18000</v>
      </c>
      <c r="G62" s="141">
        <f t="shared" si="84"/>
        <v>-18000</v>
      </c>
      <c r="H62" s="141">
        <f t="shared" si="85"/>
        <v>-18000</v>
      </c>
      <c r="I62" s="141">
        <f t="shared" si="86"/>
        <v>-18000</v>
      </c>
      <c r="J62" s="141">
        <f t="shared" si="87"/>
        <v>-18000</v>
      </c>
      <c r="N62" s="18">
        <f t="shared" ref="N62:Y62" si="133">-$B$62</f>
        <v>-1500</v>
      </c>
      <c r="O62" s="18">
        <f t="shared" si="133"/>
        <v>-1500</v>
      </c>
      <c r="P62" s="18">
        <f t="shared" si="133"/>
        <v>-1500</v>
      </c>
      <c r="Q62" s="18">
        <f t="shared" si="133"/>
        <v>-1500</v>
      </c>
      <c r="R62" s="18">
        <f t="shared" si="133"/>
        <v>-1500</v>
      </c>
      <c r="S62" s="18">
        <f t="shared" si="133"/>
        <v>-1500</v>
      </c>
      <c r="T62" s="18">
        <f t="shared" si="133"/>
        <v>-1500</v>
      </c>
      <c r="U62" s="18">
        <f t="shared" si="133"/>
        <v>-1500</v>
      </c>
      <c r="V62" s="18">
        <f t="shared" si="133"/>
        <v>-1500</v>
      </c>
      <c r="W62" s="18">
        <f t="shared" si="133"/>
        <v>-1500</v>
      </c>
      <c r="X62" s="18">
        <f t="shared" si="133"/>
        <v>-1500</v>
      </c>
      <c r="Y62" s="18">
        <f t="shared" si="133"/>
        <v>-1500</v>
      </c>
      <c r="AB62" s="18">
        <f t="shared" ref="AB62:AM62" si="134">-$B$62</f>
        <v>-1500</v>
      </c>
      <c r="AC62" s="18">
        <f t="shared" si="134"/>
        <v>-1500</v>
      </c>
      <c r="AD62" s="18">
        <f t="shared" si="134"/>
        <v>-1500</v>
      </c>
      <c r="AE62" s="18">
        <f t="shared" si="134"/>
        <v>-1500</v>
      </c>
      <c r="AF62" s="18">
        <f t="shared" si="134"/>
        <v>-1500</v>
      </c>
      <c r="AG62" s="18">
        <f t="shared" si="134"/>
        <v>-1500</v>
      </c>
      <c r="AH62" s="18">
        <f t="shared" si="134"/>
        <v>-1500</v>
      </c>
      <c r="AI62" s="18">
        <f t="shared" si="134"/>
        <v>-1500</v>
      </c>
      <c r="AJ62" s="18">
        <f t="shared" si="134"/>
        <v>-1500</v>
      </c>
      <c r="AK62" s="18">
        <f t="shared" si="134"/>
        <v>-1500</v>
      </c>
      <c r="AL62" s="18">
        <f t="shared" si="134"/>
        <v>-1500</v>
      </c>
      <c r="AM62" s="18">
        <f t="shared" si="134"/>
        <v>-1500</v>
      </c>
      <c r="AP62" s="18">
        <f t="shared" ref="AP62:BA62" si="135">-$B$62</f>
        <v>-1500</v>
      </c>
      <c r="AQ62" s="18">
        <f t="shared" si="135"/>
        <v>-1500</v>
      </c>
      <c r="AR62" s="18">
        <f t="shared" si="135"/>
        <v>-1500</v>
      </c>
      <c r="AS62" s="18">
        <f t="shared" si="135"/>
        <v>-1500</v>
      </c>
      <c r="AT62" s="18">
        <f t="shared" si="135"/>
        <v>-1500</v>
      </c>
      <c r="AU62" s="18">
        <f t="shared" si="135"/>
        <v>-1500</v>
      </c>
      <c r="AV62" s="18">
        <f t="shared" si="135"/>
        <v>-1500</v>
      </c>
      <c r="AW62" s="18">
        <f t="shared" si="135"/>
        <v>-1500</v>
      </c>
      <c r="AX62" s="18">
        <f t="shared" si="135"/>
        <v>-1500</v>
      </c>
      <c r="AY62" s="18">
        <f t="shared" si="135"/>
        <v>-1500</v>
      </c>
      <c r="AZ62" s="18">
        <f t="shared" si="135"/>
        <v>-1500</v>
      </c>
      <c r="BA62" s="18">
        <f t="shared" si="135"/>
        <v>-1500</v>
      </c>
      <c r="BD62" s="18">
        <f t="shared" ref="BD62:BO62" si="136">-$B$62</f>
        <v>-1500</v>
      </c>
      <c r="BE62" s="18">
        <f t="shared" si="136"/>
        <v>-1500</v>
      </c>
      <c r="BF62" s="18">
        <f t="shared" si="136"/>
        <v>-1500</v>
      </c>
      <c r="BG62" s="18">
        <f t="shared" si="136"/>
        <v>-1500</v>
      </c>
      <c r="BH62" s="18">
        <f t="shared" si="136"/>
        <v>-1500</v>
      </c>
      <c r="BI62" s="18">
        <f t="shared" si="136"/>
        <v>-1500</v>
      </c>
      <c r="BJ62" s="18">
        <f t="shared" si="136"/>
        <v>-1500</v>
      </c>
      <c r="BK62" s="18">
        <f t="shared" si="136"/>
        <v>-1500</v>
      </c>
      <c r="BL62" s="18">
        <f t="shared" si="136"/>
        <v>-1500</v>
      </c>
      <c r="BM62" s="18">
        <f t="shared" si="136"/>
        <v>-1500</v>
      </c>
      <c r="BN62" s="18">
        <f t="shared" si="136"/>
        <v>-1500</v>
      </c>
      <c r="BO62" s="18">
        <f t="shared" si="136"/>
        <v>-1500</v>
      </c>
      <c r="BR62" s="18">
        <f t="shared" ref="BR62:CC62" si="137">-$B$62</f>
        <v>-1500</v>
      </c>
      <c r="BS62" s="18">
        <f t="shared" si="137"/>
        <v>-1500</v>
      </c>
      <c r="BT62" s="18">
        <f t="shared" si="137"/>
        <v>-1500</v>
      </c>
      <c r="BU62" s="18">
        <f t="shared" si="137"/>
        <v>-1500</v>
      </c>
      <c r="BV62" s="18">
        <f t="shared" si="137"/>
        <v>-1500</v>
      </c>
      <c r="BW62" s="18">
        <f t="shared" si="137"/>
        <v>-1500</v>
      </c>
      <c r="BX62" s="18">
        <f t="shared" si="137"/>
        <v>-1500</v>
      </c>
      <c r="BY62" s="18">
        <f t="shared" si="137"/>
        <v>-1500</v>
      </c>
      <c r="BZ62" s="18">
        <f t="shared" si="137"/>
        <v>-1500</v>
      </c>
      <c r="CA62" s="18">
        <f t="shared" si="137"/>
        <v>-1500</v>
      </c>
      <c r="CB62" s="18">
        <f t="shared" si="137"/>
        <v>-1500</v>
      </c>
      <c r="CC62" s="18">
        <f t="shared" si="137"/>
        <v>-1500</v>
      </c>
    </row>
    <row r="63" spans="1:81" ht="14.25" customHeight="1">
      <c r="A63" s="140" t="s">
        <v>620</v>
      </c>
      <c r="B63" s="143">
        <f>5600/12</f>
        <v>466.66666666666669</v>
      </c>
      <c r="C63" s="144">
        <f t="shared" si="82"/>
        <v>5600</v>
      </c>
      <c r="D63" s="145"/>
      <c r="E63" s="142"/>
      <c r="F63" s="141">
        <f t="shared" si="83"/>
        <v>-5600.0000000000009</v>
      </c>
      <c r="G63" s="141">
        <f t="shared" si="84"/>
        <v>-5600.0000000000009</v>
      </c>
      <c r="H63" s="141">
        <f t="shared" si="85"/>
        <v>-5600.0000000000009</v>
      </c>
      <c r="I63" s="141">
        <f t="shared" si="86"/>
        <v>-5600.0000000000009</v>
      </c>
      <c r="J63" s="141">
        <f t="shared" si="87"/>
        <v>-5600.0000000000009</v>
      </c>
      <c r="N63" s="18">
        <f t="shared" ref="N63:Y63" si="138">-$B$63</f>
        <v>-466.66666666666669</v>
      </c>
      <c r="O63" s="18">
        <f t="shared" si="138"/>
        <v>-466.66666666666669</v>
      </c>
      <c r="P63" s="18">
        <f t="shared" si="138"/>
        <v>-466.66666666666669</v>
      </c>
      <c r="Q63" s="18">
        <f t="shared" si="138"/>
        <v>-466.66666666666669</v>
      </c>
      <c r="R63" s="18">
        <f t="shared" si="138"/>
        <v>-466.66666666666669</v>
      </c>
      <c r="S63" s="18">
        <f t="shared" si="138"/>
        <v>-466.66666666666669</v>
      </c>
      <c r="T63" s="18">
        <f t="shared" si="138"/>
        <v>-466.66666666666669</v>
      </c>
      <c r="U63" s="18">
        <f t="shared" si="138"/>
        <v>-466.66666666666669</v>
      </c>
      <c r="V63" s="18">
        <f t="shared" si="138"/>
        <v>-466.66666666666669</v>
      </c>
      <c r="W63" s="18">
        <f t="shared" si="138"/>
        <v>-466.66666666666669</v>
      </c>
      <c r="X63" s="18">
        <f t="shared" si="138"/>
        <v>-466.66666666666669</v>
      </c>
      <c r="Y63" s="18">
        <f t="shared" si="138"/>
        <v>-466.66666666666669</v>
      </c>
      <c r="AB63" s="18">
        <f t="shared" ref="AB63:AM63" si="139">-$B$63</f>
        <v>-466.66666666666669</v>
      </c>
      <c r="AC63" s="18">
        <f t="shared" si="139"/>
        <v>-466.66666666666669</v>
      </c>
      <c r="AD63" s="18">
        <f t="shared" si="139"/>
        <v>-466.66666666666669</v>
      </c>
      <c r="AE63" s="18">
        <f t="shared" si="139"/>
        <v>-466.66666666666669</v>
      </c>
      <c r="AF63" s="18">
        <f t="shared" si="139"/>
        <v>-466.66666666666669</v>
      </c>
      <c r="AG63" s="18">
        <f t="shared" si="139"/>
        <v>-466.66666666666669</v>
      </c>
      <c r="AH63" s="18">
        <f t="shared" si="139"/>
        <v>-466.66666666666669</v>
      </c>
      <c r="AI63" s="18">
        <f t="shared" si="139"/>
        <v>-466.66666666666669</v>
      </c>
      <c r="AJ63" s="18">
        <f t="shared" si="139"/>
        <v>-466.66666666666669</v>
      </c>
      <c r="AK63" s="18">
        <f t="shared" si="139"/>
        <v>-466.66666666666669</v>
      </c>
      <c r="AL63" s="18">
        <f t="shared" si="139"/>
        <v>-466.66666666666669</v>
      </c>
      <c r="AM63" s="18">
        <f t="shared" si="139"/>
        <v>-466.66666666666669</v>
      </c>
      <c r="AP63" s="18">
        <f t="shared" ref="AP63:BA63" si="140">-$B$63</f>
        <v>-466.66666666666669</v>
      </c>
      <c r="AQ63" s="18">
        <f t="shared" si="140"/>
        <v>-466.66666666666669</v>
      </c>
      <c r="AR63" s="18">
        <f t="shared" si="140"/>
        <v>-466.66666666666669</v>
      </c>
      <c r="AS63" s="18">
        <f t="shared" si="140"/>
        <v>-466.66666666666669</v>
      </c>
      <c r="AT63" s="18">
        <f t="shared" si="140"/>
        <v>-466.66666666666669</v>
      </c>
      <c r="AU63" s="18">
        <f t="shared" si="140"/>
        <v>-466.66666666666669</v>
      </c>
      <c r="AV63" s="18">
        <f t="shared" si="140"/>
        <v>-466.66666666666669</v>
      </c>
      <c r="AW63" s="18">
        <f t="shared" si="140"/>
        <v>-466.66666666666669</v>
      </c>
      <c r="AX63" s="18">
        <f t="shared" si="140"/>
        <v>-466.66666666666669</v>
      </c>
      <c r="AY63" s="18">
        <f t="shared" si="140"/>
        <v>-466.66666666666669</v>
      </c>
      <c r="AZ63" s="18">
        <f t="shared" si="140"/>
        <v>-466.66666666666669</v>
      </c>
      <c r="BA63" s="18">
        <f t="shared" si="140"/>
        <v>-466.66666666666669</v>
      </c>
      <c r="BD63" s="18">
        <f t="shared" ref="BD63:BO63" si="141">-$B$63</f>
        <v>-466.66666666666669</v>
      </c>
      <c r="BE63" s="18">
        <f t="shared" si="141"/>
        <v>-466.66666666666669</v>
      </c>
      <c r="BF63" s="18">
        <f t="shared" si="141"/>
        <v>-466.66666666666669</v>
      </c>
      <c r="BG63" s="18">
        <f t="shared" si="141"/>
        <v>-466.66666666666669</v>
      </c>
      <c r="BH63" s="18">
        <f t="shared" si="141"/>
        <v>-466.66666666666669</v>
      </c>
      <c r="BI63" s="18">
        <f t="shared" si="141"/>
        <v>-466.66666666666669</v>
      </c>
      <c r="BJ63" s="18">
        <f t="shared" si="141"/>
        <v>-466.66666666666669</v>
      </c>
      <c r="BK63" s="18">
        <f t="shared" si="141"/>
        <v>-466.66666666666669</v>
      </c>
      <c r="BL63" s="18">
        <f t="shared" si="141"/>
        <v>-466.66666666666669</v>
      </c>
      <c r="BM63" s="18">
        <f t="shared" si="141"/>
        <v>-466.66666666666669</v>
      </c>
      <c r="BN63" s="18">
        <f t="shared" si="141"/>
        <v>-466.66666666666669</v>
      </c>
      <c r="BO63" s="18">
        <f t="shared" si="141"/>
        <v>-466.66666666666669</v>
      </c>
      <c r="BR63" s="18">
        <f t="shared" ref="BR63:CC63" si="142">-$B$63</f>
        <v>-466.66666666666669</v>
      </c>
      <c r="BS63" s="18">
        <f t="shared" si="142"/>
        <v>-466.66666666666669</v>
      </c>
      <c r="BT63" s="18">
        <f t="shared" si="142"/>
        <v>-466.66666666666669</v>
      </c>
      <c r="BU63" s="18">
        <f t="shared" si="142"/>
        <v>-466.66666666666669</v>
      </c>
      <c r="BV63" s="18">
        <f t="shared" si="142"/>
        <v>-466.66666666666669</v>
      </c>
      <c r="BW63" s="18">
        <f t="shared" si="142"/>
        <v>-466.66666666666669</v>
      </c>
      <c r="BX63" s="18">
        <f t="shared" si="142"/>
        <v>-466.66666666666669</v>
      </c>
      <c r="BY63" s="18">
        <f t="shared" si="142"/>
        <v>-466.66666666666669</v>
      </c>
      <c r="BZ63" s="18">
        <f t="shared" si="142"/>
        <v>-466.66666666666669</v>
      </c>
      <c r="CA63" s="18">
        <f t="shared" si="142"/>
        <v>-466.66666666666669</v>
      </c>
      <c r="CB63" s="18">
        <f t="shared" si="142"/>
        <v>-466.66666666666669</v>
      </c>
      <c r="CC63" s="18">
        <f t="shared" si="142"/>
        <v>-466.66666666666669</v>
      </c>
    </row>
    <row r="64" spans="1:81" ht="14.25" customHeight="1">
      <c r="A64" s="140" t="s">
        <v>40</v>
      </c>
      <c r="B64" s="143">
        <v>1800</v>
      </c>
      <c r="C64" s="144">
        <f t="shared" si="82"/>
        <v>21600</v>
      </c>
      <c r="D64" s="142"/>
      <c r="E64" s="142"/>
      <c r="F64" s="141">
        <f t="shared" si="83"/>
        <v>-21600</v>
      </c>
      <c r="G64" s="141">
        <f t="shared" si="84"/>
        <v>-21600</v>
      </c>
      <c r="H64" s="141">
        <f t="shared" si="85"/>
        <v>-21600</v>
      </c>
      <c r="I64" s="141">
        <f t="shared" si="86"/>
        <v>-21600</v>
      </c>
      <c r="J64" s="141">
        <f t="shared" si="87"/>
        <v>-21600</v>
      </c>
      <c r="N64" s="18">
        <f t="shared" ref="N64:Y64" si="143">-$B$64</f>
        <v>-1800</v>
      </c>
      <c r="O64" s="18">
        <f t="shared" si="143"/>
        <v>-1800</v>
      </c>
      <c r="P64" s="18">
        <f t="shared" si="143"/>
        <v>-1800</v>
      </c>
      <c r="Q64" s="18">
        <f t="shared" si="143"/>
        <v>-1800</v>
      </c>
      <c r="R64" s="18">
        <f t="shared" si="143"/>
        <v>-1800</v>
      </c>
      <c r="S64" s="18">
        <f t="shared" si="143"/>
        <v>-1800</v>
      </c>
      <c r="T64" s="18">
        <f t="shared" si="143"/>
        <v>-1800</v>
      </c>
      <c r="U64" s="18">
        <f t="shared" si="143"/>
        <v>-1800</v>
      </c>
      <c r="V64" s="18">
        <f t="shared" si="143"/>
        <v>-1800</v>
      </c>
      <c r="W64" s="18">
        <f t="shared" si="143"/>
        <v>-1800</v>
      </c>
      <c r="X64" s="18">
        <f t="shared" si="143"/>
        <v>-1800</v>
      </c>
      <c r="Y64" s="18">
        <f t="shared" si="143"/>
        <v>-1800</v>
      </c>
      <c r="AB64" s="18">
        <f t="shared" ref="AB64:AM64" si="144">-$B$64</f>
        <v>-1800</v>
      </c>
      <c r="AC64" s="18">
        <f t="shared" si="144"/>
        <v>-1800</v>
      </c>
      <c r="AD64" s="18">
        <f t="shared" si="144"/>
        <v>-1800</v>
      </c>
      <c r="AE64" s="18">
        <f t="shared" si="144"/>
        <v>-1800</v>
      </c>
      <c r="AF64" s="18">
        <f t="shared" si="144"/>
        <v>-1800</v>
      </c>
      <c r="AG64" s="18">
        <f t="shared" si="144"/>
        <v>-1800</v>
      </c>
      <c r="AH64" s="18">
        <f t="shared" si="144"/>
        <v>-1800</v>
      </c>
      <c r="AI64" s="18">
        <f t="shared" si="144"/>
        <v>-1800</v>
      </c>
      <c r="AJ64" s="18">
        <f t="shared" si="144"/>
        <v>-1800</v>
      </c>
      <c r="AK64" s="18">
        <f t="shared" si="144"/>
        <v>-1800</v>
      </c>
      <c r="AL64" s="18">
        <f t="shared" si="144"/>
        <v>-1800</v>
      </c>
      <c r="AM64" s="18">
        <f t="shared" si="144"/>
        <v>-1800</v>
      </c>
      <c r="AP64" s="18">
        <f t="shared" ref="AP64:BA64" si="145">-$B$64</f>
        <v>-1800</v>
      </c>
      <c r="AQ64" s="18">
        <f t="shared" si="145"/>
        <v>-1800</v>
      </c>
      <c r="AR64" s="18">
        <f t="shared" si="145"/>
        <v>-1800</v>
      </c>
      <c r="AS64" s="18">
        <f t="shared" si="145"/>
        <v>-1800</v>
      </c>
      <c r="AT64" s="18">
        <f t="shared" si="145"/>
        <v>-1800</v>
      </c>
      <c r="AU64" s="18">
        <f t="shared" si="145"/>
        <v>-1800</v>
      </c>
      <c r="AV64" s="18">
        <f t="shared" si="145"/>
        <v>-1800</v>
      </c>
      <c r="AW64" s="18">
        <f t="shared" si="145"/>
        <v>-1800</v>
      </c>
      <c r="AX64" s="18">
        <f t="shared" si="145"/>
        <v>-1800</v>
      </c>
      <c r="AY64" s="18">
        <f t="shared" si="145"/>
        <v>-1800</v>
      </c>
      <c r="AZ64" s="18">
        <f t="shared" si="145"/>
        <v>-1800</v>
      </c>
      <c r="BA64" s="18">
        <f t="shared" si="145"/>
        <v>-1800</v>
      </c>
      <c r="BD64" s="18">
        <f t="shared" ref="BD64:BO64" si="146">-$B$64</f>
        <v>-1800</v>
      </c>
      <c r="BE64" s="18">
        <f t="shared" si="146"/>
        <v>-1800</v>
      </c>
      <c r="BF64" s="18">
        <f t="shared" si="146"/>
        <v>-1800</v>
      </c>
      <c r="BG64" s="18">
        <f t="shared" si="146"/>
        <v>-1800</v>
      </c>
      <c r="BH64" s="18">
        <f t="shared" si="146"/>
        <v>-1800</v>
      </c>
      <c r="BI64" s="18">
        <f t="shared" si="146"/>
        <v>-1800</v>
      </c>
      <c r="BJ64" s="18">
        <f t="shared" si="146"/>
        <v>-1800</v>
      </c>
      <c r="BK64" s="18">
        <f t="shared" si="146"/>
        <v>-1800</v>
      </c>
      <c r="BL64" s="18">
        <f t="shared" si="146"/>
        <v>-1800</v>
      </c>
      <c r="BM64" s="18">
        <f t="shared" si="146"/>
        <v>-1800</v>
      </c>
      <c r="BN64" s="18">
        <f t="shared" si="146"/>
        <v>-1800</v>
      </c>
      <c r="BO64" s="18">
        <f t="shared" si="146"/>
        <v>-1800</v>
      </c>
      <c r="BR64" s="18">
        <f t="shared" ref="BR64:CC64" si="147">-$B$64</f>
        <v>-1800</v>
      </c>
      <c r="BS64" s="18">
        <f t="shared" si="147"/>
        <v>-1800</v>
      </c>
      <c r="BT64" s="18">
        <f t="shared" si="147"/>
        <v>-1800</v>
      </c>
      <c r="BU64" s="18">
        <f t="shared" si="147"/>
        <v>-1800</v>
      </c>
      <c r="BV64" s="18">
        <f t="shared" si="147"/>
        <v>-1800</v>
      </c>
      <c r="BW64" s="18">
        <f t="shared" si="147"/>
        <v>-1800</v>
      </c>
      <c r="BX64" s="18">
        <f t="shared" si="147"/>
        <v>-1800</v>
      </c>
      <c r="BY64" s="18">
        <f t="shared" si="147"/>
        <v>-1800</v>
      </c>
      <c r="BZ64" s="18">
        <f t="shared" si="147"/>
        <v>-1800</v>
      </c>
      <c r="CA64" s="18">
        <f t="shared" si="147"/>
        <v>-1800</v>
      </c>
      <c r="CB64" s="18">
        <f t="shared" si="147"/>
        <v>-1800</v>
      </c>
      <c r="CC64" s="18">
        <f t="shared" si="147"/>
        <v>-1800</v>
      </c>
    </row>
    <row r="65" spans="1:81" ht="14.25" hidden="1" customHeight="1" outlineLevel="1">
      <c r="A65" s="7" t="s">
        <v>706</v>
      </c>
      <c r="B65" s="13"/>
      <c r="C65" s="8"/>
      <c r="F65" s="18"/>
      <c r="G65" s="18"/>
      <c r="H65" s="18"/>
      <c r="I65" s="18"/>
      <c r="J65" s="18"/>
      <c r="N65" s="18"/>
      <c r="O65" s="18"/>
      <c r="P65" s="18"/>
      <c r="Q65" s="18"/>
      <c r="R65" s="18"/>
      <c r="S65" s="18"/>
      <c r="T65" s="18"/>
      <c r="U65" s="18"/>
      <c r="V65" s="18"/>
      <c r="W65" s="18"/>
      <c r="X65" s="18"/>
      <c r="Y65" s="18"/>
      <c r="AB65" s="18"/>
      <c r="AC65" s="18"/>
      <c r="AD65" s="18"/>
      <c r="AE65" s="18"/>
      <c r="AF65" s="18"/>
      <c r="AG65" s="18"/>
      <c r="AH65" s="18"/>
      <c r="AI65" s="18"/>
      <c r="AJ65" s="18"/>
      <c r="AK65" s="18"/>
      <c r="AL65" s="18"/>
      <c r="AM65" s="18"/>
      <c r="AP65" s="18"/>
      <c r="AQ65" s="18"/>
      <c r="AR65" s="18"/>
      <c r="AS65" s="18"/>
      <c r="AT65" s="18"/>
      <c r="AU65" s="18"/>
      <c r="AV65" s="18"/>
      <c r="AW65" s="18"/>
      <c r="AX65" s="18"/>
      <c r="AY65" s="18"/>
      <c r="AZ65" s="18"/>
      <c r="BA65" s="18"/>
      <c r="BD65" s="18"/>
      <c r="BE65" s="18"/>
      <c r="BF65" s="18"/>
      <c r="BG65" s="18"/>
      <c r="BH65" s="18"/>
      <c r="BI65" s="18"/>
      <c r="BJ65" s="18"/>
      <c r="BK65" s="18"/>
      <c r="BL65" s="18"/>
      <c r="BM65" s="18"/>
      <c r="BN65" s="18"/>
      <c r="BO65" s="18"/>
      <c r="BR65" s="18"/>
      <c r="BS65" s="18"/>
      <c r="BT65" s="18"/>
      <c r="BU65" s="18"/>
      <c r="BV65" s="18"/>
      <c r="BW65" s="18"/>
      <c r="BX65" s="18"/>
      <c r="BY65" s="18"/>
      <c r="BZ65" s="18"/>
      <c r="CA65" s="18"/>
      <c r="CB65" s="18"/>
      <c r="CC65" s="18"/>
    </row>
    <row r="66" spans="1:81" ht="14.25" hidden="1" customHeight="1" outlineLevel="1">
      <c r="A66" s="193" t="s">
        <v>702</v>
      </c>
      <c r="B66" s="3">
        <v>35</v>
      </c>
      <c r="C66" s="8"/>
      <c r="F66" s="18"/>
      <c r="G66" s="18"/>
      <c r="H66" s="18"/>
      <c r="I66" s="18"/>
      <c r="J66" s="18"/>
      <c r="N66" s="18">
        <f t="shared" ref="N66:Y71" si="148">-N$31*$B66*N$21</f>
        <v>-5250</v>
      </c>
      <c r="O66" s="18">
        <f t="shared" si="148"/>
        <v>-5250</v>
      </c>
      <c r="P66" s="18">
        <f t="shared" si="148"/>
        <v>-5250</v>
      </c>
      <c r="Q66" s="18">
        <f t="shared" si="148"/>
        <v>-5250</v>
      </c>
      <c r="R66" s="18">
        <f t="shared" si="148"/>
        <v>-5250</v>
      </c>
      <c r="S66" s="18">
        <f t="shared" si="148"/>
        <v>-5250</v>
      </c>
      <c r="T66" s="18">
        <f t="shared" si="148"/>
        <v>-5250</v>
      </c>
      <c r="U66" s="18">
        <f t="shared" si="148"/>
        <v>-5250</v>
      </c>
      <c r="V66" s="18">
        <f t="shared" si="148"/>
        <v>-5250</v>
      </c>
      <c r="W66" s="18">
        <f t="shared" si="148"/>
        <v>-10500</v>
      </c>
      <c r="X66" s="18">
        <f t="shared" si="148"/>
        <v>-10500</v>
      </c>
      <c r="Y66" s="18">
        <f t="shared" si="148"/>
        <v>-10500</v>
      </c>
      <c r="AB66" s="18">
        <f t="shared" ref="AB66:AM71" si="149">-AB$31*$B66*AB$21</f>
        <v>-10500</v>
      </c>
      <c r="AC66" s="18">
        <f t="shared" si="149"/>
        <v>-10500</v>
      </c>
      <c r="AD66" s="18">
        <f t="shared" si="149"/>
        <v>-10500</v>
      </c>
      <c r="AE66" s="18">
        <f t="shared" si="149"/>
        <v>-10500</v>
      </c>
      <c r="AF66" s="18">
        <f t="shared" si="149"/>
        <v>-10500</v>
      </c>
      <c r="AG66" s="18">
        <f t="shared" si="149"/>
        <v>-10500</v>
      </c>
      <c r="AH66" s="18">
        <f t="shared" si="149"/>
        <v>-10500</v>
      </c>
      <c r="AI66" s="18">
        <f t="shared" si="149"/>
        <v>-10500</v>
      </c>
      <c r="AJ66" s="18">
        <f t="shared" si="149"/>
        <v>-10500</v>
      </c>
      <c r="AK66" s="18">
        <f t="shared" si="149"/>
        <v>-10500</v>
      </c>
      <c r="AL66" s="18">
        <f t="shared" si="149"/>
        <v>-10500</v>
      </c>
      <c r="AM66" s="18">
        <f t="shared" si="149"/>
        <v>-10500</v>
      </c>
      <c r="AP66" s="18">
        <f t="shared" ref="AP66:BA71" si="150">-AP$31*$B66*AP$21</f>
        <v>-15750</v>
      </c>
      <c r="AQ66" s="18">
        <f t="shared" si="150"/>
        <v>-15750</v>
      </c>
      <c r="AR66" s="18">
        <f t="shared" si="150"/>
        <v>-15750</v>
      </c>
      <c r="AS66" s="18">
        <f t="shared" si="150"/>
        <v>-15750</v>
      </c>
      <c r="AT66" s="18">
        <f t="shared" si="150"/>
        <v>-15750</v>
      </c>
      <c r="AU66" s="18">
        <f t="shared" si="150"/>
        <v>-15750</v>
      </c>
      <c r="AV66" s="18">
        <f t="shared" si="150"/>
        <v>-15750</v>
      </c>
      <c r="AW66" s="18">
        <f t="shared" si="150"/>
        <v>-15750</v>
      </c>
      <c r="AX66" s="18">
        <f t="shared" si="150"/>
        <v>-15750</v>
      </c>
      <c r="AY66" s="18">
        <f t="shared" si="150"/>
        <v>-15750</v>
      </c>
      <c r="AZ66" s="18">
        <f t="shared" si="150"/>
        <v>-15750</v>
      </c>
      <c r="BA66" s="18">
        <f t="shared" si="150"/>
        <v>-15750</v>
      </c>
      <c r="BD66" s="18">
        <f t="shared" ref="BD66:BO71" si="151">-BD$31*$B66*BD$21</f>
        <v>-15750</v>
      </c>
      <c r="BE66" s="18">
        <f t="shared" si="151"/>
        <v>-15750</v>
      </c>
      <c r="BF66" s="18">
        <f t="shared" si="151"/>
        <v>-15750</v>
      </c>
      <c r="BG66" s="18">
        <f t="shared" si="151"/>
        <v>-15750</v>
      </c>
      <c r="BH66" s="18">
        <f t="shared" si="151"/>
        <v>-15750</v>
      </c>
      <c r="BI66" s="18">
        <f t="shared" si="151"/>
        <v>-15750</v>
      </c>
      <c r="BJ66" s="18">
        <f t="shared" si="151"/>
        <v>-15750</v>
      </c>
      <c r="BK66" s="18">
        <f t="shared" si="151"/>
        <v>-15750</v>
      </c>
      <c r="BL66" s="18">
        <f t="shared" si="151"/>
        <v>-15750</v>
      </c>
      <c r="BM66" s="18">
        <f t="shared" si="151"/>
        <v>-15750</v>
      </c>
      <c r="BN66" s="18">
        <f t="shared" si="151"/>
        <v>-15750</v>
      </c>
      <c r="BO66" s="18">
        <f t="shared" si="151"/>
        <v>-15750</v>
      </c>
      <c r="BR66" s="18">
        <f t="shared" ref="BR66:CC71" si="152">-BR$31*$B66*BR$21</f>
        <v>-15750</v>
      </c>
      <c r="BS66" s="18">
        <f t="shared" si="152"/>
        <v>-15750</v>
      </c>
      <c r="BT66" s="18">
        <f t="shared" si="152"/>
        <v>-15750</v>
      </c>
      <c r="BU66" s="18">
        <f t="shared" si="152"/>
        <v>-15750</v>
      </c>
      <c r="BV66" s="18">
        <f t="shared" si="152"/>
        <v>-15750</v>
      </c>
      <c r="BW66" s="18">
        <f t="shared" si="152"/>
        <v>-15750</v>
      </c>
      <c r="BX66" s="18">
        <f t="shared" si="152"/>
        <v>-15750</v>
      </c>
      <c r="BY66" s="18">
        <f t="shared" si="152"/>
        <v>-15750</v>
      </c>
      <c r="BZ66" s="18">
        <f t="shared" si="152"/>
        <v>-15750</v>
      </c>
      <c r="CA66" s="18">
        <f t="shared" si="152"/>
        <v>-15750</v>
      </c>
      <c r="CB66" s="18">
        <f t="shared" si="152"/>
        <v>-15750</v>
      </c>
      <c r="CC66" s="18">
        <f t="shared" si="152"/>
        <v>-15750</v>
      </c>
    </row>
    <row r="67" spans="1:81" ht="14.25" hidden="1" customHeight="1" outlineLevel="1">
      <c r="A67" s="193" t="s">
        <v>707</v>
      </c>
      <c r="B67" s="3">
        <v>4</v>
      </c>
      <c r="C67" s="8"/>
      <c r="F67" s="18"/>
      <c r="G67" s="18"/>
      <c r="H67" s="18"/>
      <c r="I67" s="18"/>
      <c r="J67" s="18"/>
      <c r="N67" s="18">
        <f t="shared" si="148"/>
        <v>-600</v>
      </c>
      <c r="O67" s="18">
        <f t="shared" si="148"/>
        <v>-600</v>
      </c>
      <c r="P67" s="18">
        <f t="shared" si="148"/>
        <v>-600</v>
      </c>
      <c r="Q67" s="18">
        <f t="shared" si="148"/>
        <v>-600</v>
      </c>
      <c r="R67" s="18">
        <f t="shared" si="148"/>
        <v>-600</v>
      </c>
      <c r="S67" s="18">
        <f t="shared" si="148"/>
        <v>-600</v>
      </c>
      <c r="T67" s="18">
        <f t="shared" si="148"/>
        <v>-600</v>
      </c>
      <c r="U67" s="18">
        <f t="shared" si="148"/>
        <v>-600</v>
      </c>
      <c r="V67" s="18">
        <f t="shared" si="148"/>
        <v>-600</v>
      </c>
      <c r="W67" s="18">
        <f t="shared" si="148"/>
        <v>-1200</v>
      </c>
      <c r="X67" s="18">
        <f t="shared" si="148"/>
        <v>-1200</v>
      </c>
      <c r="Y67" s="18">
        <f t="shared" si="148"/>
        <v>-1200</v>
      </c>
      <c r="AB67" s="18">
        <f t="shared" si="149"/>
        <v>-1200</v>
      </c>
      <c r="AC67" s="18">
        <f t="shared" si="149"/>
        <v>-1200</v>
      </c>
      <c r="AD67" s="18">
        <f t="shared" si="149"/>
        <v>-1200</v>
      </c>
      <c r="AE67" s="18">
        <f t="shared" si="149"/>
        <v>-1200</v>
      </c>
      <c r="AF67" s="18">
        <f t="shared" si="149"/>
        <v>-1200</v>
      </c>
      <c r="AG67" s="18">
        <f t="shared" si="149"/>
        <v>-1200</v>
      </c>
      <c r="AH67" s="18">
        <f t="shared" si="149"/>
        <v>-1200</v>
      </c>
      <c r="AI67" s="18">
        <f t="shared" si="149"/>
        <v>-1200</v>
      </c>
      <c r="AJ67" s="18">
        <f t="shared" si="149"/>
        <v>-1200</v>
      </c>
      <c r="AK67" s="18">
        <f t="shared" si="149"/>
        <v>-1200</v>
      </c>
      <c r="AL67" s="18">
        <f t="shared" si="149"/>
        <v>-1200</v>
      </c>
      <c r="AM67" s="18">
        <f t="shared" si="149"/>
        <v>-1200</v>
      </c>
      <c r="AP67" s="18">
        <f t="shared" si="150"/>
        <v>-1800</v>
      </c>
      <c r="AQ67" s="18">
        <f t="shared" si="150"/>
        <v>-1800</v>
      </c>
      <c r="AR67" s="18">
        <f t="shared" si="150"/>
        <v>-1800</v>
      </c>
      <c r="AS67" s="18">
        <f t="shared" si="150"/>
        <v>-1800</v>
      </c>
      <c r="AT67" s="18">
        <f t="shared" si="150"/>
        <v>-1800</v>
      </c>
      <c r="AU67" s="18">
        <f t="shared" si="150"/>
        <v>-1800</v>
      </c>
      <c r="AV67" s="18">
        <f t="shared" si="150"/>
        <v>-1800</v>
      </c>
      <c r="AW67" s="18">
        <f t="shared" si="150"/>
        <v>-1800</v>
      </c>
      <c r="AX67" s="18">
        <f t="shared" si="150"/>
        <v>-1800</v>
      </c>
      <c r="AY67" s="18">
        <f t="shared" si="150"/>
        <v>-1800</v>
      </c>
      <c r="AZ67" s="18">
        <f t="shared" si="150"/>
        <v>-1800</v>
      </c>
      <c r="BA67" s="18">
        <f t="shared" si="150"/>
        <v>-1800</v>
      </c>
      <c r="BD67" s="18">
        <f t="shared" si="151"/>
        <v>-1800</v>
      </c>
      <c r="BE67" s="18">
        <f t="shared" si="151"/>
        <v>-1800</v>
      </c>
      <c r="BF67" s="18">
        <f t="shared" si="151"/>
        <v>-1800</v>
      </c>
      <c r="BG67" s="18">
        <f t="shared" si="151"/>
        <v>-1800</v>
      </c>
      <c r="BH67" s="18">
        <f t="shared" si="151"/>
        <v>-1800</v>
      </c>
      <c r="BI67" s="18">
        <f t="shared" si="151"/>
        <v>-1800</v>
      </c>
      <c r="BJ67" s="18">
        <f t="shared" si="151"/>
        <v>-1800</v>
      </c>
      <c r="BK67" s="18">
        <f t="shared" si="151"/>
        <v>-1800</v>
      </c>
      <c r="BL67" s="18">
        <f t="shared" si="151"/>
        <v>-1800</v>
      </c>
      <c r="BM67" s="18">
        <f t="shared" si="151"/>
        <v>-1800</v>
      </c>
      <c r="BN67" s="18">
        <f t="shared" si="151"/>
        <v>-1800</v>
      </c>
      <c r="BO67" s="18">
        <f t="shared" si="151"/>
        <v>-1800</v>
      </c>
      <c r="BR67" s="18">
        <f t="shared" si="152"/>
        <v>-1800</v>
      </c>
      <c r="BS67" s="18">
        <f t="shared" si="152"/>
        <v>-1800</v>
      </c>
      <c r="BT67" s="18">
        <f t="shared" si="152"/>
        <v>-1800</v>
      </c>
      <c r="BU67" s="18">
        <f t="shared" si="152"/>
        <v>-1800</v>
      </c>
      <c r="BV67" s="18">
        <f t="shared" si="152"/>
        <v>-1800</v>
      </c>
      <c r="BW67" s="18">
        <f t="shared" si="152"/>
        <v>-1800</v>
      </c>
      <c r="BX67" s="18">
        <f t="shared" si="152"/>
        <v>-1800</v>
      </c>
      <c r="BY67" s="18">
        <f t="shared" si="152"/>
        <v>-1800</v>
      </c>
      <c r="BZ67" s="18">
        <f t="shared" si="152"/>
        <v>-1800</v>
      </c>
      <c r="CA67" s="18">
        <f t="shared" si="152"/>
        <v>-1800</v>
      </c>
      <c r="CB67" s="18">
        <f t="shared" si="152"/>
        <v>-1800</v>
      </c>
      <c r="CC67" s="18">
        <f t="shared" si="152"/>
        <v>-1800</v>
      </c>
    </row>
    <row r="68" spans="1:81" ht="14.25" hidden="1" customHeight="1" outlineLevel="1">
      <c r="A68" s="193" t="s">
        <v>708</v>
      </c>
      <c r="B68" s="3">
        <v>8</v>
      </c>
      <c r="C68" s="8"/>
      <c r="F68" s="18"/>
      <c r="G68" s="18"/>
      <c r="H68" s="18"/>
      <c r="I68" s="18"/>
      <c r="J68" s="18"/>
      <c r="N68" s="18">
        <f t="shared" si="148"/>
        <v>-1200</v>
      </c>
      <c r="O68" s="18">
        <f t="shared" si="148"/>
        <v>-1200</v>
      </c>
      <c r="P68" s="18">
        <f t="shared" si="148"/>
        <v>-1200</v>
      </c>
      <c r="Q68" s="18">
        <f t="shared" si="148"/>
        <v>-1200</v>
      </c>
      <c r="R68" s="18">
        <f t="shared" si="148"/>
        <v>-1200</v>
      </c>
      <c r="S68" s="18">
        <f t="shared" si="148"/>
        <v>-1200</v>
      </c>
      <c r="T68" s="18">
        <f t="shared" si="148"/>
        <v>-1200</v>
      </c>
      <c r="U68" s="18">
        <f t="shared" si="148"/>
        <v>-1200</v>
      </c>
      <c r="V68" s="18">
        <f t="shared" si="148"/>
        <v>-1200</v>
      </c>
      <c r="W68" s="18">
        <f t="shared" si="148"/>
        <v>-2400</v>
      </c>
      <c r="X68" s="18">
        <f t="shared" si="148"/>
        <v>-2400</v>
      </c>
      <c r="Y68" s="18">
        <f t="shared" si="148"/>
        <v>-2400</v>
      </c>
      <c r="AB68" s="18">
        <f t="shared" si="149"/>
        <v>-2400</v>
      </c>
      <c r="AC68" s="18">
        <f t="shared" si="149"/>
        <v>-2400</v>
      </c>
      <c r="AD68" s="18">
        <f t="shared" si="149"/>
        <v>-2400</v>
      </c>
      <c r="AE68" s="18">
        <f t="shared" si="149"/>
        <v>-2400</v>
      </c>
      <c r="AF68" s="18">
        <f t="shared" si="149"/>
        <v>-2400</v>
      </c>
      <c r="AG68" s="18">
        <f t="shared" si="149"/>
        <v>-2400</v>
      </c>
      <c r="AH68" s="18">
        <f t="shared" si="149"/>
        <v>-2400</v>
      </c>
      <c r="AI68" s="18">
        <f t="shared" si="149"/>
        <v>-2400</v>
      </c>
      <c r="AJ68" s="18">
        <f t="shared" si="149"/>
        <v>-2400</v>
      </c>
      <c r="AK68" s="18">
        <f t="shared" si="149"/>
        <v>-2400</v>
      </c>
      <c r="AL68" s="18">
        <f t="shared" si="149"/>
        <v>-2400</v>
      </c>
      <c r="AM68" s="18">
        <f t="shared" si="149"/>
        <v>-2400</v>
      </c>
      <c r="AP68" s="18">
        <f t="shared" si="150"/>
        <v>-3600</v>
      </c>
      <c r="AQ68" s="18">
        <f t="shared" si="150"/>
        <v>-3600</v>
      </c>
      <c r="AR68" s="18">
        <f t="shared" si="150"/>
        <v>-3600</v>
      </c>
      <c r="AS68" s="18">
        <f t="shared" si="150"/>
        <v>-3600</v>
      </c>
      <c r="AT68" s="18">
        <f t="shared" si="150"/>
        <v>-3600</v>
      </c>
      <c r="AU68" s="18">
        <f t="shared" si="150"/>
        <v>-3600</v>
      </c>
      <c r="AV68" s="18">
        <f t="shared" si="150"/>
        <v>-3600</v>
      </c>
      <c r="AW68" s="18">
        <f t="shared" si="150"/>
        <v>-3600</v>
      </c>
      <c r="AX68" s="18">
        <f t="shared" si="150"/>
        <v>-3600</v>
      </c>
      <c r="AY68" s="18">
        <f t="shared" si="150"/>
        <v>-3600</v>
      </c>
      <c r="AZ68" s="18">
        <f t="shared" si="150"/>
        <v>-3600</v>
      </c>
      <c r="BA68" s="18">
        <f t="shared" si="150"/>
        <v>-3600</v>
      </c>
      <c r="BD68" s="18">
        <f t="shared" si="151"/>
        <v>-3600</v>
      </c>
      <c r="BE68" s="18">
        <f t="shared" si="151"/>
        <v>-3600</v>
      </c>
      <c r="BF68" s="18">
        <f t="shared" si="151"/>
        <v>-3600</v>
      </c>
      <c r="BG68" s="18">
        <f t="shared" si="151"/>
        <v>-3600</v>
      </c>
      <c r="BH68" s="18">
        <f t="shared" si="151"/>
        <v>-3600</v>
      </c>
      <c r="BI68" s="18">
        <f t="shared" si="151"/>
        <v>-3600</v>
      </c>
      <c r="BJ68" s="18">
        <f t="shared" si="151"/>
        <v>-3600</v>
      </c>
      <c r="BK68" s="18">
        <f t="shared" si="151"/>
        <v>-3600</v>
      </c>
      <c r="BL68" s="18">
        <f t="shared" si="151"/>
        <v>-3600</v>
      </c>
      <c r="BM68" s="18">
        <f t="shared" si="151"/>
        <v>-3600</v>
      </c>
      <c r="BN68" s="18">
        <f t="shared" si="151"/>
        <v>-3600</v>
      </c>
      <c r="BO68" s="18">
        <f t="shared" si="151"/>
        <v>-3600</v>
      </c>
      <c r="BR68" s="18">
        <f t="shared" si="152"/>
        <v>-3600</v>
      </c>
      <c r="BS68" s="18">
        <f t="shared" si="152"/>
        <v>-3600</v>
      </c>
      <c r="BT68" s="18">
        <f t="shared" si="152"/>
        <v>-3600</v>
      </c>
      <c r="BU68" s="18">
        <f t="shared" si="152"/>
        <v>-3600</v>
      </c>
      <c r="BV68" s="18">
        <f t="shared" si="152"/>
        <v>-3600</v>
      </c>
      <c r="BW68" s="18">
        <f t="shared" si="152"/>
        <v>-3600</v>
      </c>
      <c r="BX68" s="18">
        <f t="shared" si="152"/>
        <v>-3600</v>
      </c>
      <c r="BY68" s="18">
        <f t="shared" si="152"/>
        <v>-3600</v>
      </c>
      <c r="BZ68" s="18">
        <f t="shared" si="152"/>
        <v>-3600</v>
      </c>
      <c r="CA68" s="18">
        <f t="shared" si="152"/>
        <v>-3600</v>
      </c>
      <c r="CB68" s="18">
        <f t="shared" si="152"/>
        <v>-3600</v>
      </c>
      <c r="CC68" s="18">
        <f t="shared" si="152"/>
        <v>-3600</v>
      </c>
    </row>
    <row r="69" spans="1:81" ht="14.25" hidden="1" customHeight="1" outlineLevel="1">
      <c r="A69" s="193" t="s">
        <v>709</v>
      </c>
      <c r="B69" s="3">
        <v>10</v>
      </c>
      <c r="C69" s="8"/>
      <c r="F69" s="18"/>
      <c r="G69" s="18"/>
      <c r="H69" s="18"/>
      <c r="I69" s="18"/>
      <c r="J69" s="18"/>
      <c r="N69" s="18">
        <f t="shared" si="148"/>
        <v>-1500</v>
      </c>
      <c r="O69" s="18">
        <f t="shared" si="148"/>
        <v>-1500</v>
      </c>
      <c r="P69" s="18">
        <f t="shared" si="148"/>
        <v>-1500</v>
      </c>
      <c r="Q69" s="18">
        <f t="shared" si="148"/>
        <v>-1500</v>
      </c>
      <c r="R69" s="18">
        <f t="shared" si="148"/>
        <v>-1500</v>
      </c>
      <c r="S69" s="18">
        <f t="shared" si="148"/>
        <v>-1500</v>
      </c>
      <c r="T69" s="18">
        <f t="shared" si="148"/>
        <v>-1500</v>
      </c>
      <c r="U69" s="18">
        <f t="shared" si="148"/>
        <v>-1500</v>
      </c>
      <c r="V69" s="18">
        <f t="shared" si="148"/>
        <v>-1500</v>
      </c>
      <c r="W69" s="18">
        <f t="shared" si="148"/>
        <v>-3000</v>
      </c>
      <c r="X69" s="18">
        <f t="shared" si="148"/>
        <v>-3000</v>
      </c>
      <c r="Y69" s="18">
        <f t="shared" si="148"/>
        <v>-3000</v>
      </c>
      <c r="AB69" s="18">
        <f t="shared" si="149"/>
        <v>-3000</v>
      </c>
      <c r="AC69" s="18">
        <f t="shared" si="149"/>
        <v>-3000</v>
      </c>
      <c r="AD69" s="18">
        <f t="shared" si="149"/>
        <v>-3000</v>
      </c>
      <c r="AE69" s="18">
        <f t="shared" si="149"/>
        <v>-3000</v>
      </c>
      <c r="AF69" s="18">
        <f t="shared" si="149"/>
        <v>-3000</v>
      </c>
      <c r="AG69" s="18">
        <f t="shared" si="149"/>
        <v>-3000</v>
      </c>
      <c r="AH69" s="18">
        <f t="shared" si="149"/>
        <v>-3000</v>
      </c>
      <c r="AI69" s="18">
        <f t="shared" si="149"/>
        <v>-3000</v>
      </c>
      <c r="AJ69" s="18">
        <f t="shared" si="149"/>
        <v>-3000</v>
      </c>
      <c r="AK69" s="18">
        <f t="shared" si="149"/>
        <v>-3000</v>
      </c>
      <c r="AL69" s="18">
        <f t="shared" si="149"/>
        <v>-3000</v>
      </c>
      <c r="AM69" s="18">
        <f t="shared" si="149"/>
        <v>-3000</v>
      </c>
      <c r="AP69" s="18">
        <f t="shared" si="150"/>
        <v>-4500</v>
      </c>
      <c r="AQ69" s="18">
        <f t="shared" si="150"/>
        <v>-4500</v>
      </c>
      <c r="AR69" s="18">
        <f t="shared" si="150"/>
        <v>-4500</v>
      </c>
      <c r="AS69" s="18">
        <f t="shared" si="150"/>
        <v>-4500</v>
      </c>
      <c r="AT69" s="18">
        <f t="shared" si="150"/>
        <v>-4500</v>
      </c>
      <c r="AU69" s="18">
        <f t="shared" si="150"/>
        <v>-4500</v>
      </c>
      <c r="AV69" s="18">
        <f t="shared" si="150"/>
        <v>-4500</v>
      </c>
      <c r="AW69" s="18">
        <f t="shared" si="150"/>
        <v>-4500</v>
      </c>
      <c r="AX69" s="18">
        <f t="shared" si="150"/>
        <v>-4500</v>
      </c>
      <c r="AY69" s="18">
        <f t="shared" si="150"/>
        <v>-4500</v>
      </c>
      <c r="AZ69" s="18">
        <f t="shared" si="150"/>
        <v>-4500</v>
      </c>
      <c r="BA69" s="18">
        <f t="shared" si="150"/>
        <v>-4500</v>
      </c>
      <c r="BD69" s="18">
        <f t="shared" si="151"/>
        <v>-4500</v>
      </c>
      <c r="BE69" s="18">
        <f t="shared" si="151"/>
        <v>-4500</v>
      </c>
      <c r="BF69" s="18">
        <f t="shared" si="151"/>
        <v>-4500</v>
      </c>
      <c r="BG69" s="18">
        <f t="shared" si="151"/>
        <v>-4500</v>
      </c>
      <c r="BH69" s="18">
        <f t="shared" si="151"/>
        <v>-4500</v>
      </c>
      <c r="BI69" s="18">
        <f t="shared" si="151"/>
        <v>-4500</v>
      </c>
      <c r="BJ69" s="18">
        <f t="shared" si="151"/>
        <v>-4500</v>
      </c>
      <c r="BK69" s="18">
        <f t="shared" si="151"/>
        <v>-4500</v>
      </c>
      <c r="BL69" s="18">
        <f t="shared" si="151"/>
        <v>-4500</v>
      </c>
      <c r="BM69" s="18">
        <f t="shared" si="151"/>
        <v>-4500</v>
      </c>
      <c r="BN69" s="18">
        <f t="shared" si="151"/>
        <v>-4500</v>
      </c>
      <c r="BO69" s="18">
        <f t="shared" si="151"/>
        <v>-4500</v>
      </c>
      <c r="BR69" s="18">
        <f t="shared" si="152"/>
        <v>-4500</v>
      </c>
      <c r="BS69" s="18">
        <f t="shared" si="152"/>
        <v>-4500</v>
      </c>
      <c r="BT69" s="18">
        <f t="shared" si="152"/>
        <v>-4500</v>
      </c>
      <c r="BU69" s="18">
        <f t="shared" si="152"/>
        <v>-4500</v>
      </c>
      <c r="BV69" s="18">
        <f t="shared" si="152"/>
        <v>-4500</v>
      </c>
      <c r="BW69" s="18">
        <f t="shared" si="152"/>
        <v>-4500</v>
      </c>
      <c r="BX69" s="18">
        <f t="shared" si="152"/>
        <v>-4500</v>
      </c>
      <c r="BY69" s="18">
        <f t="shared" si="152"/>
        <v>-4500</v>
      </c>
      <c r="BZ69" s="18">
        <f t="shared" si="152"/>
        <v>-4500</v>
      </c>
      <c r="CA69" s="18">
        <f t="shared" si="152"/>
        <v>-4500</v>
      </c>
      <c r="CB69" s="18">
        <f t="shared" si="152"/>
        <v>-4500</v>
      </c>
      <c r="CC69" s="18">
        <f t="shared" si="152"/>
        <v>-4500</v>
      </c>
    </row>
    <row r="70" spans="1:81" ht="14.25" hidden="1" customHeight="1" outlineLevel="1">
      <c r="A70" s="193" t="s">
        <v>703</v>
      </c>
      <c r="B70" s="3">
        <v>15</v>
      </c>
      <c r="C70" s="8"/>
      <c r="F70" s="18"/>
      <c r="G70" s="18"/>
      <c r="H70" s="18"/>
      <c r="I70" s="18"/>
      <c r="J70" s="18"/>
      <c r="N70" s="18">
        <f t="shared" si="148"/>
        <v>-2250</v>
      </c>
      <c r="O70" s="18">
        <f t="shared" si="148"/>
        <v>-2250</v>
      </c>
      <c r="P70" s="18">
        <f t="shared" si="148"/>
        <v>-2250</v>
      </c>
      <c r="Q70" s="18">
        <f t="shared" si="148"/>
        <v>-2250</v>
      </c>
      <c r="R70" s="18">
        <f t="shared" si="148"/>
        <v>-2250</v>
      </c>
      <c r="S70" s="18">
        <f t="shared" si="148"/>
        <v>-2250</v>
      </c>
      <c r="T70" s="18">
        <f t="shared" si="148"/>
        <v>-2250</v>
      </c>
      <c r="U70" s="18">
        <f t="shared" si="148"/>
        <v>-2250</v>
      </c>
      <c r="V70" s="18">
        <f t="shared" si="148"/>
        <v>-2250</v>
      </c>
      <c r="W70" s="18">
        <f t="shared" si="148"/>
        <v>-4500</v>
      </c>
      <c r="X70" s="18">
        <f t="shared" si="148"/>
        <v>-4500</v>
      </c>
      <c r="Y70" s="18">
        <f t="shared" si="148"/>
        <v>-4500</v>
      </c>
      <c r="AB70" s="18">
        <f t="shared" si="149"/>
        <v>-4500</v>
      </c>
      <c r="AC70" s="18">
        <f t="shared" si="149"/>
        <v>-4500</v>
      </c>
      <c r="AD70" s="18">
        <f t="shared" si="149"/>
        <v>-4500</v>
      </c>
      <c r="AE70" s="18">
        <f t="shared" si="149"/>
        <v>-4500</v>
      </c>
      <c r="AF70" s="18">
        <f t="shared" si="149"/>
        <v>-4500</v>
      </c>
      <c r="AG70" s="18">
        <f t="shared" si="149"/>
        <v>-4500</v>
      </c>
      <c r="AH70" s="18">
        <f t="shared" si="149"/>
        <v>-4500</v>
      </c>
      <c r="AI70" s="18">
        <f t="shared" si="149"/>
        <v>-4500</v>
      </c>
      <c r="AJ70" s="18">
        <f t="shared" si="149"/>
        <v>-4500</v>
      </c>
      <c r="AK70" s="18">
        <f t="shared" si="149"/>
        <v>-4500</v>
      </c>
      <c r="AL70" s="18">
        <f t="shared" si="149"/>
        <v>-4500</v>
      </c>
      <c r="AM70" s="18">
        <f t="shared" si="149"/>
        <v>-4500</v>
      </c>
      <c r="AP70" s="18">
        <f t="shared" si="150"/>
        <v>-6750</v>
      </c>
      <c r="AQ70" s="18">
        <f t="shared" si="150"/>
        <v>-6750</v>
      </c>
      <c r="AR70" s="18">
        <f t="shared" si="150"/>
        <v>-6750</v>
      </c>
      <c r="AS70" s="18">
        <f t="shared" si="150"/>
        <v>-6750</v>
      </c>
      <c r="AT70" s="18">
        <f t="shared" si="150"/>
        <v>-6750</v>
      </c>
      <c r="AU70" s="18">
        <f t="shared" si="150"/>
        <v>-6750</v>
      </c>
      <c r="AV70" s="18">
        <f t="shared" si="150"/>
        <v>-6750</v>
      </c>
      <c r="AW70" s="18">
        <f t="shared" si="150"/>
        <v>-6750</v>
      </c>
      <c r="AX70" s="18">
        <f t="shared" si="150"/>
        <v>-6750</v>
      </c>
      <c r="AY70" s="18">
        <f t="shared" si="150"/>
        <v>-6750</v>
      </c>
      <c r="AZ70" s="18">
        <f t="shared" si="150"/>
        <v>-6750</v>
      </c>
      <c r="BA70" s="18">
        <f t="shared" si="150"/>
        <v>-6750</v>
      </c>
      <c r="BD70" s="18">
        <f t="shared" si="151"/>
        <v>-6750</v>
      </c>
      <c r="BE70" s="18">
        <f t="shared" si="151"/>
        <v>-6750</v>
      </c>
      <c r="BF70" s="18">
        <f t="shared" si="151"/>
        <v>-6750</v>
      </c>
      <c r="BG70" s="18">
        <f t="shared" si="151"/>
        <v>-6750</v>
      </c>
      <c r="BH70" s="18">
        <f t="shared" si="151"/>
        <v>-6750</v>
      </c>
      <c r="BI70" s="18">
        <f t="shared" si="151"/>
        <v>-6750</v>
      </c>
      <c r="BJ70" s="18">
        <f t="shared" si="151"/>
        <v>-6750</v>
      </c>
      <c r="BK70" s="18">
        <f t="shared" si="151"/>
        <v>-6750</v>
      </c>
      <c r="BL70" s="18">
        <f t="shared" si="151"/>
        <v>-6750</v>
      </c>
      <c r="BM70" s="18">
        <f t="shared" si="151"/>
        <v>-6750</v>
      </c>
      <c r="BN70" s="18">
        <f t="shared" si="151"/>
        <v>-6750</v>
      </c>
      <c r="BO70" s="18">
        <f t="shared" si="151"/>
        <v>-6750</v>
      </c>
      <c r="BR70" s="18">
        <f t="shared" si="152"/>
        <v>-6750</v>
      </c>
      <c r="BS70" s="18">
        <f t="shared" si="152"/>
        <v>-6750</v>
      </c>
      <c r="BT70" s="18">
        <f t="shared" si="152"/>
        <v>-6750</v>
      </c>
      <c r="BU70" s="18">
        <f t="shared" si="152"/>
        <v>-6750</v>
      </c>
      <c r="BV70" s="18">
        <f t="shared" si="152"/>
        <v>-6750</v>
      </c>
      <c r="BW70" s="18">
        <f t="shared" si="152"/>
        <v>-6750</v>
      </c>
      <c r="BX70" s="18">
        <f t="shared" si="152"/>
        <v>-6750</v>
      </c>
      <c r="BY70" s="18">
        <f t="shared" si="152"/>
        <v>-6750</v>
      </c>
      <c r="BZ70" s="18">
        <f t="shared" si="152"/>
        <v>-6750</v>
      </c>
      <c r="CA70" s="18">
        <f t="shared" si="152"/>
        <v>-6750</v>
      </c>
      <c r="CB70" s="18">
        <f t="shared" si="152"/>
        <v>-6750</v>
      </c>
      <c r="CC70" s="18">
        <f t="shared" si="152"/>
        <v>-6750</v>
      </c>
    </row>
    <row r="71" spans="1:81" ht="14.25" hidden="1" customHeight="1" outlineLevel="1">
      <c r="A71" s="193" t="s">
        <v>704</v>
      </c>
      <c r="B71" s="3">
        <v>10</v>
      </c>
      <c r="C71" s="8"/>
      <c r="F71" s="18"/>
      <c r="G71" s="18"/>
      <c r="H71" s="18"/>
      <c r="I71" s="18"/>
      <c r="J71" s="18"/>
      <c r="N71" s="18">
        <f t="shared" si="148"/>
        <v>-1500</v>
      </c>
      <c r="O71" s="18">
        <f t="shared" si="148"/>
        <v>-1500</v>
      </c>
      <c r="P71" s="18">
        <f t="shared" si="148"/>
        <v>-1500</v>
      </c>
      <c r="Q71" s="18">
        <f t="shared" si="148"/>
        <v>-1500</v>
      </c>
      <c r="R71" s="18">
        <f t="shared" si="148"/>
        <v>-1500</v>
      </c>
      <c r="S71" s="18">
        <f t="shared" si="148"/>
        <v>-1500</v>
      </c>
      <c r="T71" s="18">
        <f t="shared" si="148"/>
        <v>-1500</v>
      </c>
      <c r="U71" s="18">
        <f t="shared" si="148"/>
        <v>-1500</v>
      </c>
      <c r="V71" s="18">
        <f t="shared" si="148"/>
        <v>-1500</v>
      </c>
      <c r="W71" s="18">
        <f t="shared" si="148"/>
        <v>-3000</v>
      </c>
      <c r="X71" s="18">
        <f t="shared" si="148"/>
        <v>-3000</v>
      </c>
      <c r="Y71" s="18">
        <f t="shared" si="148"/>
        <v>-3000</v>
      </c>
      <c r="AB71" s="18">
        <f t="shared" si="149"/>
        <v>-3000</v>
      </c>
      <c r="AC71" s="18">
        <f t="shared" si="149"/>
        <v>-3000</v>
      </c>
      <c r="AD71" s="18">
        <f t="shared" si="149"/>
        <v>-3000</v>
      </c>
      <c r="AE71" s="18">
        <f t="shared" si="149"/>
        <v>-3000</v>
      </c>
      <c r="AF71" s="18">
        <f t="shared" si="149"/>
        <v>-3000</v>
      </c>
      <c r="AG71" s="18">
        <f t="shared" si="149"/>
        <v>-3000</v>
      </c>
      <c r="AH71" s="18">
        <f t="shared" si="149"/>
        <v>-3000</v>
      </c>
      <c r="AI71" s="18">
        <f t="shared" si="149"/>
        <v>-3000</v>
      </c>
      <c r="AJ71" s="18">
        <f t="shared" si="149"/>
        <v>-3000</v>
      </c>
      <c r="AK71" s="18">
        <f t="shared" si="149"/>
        <v>-3000</v>
      </c>
      <c r="AL71" s="18">
        <f t="shared" si="149"/>
        <v>-3000</v>
      </c>
      <c r="AM71" s="18">
        <f t="shared" si="149"/>
        <v>-3000</v>
      </c>
      <c r="AP71" s="18">
        <f t="shared" si="150"/>
        <v>-4500</v>
      </c>
      <c r="AQ71" s="18">
        <f t="shared" si="150"/>
        <v>-4500</v>
      </c>
      <c r="AR71" s="18">
        <f t="shared" si="150"/>
        <v>-4500</v>
      </c>
      <c r="AS71" s="18">
        <f t="shared" si="150"/>
        <v>-4500</v>
      </c>
      <c r="AT71" s="18">
        <f t="shared" si="150"/>
        <v>-4500</v>
      </c>
      <c r="AU71" s="18">
        <f t="shared" si="150"/>
        <v>-4500</v>
      </c>
      <c r="AV71" s="18">
        <f t="shared" si="150"/>
        <v>-4500</v>
      </c>
      <c r="AW71" s="18">
        <f t="shared" si="150"/>
        <v>-4500</v>
      </c>
      <c r="AX71" s="18">
        <f t="shared" si="150"/>
        <v>-4500</v>
      </c>
      <c r="AY71" s="18">
        <f t="shared" si="150"/>
        <v>-4500</v>
      </c>
      <c r="AZ71" s="18">
        <f t="shared" si="150"/>
        <v>-4500</v>
      </c>
      <c r="BA71" s="18">
        <f t="shared" si="150"/>
        <v>-4500</v>
      </c>
      <c r="BD71" s="18">
        <f t="shared" si="151"/>
        <v>-4500</v>
      </c>
      <c r="BE71" s="18">
        <f t="shared" si="151"/>
        <v>-4500</v>
      </c>
      <c r="BF71" s="18">
        <f t="shared" si="151"/>
        <v>-4500</v>
      </c>
      <c r="BG71" s="18">
        <f t="shared" si="151"/>
        <v>-4500</v>
      </c>
      <c r="BH71" s="18">
        <f t="shared" si="151"/>
        <v>-4500</v>
      </c>
      <c r="BI71" s="18">
        <f t="shared" si="151"/>
        <v>-4500</v>
      </c>
      <c r="BJ71" s="18">
        <f t="shared" si="151"/>
        <v>-4500</v>
      </c>
      <c r="BK71" s="18">
        <f t="shared" si="151"/>
        <v>-4500</v>
      </c>
      <c r="BL71" s="18">
        <f t="shared" si="151"/>
        <v>-4500</v>
      </c>
      <c r="BM71" s="18">
        <f t="shared" si="151"/>
        <v>-4500</v>
      </c>
      <c r="BN71" s="18">
        <f t="shared" si="151"/>
        <v>-4500</v>
      </c>
      <c r="BO71" s="18">
        <f t="shared" si="151"/>
        <v>-4500</v>
      </c>
      <c r="BR71" s="18">
        <f t="shared" si="152"/>
        <v>-4500</v>
      </c>
      <c r="BS71" s="18">
        <f t="shared" si="152"/>
        <v>-4500</v>
      </c>
      <c r="BT71" s="18">
        <f t="shared" si="152"/>
        <v>-4500</v>
      </c>
      <c r="BU71" s="18">
        <f t="shared" si="152"/>
        <v>-4500</v>
      </c>
      <c r="BV71" s="18">
        <f t="shared" si="152"/>
        <v>-4500</v>
      </c>
      <c r="BW71" s="18">
        <f t="shared" si="152"/>
        <v>-4500</v>
      </c>
      <c r="BX71" s="18">
        <f t="shared" si="152"/>
        <v>-4500</v>
      </c>
      <c r="BY71" s="18">
        <f t="shared" si="152"/>
        <v>-4500</v>
      </c>
      <c r="BZ71" s="18">
        <f t="shared" si="152"/>
        <v>-4500</v>
      </c>
      <c r="CA71" s="18">
        <f t="shared" si="152"/>
        <v>-4500</v>
      </c>
      <c r="CB71" s="18">
        <f t="shared" si="152"/>
        <v>-4500</v>
      </c>
      <c r="CC71" s="18">
        <f t="shared" si="152"/>
        <v>-4500</v>
      </c>
    </row>
    <row r="72" spans="1:81" ht="14.25" customHeight="1" collapsed="1">
      <c r="A72" s="140" t="s">
        <v>705</v>
      </c>
      <c r="B72" s="141"/>
      <c r="C72" s="142"/>
      <c r="D72" s="142"/>
      <c r="E72" s="142"/>
      <c r="F72" s="141">
        <f>SUM(N66:Y71)</f>
        <v>-184500</v>
      </c>
      <c r="G72" s="141">
        <f>SUM(AB66:AM71)</f>
        <v>-295200</v>
      </c>
      <c r="H72" s="141">
        <f>SUM(AP66:BA71)</f>
        <v>-442800</v>
      </c>
      <c r="I72" s="141">
        <f>SUM(BD66:BO71)</f>
        <v>-442800</v>
      </c>
      <c r="J72" s="141">
        <f>SUM(BR66:CC71)</f>
        <v>-442800</v>
      </c>
      <c r="N72" s="18"/>
      <c r="O72" s="18"/>
      <c r="P72" s="18"/>
      <c r="Q72" s="18"/>
      <c r="R72" s="18"/>
      <c r="S72" s="18"/>
      <c r="T72" s="18"/>
      <c r="U72" s="18"/>
      <c r="V72" s="18"/>
      <c r="W72" s="18"/>
      <c r="X72" s="18"/>
      <c r="Y72" s="18"/>
      <c r="AB72" s="18"/>
      <c r="AC72" s="18"/>
      <c r="AD72" s="18"/>
      <c r="AE72" s="18"/>
      <c r="AF72" s="18"/>
      <c r="AG72" s="18"/>
      <c r="AH72" s="18"/>
      <c r="AI72" s="18"/>
      <c r="AJ72" s="18"/>
      <c r="AK72" s="18"/>
      <c r="AL72" s="18"/>
      <c r="AM72" s="18"/>
      <c r="AP72" s="18"/>
      <c r="AQ72" s="18"/>
      <c r="AR72" s="18"/>
      <c r="AS72" s="18"/>
      <c r="AT72" s="18"/>
      <c r="AU72" s="18"/>
      <c r="AV72" s="18"/>
      <c r="AW72" s="18"/>
      <c r="AX72" s="18"/>
      <c r="AY72" s="18"/>
      <c r="AZ72" s="18"/>
      <c r="BA72" s="18"/>
      <c r="BD72" s="18"/>
      <c r="BE72" s="18"/>
      <c r="BF72" s="18"/>
      <c r="BG72" s="18"/>
      <c r="BH72" s="18"/>
      <c r="BI72" s="18"/>
      <c r="BJ72" s="18"/>
      <c r="BK72" s="18"/>
      <c r="BL72" s="18"/>
      <c r="BM72" s="18"/>
      <c r="BN72" s="18"/>
      <c r="BO72" s="18"/>
      <c r="BR72" s="18"/>
      <c r="BS72" s="18"/>
      <c r="BT72" s="18"/>
      <c r="BU72" s="18"/>
      <c r="BV72" s="18"/>
      <c r="BW72" s="18"/>
      <c r="BX72" s="18"/>
      <c r="BY72" s="18"/>
      <c r="BZ72" s="18"/>
      <c r="CA72" s="18"/>
      <c r="CB72" s="18"/>
      <c r="CC72" s="18"/>
    </row>
    <row r="73" spans="1:81" ht="14.25" customHeight="1">
      <c r="A73" s="140" t="s">
        <v>742</v>
      </c>
      <c r="B73" s="217">
        <v>0.02</v>
      </c>
      <c r="C73" s="148">
        <v>1550</v>
      </c>
      <c r="D73" s="144"/>
      <c r="E73" s="142"/>
      <c r="F73" s="155">
        <f>SUM(N73:Y73)</f>
        <v>-9851.6949152542384</v>
      </c>
      <c r="G73" s="155">
        <f>SUM(AB73:AM73)</f>
        <v>-15762.71186440678</v>
      </c>
      <c r="H73" s="155">
        <f>SUM(AP73:BA73)</f>
        <v>-23644.067796610165</v>
      </c>
      <c r="I73" s="155">
        <f>SUM(BD73:BO73)</f>
        <v>-23644.067796610165</v>
      </c>
      <c r="J73" s="155">
        <f>SUM(BR73:CC73)</f>
        <v>-23644.067796610165</v>
      </c>
      <c r="L73" s="19"/>
      <c r="M73" s="19"/>
      <c r="N73" s="18">
        <f>-$B$73*N34</f>
        <v>-656.77966101694926</v>
      </c>
      <c r="O73" s="18">
        <f t="shared" ref="O73:Y73" si="153">-$B$73*O34</f>
        <v>-656.77966101694926</v>
      </c>
      <c r="P73" s="18">
        <f t="shared" si="153"/>
        <v>-656.77966101694926</v>
      </c>
      <c r="Q73" s="18">
        <f t="shared" si="153"/>
        <v>-656.77966101694926</v>
      </c>
      <c r="R73" s="18">
        <f t="shared" si="153"/>
        <v>-656.77966101694926</v>
      </c>
      <c r="S73" s="18">
        <f t="shared" si="153"/>
        <v>-656.77966101694926</v>
      </c>
      <c r="T73" s="18">
        <f t="shared" si="153"/>
        <v>-656.77966101694926</v>
      </c>
      <c r="U73" s="18">
        <f t="shared" si="153"/>
        <v>-656.77966101694926</v>
      </c>
      <c r="V73" s="18">
        <f t="shared" si="153"/>
        <v>-656.77966101694926</v>
      </c>
      <c r="W73" s="18">
        <f t="shared" si="153"/>
        <v>-1313.5593220338985</v>
      </c>
      <c r="X73" s="18">
        <f t="shared" si="153"/>
        <v>-1313.5593220338985</v>
      </c>
      <c r="Y73" s="18">
        <f t="shared" si="153"/>
        <v>-1313.5593220338985</v>
      </c>
      <c r="Z73" s="18"/>
      <c r="AA73" s="18"/>
      <c r="AB73" s="18">
        <f>-$B$73*AB34</f>
        <v>-1313.5593220338985</v>
      </c>
      <c r="AC73" s="18">
        <f t="shared" ref="AC73:AM73" si="154">-$B$73*AC34</f>
        <v>-1313.5593220338985</v>
      </c>
      <c r="AD73" s="18">
        <f t="shared" si="154"/>
        <v>-1313.5593220338985</v>
      </c>
      <c r="AE73" s="18">
        <f t="shared" si="154"/>
        <v>-1313.5593220338985</v>
      </c>
      <c r="AF73" s="18">
        <f t="shared" si="154"/>
        <v>-1313.5593220338985</v>
      </c>
      <c r="AG73" s="18">
        <f t="shared" si="154"/>
        <v>-1313.5593220338985</v>
      </c>
      <c r="AH73" s="18">
        <f t="shared" si="154"/>
        <v>-1313.5593220338985</v>
      </c>
      <c r="AI73" s="18">
        <f t="shared" si="154"/>
        <v>-1313.5593220338985</v>
      </c>
      <c r="AJ73" s="18">
        <f t="shared" si="154"/>
        <v>-1313.5593220338985</v>
      </c>
      <c r="AK73" s="18">
        <f t="shared" si="154"/>
        <v>-1313.5593220338985</v>
      </c>
      <c r="AL73" s="18">
        <f t="shared" si="154"/>
        <v>-1313.5593220338985</v>
      </c>
      <c r="AM73" s="18">
        <f t="shared" si="154"/>
        <v>-1313.5593220338985</v>
      </c>
      <c r="AP73" s="18">
        <f>-$B$73*AP34</f>
        <v>-1970.3389830508477</v>
      </c>
      <c r="AQ73" s="18">
        <f t="shared" ref="AQ73:BA73" si="155">-$B$73*AQ34</f>
        <v>-1970.3389830508477</v>
      </c>
      <c r="AR73" s="18">
        <f t="shared" si="155"/>
        <v>-1970.3389830508477</v>
      </c>
      <c r="AS73" s="18">
        <f t="shared" si="155"/>
        <v>-1970.3389830508477</v>
      </c>
      <c r="AT73" s="18">
        <f t="shared" si="155"/>
        <v>-1970.3389830508477</v>
      </c>
      <c r="AU73" s="18">
        <f t="shared" si="155"/>
        <v>-1970.3389830508477</v>
      </c>
      <c r="AV73" s="18">
        <f t="shared" si="155"/>
        <v>-1970.3389830508477</v>
      </c>
      <c r="AW73" s="18">
        <f t="shared" si="155"/>
        <v>-1970.3389830508477</v>
      </c>
      <c r="AX73" s="18">
        <f t="shared" si="155"/>
        <v>-1970.3389830508477</v>
      </c>
      <c r="AY73" s="18">
        <f t="shared" si="155"/>
        <v>-1970.3389830508477</v>
      </c>
      <c r="AZ73" s="18">
        <f t="shared" si="155"/>
        <v>-1970.3389830508477</v>
      </c>
      <c r="BA73" s="18">
        <f t="shared" si="155"/>
        <v>-1970.3389830508477</v>
      </c>
      <c r="BD73" s="18">
        <f>-$B$73*BD34</f>
        <v>-1970.3389830508477</v>
      </c>
      <c r="BE73" s="18">
        <f t="shared" ref="BE73:BO73" si="156">-$B$73*BE34</f>
        <v>-1970.3389830508477</v>
      </c>
      <c r="BF73" s="18">
        <f t="shared" si="156"/>
        <v>-1970.3389830508477</v>
      </c>
      <c r="BG73" s="18">
        <f t="shared" si="156"/>
        <v>-1970.3389830508477</v>
      </c>
      <c r="BH73" s="18">
        <f t="shared" si="156"/>
        <v>-1970.3389830508477</v>
      </c>
      <c r="BI73" s="18">
        <f t="shared" si="156"/>
        <v>-1970.3389830508477</v>
      </c>
      <c r="BJ73" s="18">
        <f t="shared" si="156"/>
        <v>-1970.3389830508477</v>
      </c>
      <c r="BK73" s="18">
        <f t="shared" si="156"/>
        <v>-1970.3389830508477</v>
      </c>
      <c r="BL73" s="18">
        <f t="shared" si="156"/>
        <v>-1970.3389830508477</v>
      </c>
      <c r="BM73" s="18">
        <f t="shared" si="156"/>
        <v>-1970.3389830508477</v>
      </c>
      <c r="BN73" s="18">
        <f t="shared" si="156"/>
        <v>-1970.3389830508477</v>
      </c>
      <c r="BO73" s="18">
        <f t="shared" si="156"/>
        <v>-1970.3389830508477</v>
      </c>
      <c r="BR73" s="18">
        <f>-$B$73*BR34</f>
        <v>-1970.3389830508477</v>
      </c>
      <c r="BS73" s="18">
        <f t="shared" ref="BS73:CC73" si="157">-$B$73*BS34</f>
        <v>-1970.3389830508477</v>
      </c>
      <c r="BT73" s="18">
        <f t="shared" si="157"/>
        <v>-1970.3389830508477</v>
      </c>
      <c r="BU73" s="18">
        <f t="shared" si="157"/>
        <v>-1970.3389830508477</v>
      </c>
      <c r="BV73" s="18">
        <f t="shared" si="157"/>
        <v>-1970.3389830508477</v>
      </c>
      <c r="BW73" s="18">
        <f t="shared" si="157"/>
        <v>-1970.3389830508477</v>
      </c>
      <c r="BX73" s="18">
        <f t="shared" si="157"/>
        <v>-1970.3389830508477</v>
      </c>
      <c r="BY73" s="18">
        <f t="shared" si="157"/>
        <v>-1970.3389830508477</v>
      </c>
      <c r="BZ73" s="18">
        <f t="shared" si="157"/>
        <v>-1970.3389830508477</v>
      </c>
      <c r="CA73" s="18">
        <f t="shared" si="157"/>
        <v>-1970.3389830508477</v>
      </c>
      <c r="CB73" s="18">
        <f t="shared" si="157"/>
        <v>-1970.3389830508477</v>
      </c>
      <c r="CC73" s="18">
        <f t="shared" si="157"/>
        <v>-1970.3389830508477</v>
      </c>
    </row>
    <row r="74" spans="1:81" ht="14.25" customHeight="1">
      <c r="A74" s="7"/>
      <c r="B74" s="3"/>
      <c r="C74" s="8"/>
      <c r="F74" s="18"/>
      <c r="G74" s="18"/>
      <c r="H74" s="18"/>
      <c r="I74" s="18"/>
      <c r="J74" s="18"/>
      <c r="N74" s="18"/>
      <c r="O74" s="18"/>
      <c r="P74" s="18"/>
      <c r="Q74" s="18"/>
      <c r="R74" s="18"/>
      <c r="S74" s="18"/>
      <c r="T74" s="18"/>
      <c r="U74" s="18"/>
      <c r="V74" s="18"/>
      <c r="W74" s="18"/>
      <c r="X74" s="18"/>
      <c r="Y74" s="18"/>
      <c r="AB74" s="18"/>
      <c r="AC74" s="18"/>
      <c r="AD74" s="18"/>
      <c r="AE74" s="18"/>
      <c r="AF74" s="18"/>
      <c r="AG74" s="18"/>
      <c r="AH74" s="18"/>
      <c r="AI74" s="18"/>
      <c r="AJ74" s="18"/>
      <c r="AK74" s="18"/>
      <c r="AL74" s="18"/>
      <c r="AM74" s="18"/>
      <c r="AP74" s="18"/>
      <c r="AQ74" s="18"/>
      <c r="AR74" s="18"/>
      <c r="AS74" s="18"/>
      <c r="AT74" s="18"/>
      <c r="AU74" s="18"/>
      <c r="AV74" s="18"/>
      <c r="AW74" s="18"/>
      <c r="AX74" s="18"/>
      <c r="AY74" s="18"/>
      <c r="AZ74" s="18"/>
      <c r="BA74" s="18"/>
      <c r="BD74" s="18"/>
      <c r="BE74" s="18"/>
      <c r="BF74" s="18"/>
      <c r="BG74" s="18"/>
      <c r="BH74" s="18"/>
      <c r="BI74" s="18"/>
      <c r="BJ74" s="18"/>
      <c r="BK74" s="18"/>
      <c r="BL74" s="18"/>
      <c r="BM74" s="18"/>
      <c r="BN74" s="18"/>
      <c r="BO74" s="18"/>
      <c r="BR74" s="18"/>
      <c r="BS74" s="18"/>
      <c r="BT74" s="18"/>
      <c r="BU74" s="18"/>
      <c r="BV74" s="18"/>
      <c r="BW74" s="18"/>
      <c r="BX74" s="18"/>
      <c r="BY74" s="18"/>
      <c r="BZ74" s="18"/>
      <c r="CA74" s="18"/>
      <c r="CB74" s="18"/>
      <c r="CC74" s="18"/>
    </row>
    <row r="75" spans="1:81" ht="14.25" customHeight="1">
      <c r="A75" s="153" t="s">
        <v>617</v>
      </c>
      <c r="B75" s="143"/>
      <c r="C75" s="144"/>
      <c r="D75" s="142"/>
      <c r="E75" s="154">
        <f>-CAPEX!D35</f>
        <v>-499425.98241685377</v>
      </c>
      <c r="F75" s="154"/>
      <c r="G75" s="154"/>
      <c r="H75" s="154"/>
      <c r="I75" s="154"/>
      <c r="J75" s="154">
        <f>+CAPEX!H25</f>
        <v>8517.2280294231514</v>
      </c>
      <c r="N75" s="18"/>
      <c r="O75" s="18"/>
      <c r="P75" s="18"/>
      <c r="Q75" s="18"/>
      <c r="R75" s="18"/>
      <c r="S75" s="18"/>
      <c r="T75" s="18"/>
      <c r="U75" s="18"/>
      <c r="V75" s="18"/>
      <c r="W75" s="18"/>
      <c r="X75" s="18"/>
      <c r="Y75" s="18"/>
      <c r="AB75" s="18"/>
      <c r="AC75" s="18"/>
      <c r="AD75" s="18"/>
      <c r="AE75" s="18"/>
      <c r="AF75" s="18"/>
      <c r="AG75" s="18"/>
      <c r="AH75" s="18"/>
      <c r="AI75" s="18"/>
      <c r="AJ75" s="18"/>
      <c r="AK75" s="18"/>
      <c r="AL75" s="18"/>
      <c r="AM75" s="18"/>
      <c r="AP75" s="18"/>
      <c r="AQ75" s="18"/>
      <c r="AR75" s="18"/>
      <c r="AS75" s="18"/>
      <c r="AT75" s="18"/>
      <c r="AU75" s="18"/>
      <c r="AV75" s="18"/>
      <c r="AW75" s="18"/>
      <c r="AX75" s="18"/>
      <c r="AY75" s="18"/>
      <c r="AZ75" s="18"/>
      <c r="BA75" s="18"/>
      <c r="BD75" s="18"/>
      <c r="BE75" s="18"/>
      <c r="BF75" s="18"/>
      <c r="BG75" s="18"/>
      <c r="BH75" s="18"/>
      <c r="BI75" s="18"/>
      <c r="BJ75" s="18"/>
      <c r="BK75" s="18"/>
      <c r="BL75" s="18"/>
      <c r="BM75" s="18"/>
      <c r="BN75" s="18"/>
      <c r="BO75" s="18"/>
      <c r="BR75" s="18"/>
      <c r="BS75" s="18"/>
      <c r="BT75" s="18"/>
      <c r="BU75" s="18"/>
      <c r="BV75" s="18"/>
      <c r="BW75" s="18"/>
      <c r="BX75" s="18"/>
      <c r="BY75" s="18"/>
      <c r="BZ75" s="18"/>
      <c r="CA75" s="18"/>
      <c r="CB75" s="18"/>
      <c r="CC75" s="18"/>
    </row>
    <row r="76" spans="1:81" ht="14.25" customHeight="1">
      <c r="A76" s="216" t="s">
        <v>659</v>
      </c>
      <c r="B76" s="143"/>
      <c r="C76" s="144"/>
      <c r="D76" s="142"/>
      <c r="E76" s="141"/>
      <c r="F76" s="141">
        <f>SUM(N76:Y76)</f>
        <v>60000</v>
      </c>
      <c r="G76" s="141">
        <f>SUM(AB76:AM76)</f>
        <v>-60000</v>
      </c>
      <c r="H76" s="141"/>
      <c r="I76" s="141"/>
      <c r="J76" s="141"/>
      <c r="N76" s="199">
        <v>60000</v>
      </c>
      <c r="O76" s="138"/>
      <c r="P76" s="138"/>
      <c r="Q76" s="138"/>
      <c r="R76" s="138"/>
      <c r="S76" s="138"/>
      <c r="T76" s="138"/>
      <c r="U76" s="138"/>
      <c r="V76" s="138"/>
      <c r="W76" s="138"/>
      <c r="X76" s="138"/>
      <c r="Y76" s="199"/>
      <c r="AB76" s="18"/>
      <c r="AC76" s="18"/>
      <c r="AD76" s="18">
        <f>-$N$76</f>
        <v>-60000</v>
      </c>
      <c r="AE76" s="18"/>
      <c r="AF76" s="18"/>
      <c r="AG76" s="18"/>
      <c r="AH76" s="18"/>
      <c r="AI76" s="18"/>
      <c r="AJ76" s="18"/>
      <c r="AK76" s="18"/>
      <c r="AL76" s="18"/>
      <c r="AM76" s="18"/>
      <c r="AP76" s="18"/>
      <c r="AQ76" s="18"/>
      <c r="AR76" s="18"/>
      <c r="AS76" s="18"/>
      <c r="AT76" s="18"/>
      <c r="AU76" s="18"/>
      <c r="AV76" s="18"/>
      <c r="AW76" s="18"/>
      <c r="AX76" s="18"/>
      <c r="AY76" s="18"/>
      <c r="AZ76" s="18"/>
      <c r="BA76" s="18"/>
      <c r="BD76" s="18"/>
      <c r="BE76" s="18"/>
      <c r="BF76" s="18"/>
      <c r="BG76" s="18"/>
      <c r="BH76" s="18"/>
      <c r="BI76" s="18"/>
      <c r="BJ76" s="18"/>
      <c r="BK76" s="18"/>
      <c r="BL76" s="18"/>
      <c r="BM76" s="18"/>
      <c r="BN76" s="18"/>
      <c r="BO76" s="18"/>
      <c r="BR76" s="18"/>
      <c r="BS76" s="18"/>
      <c r="BT76" s="18"/>
      <c r="BU76" s="18"/>
      <c r="BV76" s="18"/>
      <c r="BW76" s="18"/>
      <c r="BX76" s="18"/>
      <c r="BY76" s="18"/>
      <c r="BZ76" s="18"/>
      <c r="CA76" s="18"/>
      <c r="CB76" s="18"/>
      <c r="CC76" s="18"/>
    </row>
    <row r="77" spans="1:81" ht="14.25" customHeight="1">
      <c r="A77" s="153" t="s">
        <v>660</v>
      </c>
      <c r="B77" s="143"/>
      <c r="C77" s="144"/>
      <c r="D77" s="142"/>
      <c r="E77" s="141"/>
      <c r="F77" s="141">
        <f>SUM(N77:Y77)</f>
        <v>-11200</v>
      </c>
      <c r="G77" s="141">
        <f>SUM(AB77:AM77)</f>
        <v>-2800</v>
      </c>
      <c r="H77" s="141"/>
      <c r="I77" s="141"/>
      <c r="J77" s="141"/>
      <c r="N77" s="131"/>
      <c r="O77" s="18"/>
      <c r="P77" s="18">
        <f>-$N$76*$B$83/3</f>
        <v>-2800</v>
      </c>
      <c r="Q77" s="18"/>
      <c r="R77" s="18"/>
      <c r="S77" s="18">
        <f>-$N$76*$B$83/3</f>
        <v>-2800</v>
      </c>
      <c r="T77" s="18"/>
      <c r="U77" s="18"/>
      <c r="V77" s="18">
        <f>-$N$76*$B$83/3</f>
        <v>-2800</v>
      </c>
      <c r="W77" s="18"/>
      <c r="X77" s="18"/>
      <c r="Y77" s="18">
        <f>-$N$76*$B$83/3</f>
        <v>-2800</v>
      </c>
      <c r="AB77" s="18"/>
      <c r="AC77" s="18"/>
      <c r="AD77" s="18">
        <f>-$N$76*$B$83/3</f>
        <v>-2800</v>
      </c>
      <c r="AE77" s="18"/>
      <c r="AF77" s="18"/>
      <c r="AG77" s="18"/>
      <c r="AH77" s="18"/>
      <c r="AI77" s="18"/>
      <c r="AJ77" s="18"/>
      <c r="AK77" s="18"/>
      <c r="AL77" s="18"/>
      <c r="AM77" s="18"/>
      <c r="AP77" s="18"/>
      <c r="AQ77" s="18"/>
      <c r="AR77" s="18"/>
      <c r="AS77" s="18"/>
      <c r="AT77" s="18"/>
      <c r="AU77" s="18"/>
      <c r="AV77" s="18"/>
      <c r="AW77" s="18"/>
      <c r="AX77" s="18"/>
      <c r="AY77" s="18"/>
      <c r="AZ77" s="18"/>
      <c r="BA77" s="18"/>
      <c r="BD77" s="18"/>
      <c r="BE77" s="18"/>
      <c r="BF77" s="18"/>
      <c r="BG77" s="18"/>
      <c r="BH77" s="18"/>
      <c r="BI77" s="18"/>
      <c r="BJ77" s="18"/>
      <c r="BK77" s="18"/>
      <c r="BL77" s="18"/>
      <c r="BM77" s="18"/>
      <c r="BN77" s="18"/>
      <c r="BO77" s="18"/>
      <c r="BR77" s="18"/>
      <c r="BS77" s="18"/>
      <c r="BT77" s="18"/>
      <c r="BU77" s="18"/>
      <c r="BV77" s="18"/>
      <c r="BW77" s="18"/>
      <c r="BX77" s="18"/>
      <c r="BY77" s="18"/>
      <c r="BZ77" s="18"/>
      <c r="CA77" s="18"/>
      <c r="CB77" s="18"/>
      <c r="CC77" s="18"/>
    </row>
    <row r="79" spans="1:81" ht="14.25" customHeight="1">
      <c r="A79" s="164" t="s">
        <v>664</v>
      </c>
      <c r="B79" s="143"/>
      <c r="C79" s="144"/>
      <c r="D79" s="142"/>
      <c r="E79" s="141"/>
      <c r="F79" s="141"/>
      <c r="G79" s="141"/>
      <c r="H79" s="141"/>
      <c r="I79" s="141"/>
      <c r="J79" s="163">
        <f>SUM(F73:J73)*1.12</f>
        <v>-108132.20338983051</v>
      </c>
      <c r="N79" s="131"/>
      <c r="O79" s="18"/>
      <c r="P79" s="18"/>
      <c r="Q79" s="18"/>
      <c r="R79" s="18"/>
      <c r="S79" s="18"/>
      <c r="T79" s="18"/>
      <c r="U79" s="18"/>
      <c r="V79" s="18"/>
      <c r="W79" s="18"/>
      <c r="X79" s="18"/>
      <c r="Y79" s="18"/>
      <c r="AB79" s="18"/>
      <c r="AC79" s="18"/>
      <c r="AD79" s="18"/>
      <c r="AE79" s="18"/>
      <c r="AF79" s="18"/>
      <c r="AG79" s="18"/>
      <c r="AH79" s="18"/>
      <c r="AI79" s="18"/>
      <c r="AJ79" s="18"/>
      <c r="AK79" s="18"/>
      <c r="AL79" s="18"/>
      <c r="AM79" s="18"/>
      <c r="AP79" s="18"/>
      <c r="AQ79" s="18"/>
      <c r="AR79" s="18"/>
      <c r="AS79" s="18"/>
      <c r="AT79" s="18"/>
      <c r="AU79" s="18"/>
      <c r="AV79" s="18"/>
      <c r="AW79" s="18"/>
      <c r="AX79" s="18"/>
      <c r="AY79" s="18"/>
      <c r="AZ79" s="18"/>
      <c r="BA79" s="18"/>
      <c r="BD79" s="18"/>
      <c r="BE79" s="18"/>
      <c r="BF79" s="18"/>
      <c r="BG79" s="18"/>
      <c r="BH79" s="18"/>
      <c r="BI79" s="18"/>
      <c r="BJ79" s="18"/>
      <c r="BK79" s="18"/>
      <c r="BL79" s="18"/>
      <c r="BM79" s="18"/>
      <c r="BN79" s="18"/>
      <c r="BO79" s="18"/>
      <c r="BR79" s="18"/>
      <c r="BS79" s="18"/>
      <c r="BT79" s="18"/>
      <c r="BU79" s="18"/>
      <c r="BV79" s="18"/>
      <c r="BW79" s="18"/>
      <c r="BX79" s="18"/>
      <c r="BY79" s="18"/>
      <c r="BZ79" s="18"/>
      <c r="CA79" s="18"/>
      <c r="CB79" s="18"/>
      <c r="CC79" s="18"/>
    </row>
    <row r="80" spans="1:81" ht="14.25" customHeight="1">
      <c r="A80" s="157"/>
      <c r="B80" s="3"/>
      <c r="C80" s="8"/>
      <c r="E80" s="18"/>
      <c r="F80" s="18"/>
      <c r="G80" s="18"/>
      <c r="H80" s="18"/>
      <c r="I80" s="18"/>
      <c r="J80" s="158"/>
      <c r="N80" s="131"/>
      <c r="O80" s="18"/>
      <c r="P80" s="18"/>
      <c r="Q80" s="18"/>
      <c r="R80" s="18"/>
      <c r="S80" s="18"/>
      <c r="T80" s="18"/>
      <c r="U80" s="18"/>
      <c r="V80" s="18"/>
      <c r="W80" s="18"/>
      <c r="X80" s="18"/>
      <c r="Y80" s="18"/>
      <c r="AB80" s="18"/>
      <c r="AC80" s="18"/>
      <c r="AD80" s="18"/>
      <c r="AE80" s="18"/>
      <c r="AF80" s="18"/>
      <c r="AG80" s="18"/>
      <c r="AH80" s="18"/>
      <c r="AI80" s="18"/>
      <c r="AJ80" s="18"/>
      <c r="AK80" s="18"/>
      <c r="AL80" s="18"/>
      <c r="AM80" s="18"/>
      <c r="AP80" s="18"/>
      <c r="AQ80" s="18"/>
      <c r="AR80" s="18"/>
      <c r="AS80" s="18"/>
      <c r="AT80" s="18"/>
      <c r="AU80" s="18"/>
      <c r="AV80" s="18"/>
      <c r="AW80" s="18"/>
      <c r="AX80" s="18"/>
      <c r="AY80" s="18"/>
      <c r="AZ80" s="18"/>
      <c r="BA80" s="18"/>
      <c r="BD80" s="18"/>
      <c r="BE80" s="18"/>
      <c r="BF80" s="18"/>
      <c r="BG80" s="18"/>
      <c r="BH80" s="18"/>
      <c r="BI80" s="18"/>
      <c r="BJ80" s="18"/>
      <c r="BK80" s="18"/>
      <c r="BL80" s="18"/>
      <c r="BM80" s="18"/>
      <c r="BN80" s="18"/>
      <c r="BO80" s="18"/>
      <c r="BR80" s="18"/>
      <c r="BS80" s="18"/>
      <c r="BT80" s="18"/>
      <c r="BU80" s="18"/>
      <c r="BV80" s="18"/>
      <c r="BW80" s="18"/>
      <c r="BX80" s="18"/>
      <c r="BY80" s="18"/>
      <c r="BZ80" s="18"/>
      <c r="CA80" s="18"/>
      <c r="CB80" s="18"/>
      <c r="CC80" s="18"/>
    </row>
    <row r="81" spans="1:81" ht="14.25" customHeight="1">
      <c r="A81" s="162" t="s">
        <v>676</v>
      </c>
      <c r="B81" s="3"/>
      <c r="C81" s="8"/>
      <c r="E81" s="18"/>
      <c r="F81" s="18">
        <f>-F36</f>
        <v>-88665.254237288143</v>
      </c>
      <c r="G81" s="18">
        <f>-G36</f>
        <v>-141864.40677966108</v>
      </c>
      <c r="H81" s="18">
        <f>-H36</f>
        <v>-212796.61016949153</v>
      </c>
      <c r="I81" s="18">
        <f>-I36</f>
        <v>-212796.61016949153</v>
      </c>
      <c r="J81" s="18">
        <f>-J36</f>
        <v>-212796.61016949153</v>
      </c>
      <c r="N81" s="18">
        <f t="shared" ref="N81:Y81" si="158">-N36</f>
        <v>-7627.1186440677957</v>
      </c>
      <c r="O81" s="18">
        <f t="shared" si="158"/>
        <v>-7627.1186440677957</v>
      </c>
      <c r="P81" s="18">
        <f t="shared" si="158"/>
        <v>-7627.1186440677957</v>
      </c>
      <c r="Q81" s="18">
        <f t="shared" si="158"/>
        <v>-7627.1186440677957</v>
      </c>
      <c r="R81" s="18">
        <f t="shared" si="158"/>
        <v>-7627.1186440677957</v>
      </c>
      <c r="S81" s="18">
        <f t="shared" si="158"/>
        <v>-7627.1186440677957</v>
      </c>
      <c r="T81" s="18">
        <f t="shared" si="158"/>
        <v>-7627.1186440677957</v>
      </c>
      <c r="U81" s="18">
        <f t="shared" si="158"/>
        <v>-7627.1186440677957</v>
      </c>
      <c r="V81" s="18">
        <f t="shared" si="158"/>
        <v>-7627.1186440677957</v>
      </c>
      <c r="W81" s="18">
        <f t="shared" si="158"/>
        <v>-15254.237288135591</v>
      </c>
      <c r="X81" s="18">
        <f t="shared" si="158"/>
        <v>-15254.237288135591</v>
      </c>
      <c r="Y81" s="18">
        <f t="shared" si="158"/>
        <v>-15254.237288135591</v>
      </c>
      <c r="AB81" s="18">
        <f t="shared" ref="AB81:AM81" si="159">-AB36</f>
        <v>-15254.237288135591</v>
      </c>
      <c r="AC81" s="18">
        <f t="shared" si="159"/>
        <v>-15254.237288135591</v>
      </c>
      <c r="AD81" s="18">
        <f t="shared" si="159"/>
        <v>-15254.237288135591</v>
      </c>
      <c r="AE81" s="18">
        <f t="shared" si="159"/>
        <v>-15254.237288135591</v>
      </c>
      <c r="AF81" s="18">
        <f t="shared" si="159"/>
        <v>-15254.237288135591</v>
      </c>
      <c r="AG81" s="18">
        <f t="shared" si="159"/>
        <v>-15254.237288135591</v>
      </c>
      <c r="AH81" s="18">
        <f t="shared" si="159"/>
        <v>-15254.237288135591</v>
      </c>
      <c r="AI81" s="18">
        <f t="shared" si="159"/>
        <v>-15254.237288135591</v>
      </c>
      <c r="AJ81" s="18">
        <f t="shared" si="159"/>
        <v>-15254.237288135591</v>
      </c>
      <c r="AK81" s="18">
        <f t="shared" si="159"/>
        <v>-15254.237288135591</v>
      </c>
      <c r="AL81" s="18">
        <f t="shared" si="159"/>
        <v>-15254.237288135591</v>
      </c>
      <c r="AM81" s="18">
        <f t="shared" si="159"/>
        <v>-15254.237288135591</v>
      </c>
      <c r="AP81" s="18">
        <f t="shared" ref="AP81:BA81" si="160">-AP36</f>
        <v>-22881.355932203391</v>
      </c>
      <c r="AQ81" s="18">
        <f t="shared" si="160"/>
        <v>-22881.355932203391</v>
      </c>
      <c r="AR81" s="18">
        <f t="shared" si="160"/>
        <v>-22881.355932203391</v>
      </c>
      <c r="AS81" s="18">
        <f t="shared" si="160"/>
        <v>-22881.355932203391</v>
      </c>
      <c r="AT81" s="18">
        <f t="shared" si="160"/>
        <v>-22881.355932203391</v>
      </c>
      <c r="AU81" s="18">
        <f t="shared" si="160"/>
        <v>-22881.355932203391</v>
      </c>
      <c r="AV81" s="18">
        <f t="shared" si="160"/>
        <v>-22881.355932203391</v>
      </c>
      <c r="AW81" s="18">
        <f t="shared" si="160"/>
        <v>-22881.355932203391</v>
      </c>
      <c r="AX81" s="18">
        <f t="shared" si="160"/>
        <v>-22881.355932203391</v>
      </c>
      <c r="AY81" s="18">
        <f t="shared" si="160"/>
        <v>-22881.355932203391</v>
      </c>
      <c r="AZ81" s="18">
        <f t="shared" si="160"/>
        <v>-22881.355932203391</v>
      </c>
      <c r="BA81" s="18">
        <f t="shared" si="160"/>
        <v>-22881.355932203391</v>
      </c>
      <c r="BD81" s="18">
        <f t="shared" ref="BD81:BO81" si="161">-BD36</f>
        <v>-22881.355932203391</v>
      </c>
      <c r="BE81" s="18">
        <f t="shared" si="161"/>
        <v>-22881.355932203391</v>
      </c>
      <c r="BF81" s="18">
        <f t="shared" si="161"/>
        <v>-22881.355932203391</v>
      </c>
      <c r="BG81" s="18">
        <f t="shared" si="161"/>
        <v>-22881.355932203391</v>
      </c>
      <c r="BH81" s="18">
        <f t="shared" si="161"/>
        <v>-22881.355932203391</v>
      </c>
      <c r="BI81" s="18">
        <f t="shared" si="161"/>
        <v>-22881.355932203391</v>
      </c>
      <c r="BJ81" s="18">
        <f t="shared" si="161"/>
        <v>-22881.355932203391</v>
      </c>
      <c r="BK81" s="18">
        <f t="shared" si="161"/>
        <v>-22881.355932203391</v>
      </c>
      <c r="BL81" s="18">
        <f t="shared" si="161"/>
        <v>-22881.355932203391</v>
      </c>
      <c r="BM81" s="18">
        <f t="shared" si="161"/>
        <v>-22881.355932203391</v>
      </c>
      <c r="BN81" s="18">
        <f t="shared" si="161"/>
        <v>-22881.355932203391</v>
      </c>
      <c r="BO81" s="18">
        <f t="shared" si="161"/>
        <v>-22881.355932203391</v>
      </c>
      <c r="BR81" s="18">
        <f t="shared" ref="BR81:CC81" si="162">-BR36</f>
        <v>-22881.355932203391</v>
      </c>
      <c r="BS81" s="18">
        <f t="shared" si="162"/>
        <v>-22881.355932203391</v>
      </c>
      <c r="BT81" s="18">
        <f t="shared" si="162"/>
        <v>-22881.355932203391</v>
      </c>
      <c r="BU81" s="18">
        <f t="shared" si="162"/>
        <v>-22881.355932203391</v>
      </c>
      <c r="BV81" s="18">
        <f t="shared" si="162"/>
        <v>-22881.355932203391</v>
      </c>
      <c r="BW81" s="18">
        <f t="shared" si="162"/>
        <v>-22881.355932203391</v>
      </c>
      <c r="BX81" s="18">
        <f t="shared" si="162"/>
        <v>-22881.355932203391</v>
      </c>
      <c r="BY81" s="18">
        <f t="shared" si="162"/>
        <v>-22881.355932203391</v>
      </c>
      <c r="BZ81" s="18">
        <f t="shared" si="162"/>
        <v>-22881.355932203391</v>
      </c>
      <c r="CA81" s="18">
        <f t="shared" si="162"/>
        <v>-22881.355932203391</v>
      </c>
      <c r="CB81" s="18">
        <f t="shared" si="162"/>
        <v>-22881.355932203391</v>
      </c>
      <c r="CC81" s="18">
        <f t="shared" si="162"/>
        <v>-22881.355932203391</v>
      </c>
    </row>
    <row r="82" spans="1:81" ht="14.25" customHeight="1">
      <c r="A82" s="157"/>
      <c r="B82" s="3"/>
      <c r="C82" s="8"/>
      <c r="E82" s="18"/>
      <c r="F82" s="18"/>
      <c r="G82" s="18"/>
      <c r="H82" s="18"/>
      <c r="I82" s="18"/>
      <c r="J82" s="158"/>
      <c r="N82" s="131"/>
      <c r="O82" s="18"/>
      <c r="P82" s="18"/>
      <c r="Q82" s="18"/>
      <c r="R82" s="18"/>
      <c r="S82" s="18"/>
      <c r="T82" s="18"/>
      <c r="U82" s="18"/>
      <c r="V82" s="18"/>
      <c r="W82" s="18"/>
      <c r="X82" s="18"/>
      <c r="Y82" s="18"/>
      <c r="AB82" s="18"/>
      <c r="AC82" s="18"/>
      <c r="AD82" s="18"/>
      <c r="AE82" s="18"/>
      <c r="AF82" s="18"/>
      <c r="AG82" s="18"/>
      <c r="AH82" s="18"/>
      <c r="AI82" s="18"/>
      <c r="AJ82" s="18"/>
      <c r="AK82" s="18"/>
      <c r="AL82" s="18"/>
      <c r="AM82" s="18"/>
      <c r="AP82" s="18"/>
      <c r="AQ82" s="18"/>
      <c r="AR82" s="18"/>
      <c r="AS82" s="18"/>
      <c r="AT82" s="18"/>
      <c r="AU82" s="18"/>
      <c r="AV82" s="18"/>
      <c r="AW82" s="18"/>
      <c r="AX82" s="18"/>
      <c r="AY82" s="18"/>
      <c r="AZ82" s="18"/>
      <c r="BA82" s="18"/>
      <c r="BD82" s="18"/>
      <c r="BE82" s="18"/>
      <c r="BF82" s="18"/>
      <c r="BG82" s="18"/>
      <c r="BH82" s="18"/>
      <c r="BI82" s="18"/>
      <c r="BJ82" s="18"/>
      <c r="BK82" s="18"/>
      <c r="BL82" s="18"/>
      <c r="BM82" s="18"/>
      <c r="BN82" s="18"/>
      <c r="BO82" s="18"/>
      <c r="BR82" s="18"/>
      <c r="BS82" s="18"/>
      <c r="BT82" s="18"/>
      <c r="BU82" s="18"/>
      <c r="BV82" s="18"/>
      <c r="BW82" s="18"/>
      <c r="BX82" s="18"/>
      <c r="BY82" s="18"/>
      <c r="BZ82" s="18"/>
      <c r="CA82" s="18"/>
      <c r="CB82" s="18"/>
      <c r="CC82" s="18"/>
    </row>
    <row r="83" spans="1:81" ht="14.25" customHeight="1">
      <c r="A83" s="124" t="s">
        <v>618</v>
      </c>
      <c r="B83" s="17">
        <v>0.14000000000000001</v>
      </c>
      <c r="C83" s="8"/>
      <c r="E83" s="18"/>
      <c r="F83" s="18"/>
      <c r="G83" s="18"/>
      <c r="H83" s="18"/>
      <c r="I83" s="18"/>
      <c r="J83" s="18"/>
      <c r="N83" s="18"/>
      <c r="O83" s="18"/>
      <c r="P83" s="18"/>
      <c r="Q83" s="18"/>
      <c r="R83" s="18"/>
      <c r="S83" s="18"/>
      <c r="T83" s="18"/>
      <c r="U83" s="18"/>
      <c r="V83" s="18"/>
      <c r="W83" s="18"/>
      <c r="X83" s="18"/>
      <c r="Y83" s="18"/>
      <c r="AB83" s="18"/>
      <c r="AC83" s="18"/>
      <c r="AD83" s="18"/>
      <c r="AE83" s="18"/>
      <c r="AF83" s="18"/>
      <c r="AG83" s="18"/>
      <c r="AH83" s="18"/>
      <c r="AI83" s="18"/>
      <c r="AJ83" s="18"/>
      <c r="AK83" s="18"/>
      <c r="AL83" s="18"/>
      <c r="AM83" s="18"/>
      <c r="AP83" s="18"/>
      <c r="AQ83" s="18"/>
      <c r="AR83" s="18"/>
      <c r="AS83" s="18"/>
      <c r="AT83" s="18"/>
      <c r="AU83" s="18"/>
      <c r="AV83" s="18"/>
      <c r="AW83" s="18"/>
      <c r="AX83" s="18"/>
      <c r="AY83" s="18"/>
      <c r="AZ83" s="18"/>
      <c r="BA83" s="18"/>
      <c r="BD83" s="18"/>
      <c r="BE83" s="18"/>
      <c r="BF83" s="18"/>
      <c r="BG83" s="18"/>
      <c r="BH83" s="18"/>
      <c r="BI83" s="18"/>
      <c r="BJ83" s="18"/>
      <c r="BK83" s="18"/>
      <c r="BL83" s="18"/>
      <c r="BM83" s="18"/>
      <c r="BN83" s="18"/>
      <c r="BO83" s="18"/>
      <c r="BR83" s="18"/>
      <c r="BS83" s="18"/>
      <c r="BT83" s="18"/>
      <c r="BU83" s="18"/>
      <c r="BV83" s="18"/>
      <c r="BW83" s="18"/>
      <c r="BX83" s="18"/>
      <c r="BY83" s="18"/>
      <c r="BZ83" s="18"/>
      <c r="CA83" s="18"/>
      <c r="CB83" s="18"/>
      <c r="CC83" s="18"/>
    </row>
    <row r="84" spans="1:81" ht="14.25" customHeight="1"/>
    <row r="85" spans="1:81" ht="14.25" customHeight="1">
      <c r="A85" s="123" t="s">
        <v>616</v>
      </c>
      <c r="B85" s="51"/>
      <c r="C85" s="51"/>
      <c r="D85" s="51"/>
      <c r="E85" s="168">
        <f>SUM(E34,E65:E84)</f>
        <v>-499425.98241685377</v>
      </c>
      <c r="F85" s="168">
        <f>SUM(F34:F64,F65:F84)</f>
        <v>44638.850847457594</v>
      </c>
      <c r="G85" s="168">
        <f>SUM(G34:G64,G65:G84)</f>
        <v>111978.68135593255</v>
      </c>
      <c r="H85" s="168">
        <f>SUM(H34:H64,H65:H84)</f>
        <v>413365.12203389837</v>
      </c>
      <c r="I85" s="168">
        <f>SUM(I34:I64,I65:I84)</f>
        <v>413365.12203389837</v>
      </c>
      <c r="J85" s="168">
        <f>SUM(J34:J64,J65:J84)</f>
        <v>313750.14667349099</v>
      </c>
      <c r="N85" s="122">
        <f>SUM(N34:N84)</f>
        <v>54682.686723163846</v>
      </c>
      <c r="O85" s="122">
        <f t="shared" ref="O85:Y85" si="163">SUM(O34:O84)</f>
        <v>-5317.3132768361575</v>
      </c>
      <c r="P85" s="122">
        <f t="shared" si="163"/>
        <v>-8117.3132768361575</v>
      </c>
      <c r="Q85" s="122">
        <f t="shared" si="163"/>
        <v>-5317.3132768361575</v>
      </c>
      <c r="R85" s="122">
        <f t="shared" si="163"/>
        <v>-5317.3132768361575</v>
      </c>
      <c r="S85" s="122">
        <f t="shared" si="163"/>
        <v>-8117.3132768361575</v>
      </c>
      <c r="T85" s="122">
        <f t="shared" si="163"/>
        <v>-5317.3132768361575</v>
      </c>
      <c r="U85" s="122">
        <f t="shared" si="163"/>
        <v>-5317.3132768361575</v>
      </c>
      <c r="V85" s="122">
        <f t="shared" si="163"/>
        <v>-8117.3132768361575</v>
      </c>
      <c r="W85" s="122">
        <f t="shared" si="163"/>
        <v>14564.890112994348</v>
      </c>
      <c r="X85" s="122">
        <f t="shared" si="163"/>
        <v>14564.890112994348</v>
      </c>
      <c r="Y85" s="122">
        <f t="shared" si="163"/>
        <v>11764.890112994348</v>
      </c>
      <c r="AB85" s="122">
        <f t="shared" ref="AB85:AM85" si="164">SUM(AB34:AB84)</f>
        <v>14564.890112994348</v>
      </c>
      <c r="AC85" s="122">
        <f t="shared" si="164"/>
        <v>14564.890112994348</v>
      </c>
      <c r="AD85" s="122">
        <f t="shared" si="164"/>
        <v>-48235.109887005652</v>
      </c>
      <c r="AE85" s="122">
        <f t="shared" si="164"/>
        <v>14564.890112994348</v>
      </c>
      <c r="AF85" s="122">
        <f t="shared" si="164"/>
        <v>14564.890112994348</v>
      </c>
      <c r="AG85" s="122">
        <f t="shared" si="164"/>
        <v>14564.890112994348</v>
      </c>
      <c r="AH85" s="122">
        <f t="shared" si="164"/>
        <v>14564.890112994348</v>
      </c>
      <c r="AI85" s="122">
        <f t="shared" si="164"/>
        <v>14564.890112994348</v>
      </c>
      <c r="AJ85" s="122">
        <f t="shared" si="164"/>
        <v>14564.890112994348</v>
      </c>
      <c r="AK85" s="122">
        <f t="shared" si="164"/>
        <v>14564.890112994348</v>
      </c>
      <c r="AL85" s="122">
        <f t="shared" si="164"/>
        <v>14564.890112994348</v>
      </c>
      <c r="AM85" s="122">
        <f t="shared" si="164"/>
        <v>14564.890112994348</v>
      </c>
      <c r="AP85" s="122">
        <f t="shared" ref="AP85:BA85" si="165">SUM(AP34:AP84)</f>
        <v>34447.093502824864</v>
      </c>
      <c r="AQ85" s="122">
        <f t="shared" si="165"/>
        <v>34447.093502824864</v>
      </c>
      <c r="AR85" s="122">
        <f t="shared" si="165"/>
        <v>34447.093502824864</v>
      </c>
      <c r="AS85" s="122">
        <f t="shared" si="165"/>
        <v>34447.093502824864</v>
      </c>
      <c r="AT85" s="122">
        <f t="shared" si="165"/>
        <v>34447.093502824864</v>
      </c>
      <c r="AU85" s="122">
        <f t="shared" si="165"/>
        <v>34447.093502824864</v>
      </c>
      <c r="AV85" s="122">
        <f t="shared" si="165"/>
        <v>34447.093502824864</v>
      </c>
      <c r="AW85" s="122">
        <f t="shared" si="165"/>
        <v>34447.093502824864</v>
      </c>
      <c r="AX85" s="122">
        <f t="shared" si="165"/>
        <v>34447.093502824864</v>
      </c>
      <c r="AY85" s="122">
        <f t="shared" si="165"/>
        <v>34447.093502824864</v>
      </c>
      <c r="AZ85" s="122">
        <f t="shared" si="165"/>
        <v>34447.093502824864</v>
      </c>
      <c r="BA85" s="122">
        <f t="shared" si="165"/>
        <v>34447.093502824864</v>
      </c>
      <c r="BD85" s="122">
        <f t="shared" ref="BD85:BO85" si="166">SUM(BD34:BD84)</f>
        <v>34447.093502824864</v>
      </c>
      <c r="BE85" s="122">
        <f t="shared" si="166"/>
        <v>34447.093502824864</v>
      </c>
      <c r="BF85" s="122">
        <f t="shared" si="166"/>
        <v>34447.093502824864</v>
      </c>
      <c r="BG85" s="122">
        <f t="shared" si="166"/>
        <v>34447.093502824864</v>
      </c>
      <c r="BH85" s="122">
        <f t="shared" si="166"/>
        <v>34447.093502824864</v>
      </c>
      <c r="BI85" s="122">
        <f t="shared" si="166"/>
        <v>34447.093502824864</v>
      </c>
      <c r="BJ85" s="122">
        <f t="shared" si="166"/>
        <v>34447.093502824864</v>
      </c>
      <c r="BK85" s="122">
        <f t="shared" si="166"/>
        <v>34447.093502824864</v>
      </c>
      <c r="BL85" s="122">
        <f t="shared" si="166"/>
        <v>34447.093502824864</v>
      </c>
      <c r="BM85" s="122">
        <f t="shared" si="166"/>
        <v>34447.093502824864</v>
      </c>
      <c r="BN85" s="122">
        <f t="shared" si="166"/>
        <v>34447.093502824864</v>
      </c>
      <c r="BO85" s="122">
        <f t="shared" si="166"/>
        <v>34447.093502824864</v>
      </c>
      <c r="BR85" s="122">
        <f t="shared" ref="BR85:CC85" si="167">SUM(BR34:BR84)</f>
        <v>34447.093502824864</v>
      </c>
      <c r="BS85" s="122">
        <f t="shared" si="167"/>
        <v>34447.093502824864</v>
      </c>
      <c r="BT85" s="122">
        <f t="shared" si="167"/>
        <v>34447.093502824864</v>
      </c>
      <c r="BU85" s="122">
        <f t="shared" si="167"/>
        <v>34447.093502824864</v>
      </c>
      <c r="BV85" s="122">
        <f t="shared" si="167"/>
        <v>34447.093502824864</v>
      </c>
      <c r="BW85" s="122">
        <f t="shared" si="167"/>
        <v>34447.093502824864</v>
      </c>
      <c r="BX85" s="122">
        <f t="shared" si="167"/>
        <v>34447.093502824864</v>
      </c>
      <c r="BY85" s="122">
        <f t="shared" si="167"/>
        <v>34447.093502824864</v>
      </c>
      <c r="BZ85" s="122">
        <f t="shared" si="167"/>
        <v>34447.093502824864</v>
      </c>
      <c r="CA85" s="122">
        <f t="shared" si="167"/>
        <v>34447.093502824864</v>
      </c>
      <c r="CB85" s="122">
        <f t="shared" si="167"/>
        <v>34447.093502824864</v>
      </c>
      <c r="CC85" s="122">
        <f t="shared" si="167"/>
        <v>34447.093502824864</v>
      </c>
    </row>
    <row r="86" spans="1:81" ht="14.25" customHeight="1">
      <c r="A86" s="205" t="s">
        <v>713</v>
      </c>
      <c r="E86" s="18">
        <f>SUM($E$85:E$85)</f>
        <v>-499425.98241685377</v>
      </c>
      <c r="F86" s="18">
        <f>SUM($E$85:F$85)</f>
        <v>-454787.13156939618</v>
      </c>
      <c r="G86" s="18">
        <f>SUM($E$85:G$85)</f>
        <v>-342808.45021346363</v>
      </c>
      <c r="H86" s="18">
        <f>SUM($E$85:H$85)</f>
        <v>70556.671820434742</v>
      </c>
      <c r="I86" s="18">
        <f>SUM($E$85:I$85)</f>
        <v>483921.79385433311</v>
      </c>
      <c r="J86" s="18">
        <f>SUM($E$85:J$85)</f>
        <v>797671.9405278241</v>
      </c>
      <c r="M86" s="124"/>
      <c r="N86" s="18">
        <f>SUM($N$85:N85)</f>
        <v>54682.686723163846</v>
      </c>
      <c r="O86" s="18">
        <f>SUM($N$85:O85)</f>
        <v>49365.373446327692</v>
      </c>
      <c r="P86" s="18">
        <f>SUM($N$85:P85)</f>
        <v>41248.060169491539</v>
      </c>
      <c r="Q86" s="18">
        <f>SUM($N$85:Q85)</f>
        <v>35930.746892655385</v>
      </c>
      <c r="R86" s="18">
        <f>SUM($N$85:R85)</f>
        <v>30613.433615819227</v>
      </c>
      <c r="S86" s="18">
        <f>SUM($N$85:S85)</f>
        <v>22496.12033898307</v>
      </c>
      <c r="T86" s="18">
        <f>SUM($N$85:T85)</f>
        <v>17178.807062146912</v>
      </c>
      <c r="U86" s="18">
        <f>SUM($N$85:U85)</f>
        <v>11861.493785310755</v>
      </c>
      <c r="V86" s="18">
        <f>SUM($N$85:V85)</f>
        <v>3744.1805084745974</v>
      </c>
      <c r="W86" s="18">
        <f>SUM($N$85:W85)</f>
        <v>18309.070621468945</v>
      </c>
      <c r="X86" s="18">
        <f>SUM($N$85:X85)</f>
        <v>32873.960734463297</v>
      </c>
      <c r="Y86" s="18">
        <f>SUM($N$85:Y85)</f>
        <v>44638.850847457645</v>
      </c>
      <c r="AB86" s="18">
        <f>SUM($N$85:AB85)</f>
        <v>59203.740960451993</v>
      </c>
      <c r="AC86" s="18">
        <f>SUM($N$85:AC85)</f>
        <v>73768.631073446333</v>
      </c>
      <c r="AD86" s="18">
        <f>SUM($N$85:AD85)</f>
        <v>25533.521186440681</v>
      </c>
      <c r="AE86" s="18">
        <f>SUM($N$85:AE85)</f>
        <v>40098.411299435029</v>
      </c>
      <c r="AF86" s="18">
        <f>SUM($N$85:AF85)</f>
        <v>54663.301412429377</v>
      </c>
      <c r="AG86" s="18">
        <f>SUM($N$85:AG85)</f>
        <v>69228.191525423725</v>
      </c>
      <c r="AH86" s="18">
        <f>SUM($N$85:AH85)</f>
        <v>83793.08163841808</v>
      </c>
      <c r="AI86" s="18">
        <f>SUM($N$85:AI85)</f>
        <v>98357.971751412435</v>
      </c>
      <c r="AJ86" s="18">
        <f>SUM($N$85:AJ85)</f>
        <v>112922.86186440679</v>
      </c>
      <c r="AK86" s="18">
        <f>SUM($N$85:AK85)</f>
        <v>127487.75197740115</v>
      </c>
      <c r="AL86" s="18">
        <f>SUM($N$85:AL85)</f>
        <v>142052.6420903955</v>
      </c>
      <c r="AM86" s="18">
        <f>SUM($N$85:AM85)</f>
        <v>156617.53220338986</v>
      </c>
      <c r="AP86" s="18">
        <f>SUM($N$85:AP85)</f>
        <v>191064.62570621472</v>
      </c>
      <c r="AQ86" s="18">
        <f>SUM($N$85:AQ85)</f>
        <v>225511.71920903958</v>
      </c>
      <c r="AR86" s="18">
        <f>SUM($N$85:AR85)</f>
        <v>259958.81271186445</v>
      </c>
      <c r="AS86" s="18">
        <f>SUM($N$85:AS85)</f>
        <v>294405.90621468931</v>
      </c>
      <c r="AT86" s="18">
        <f>SUM($N$85:AT85)</f>
        <v>328852.99971751415</v>
      </c>
      <c r="AU86" s="18">
        <f>SUM($N$85:AU85)</f>
        <v>363300.09322033904</v>
      </c>
      <c r="AV86" s="18">
        <f>SUM($N$85:AV85)</f>
        <v>397747.18672316393</v>
      </c>
      <c r="AW86" s="18">
        <f>SUM($N$85:AW85)</f>
        <v>432194.28022598883</v>
      </c>
      <c r="AX86" s="18">
        <f>SUM($N$85:AX85)</f>
        <v>466641.37372881372</v>
      </c>
      <c r="AY86" s="18">
        <f>SUM($N$85:AY85)</f>
        <v>501088.46723163861</v>
      </c>
      <c r="AZ86" s="18">
        <f>SUM($N$85:AZ85)</f>
        <v>535535.56073446351</v>
      </c>
      <c r="BA86" s="18">
        <f>SUM($N$85:BA85)</f>
        <v>569982.6542372884</v>
      </c>
      <c r="BD86" s="18">
        <f>SUM($N$85:BD85)</f>
        <v>604429.74774011329</v>
      </c>
      <c r="BE86" s="18">
        <f>SUM($N$85:BE85)</f>
        <v>638876.84124293819</v>
      </c>
      <c r="BF86" s="18">
        <f>SUM($N$85:BF85)</f>
        <v>673323.93474576308</v>
      </c>
      <c r="BG86" s="18">
        <f>SUM($N$85:BG85)</f>
        <v>707771.02824858797</v>
      </c>
      <c r="BH86" s="18">
        <f>SUM($N$85:BH85)</f>
        <v>742218.12175141287</v>
      </c>
      <c r="BI86" s="18">
        <f>SUM($N$85:BI85)</f>
        <v>776665.21525423776</v>
      </c>
      <c r="BJ86" s="18">
        <f>SUM($N$85:BJ85)</f>
        <v>811112.30875706265</v>
      </c>
      <c r="BK86" s="18">
        <f>SUM($N$85:BK85)</f>
        <v>845559.40225988755</v>
      </c>
      <c r="BL86" s="18">
        <f>SUM($N$85:BL85)</f>
        <v>880006.49576271244</v>
      </c>
      <c r="BM86" s="18">
        <f>SUM($N$85:BM85)</f>
        <v>914453.58926553733</v>
      </c>
      <c r="BN86" s="18">
        <f>SUM($N$85:BN85)</f>
        <v>948900.68276836223</v>
      </c>
      <c r="BO86" s="18">
        <f>SUM($N$85:BO85)</f>
        <v>983347.77627118712</v>
      </c>
      <c r="BR86" s="18">
        <f>SUM($N$85:BR85)</f>
        <v>1017794.869774012</v>
      </c>
      <c r="BS86" s="18">
        <f>SUM($N$85:BS85)</f>
        <v>1052241.9632768368</v>
      </c>
      <c r="BT86" s="18">
        <f>SUM($N$85:BT85)</f>
        <v>1086689.0567796617</v>
      </c>
      <c r="BU86" s="18">
        <f>SUM($N$85:BU85)</f>
        <v>1121136.1502824866</v>
      </c>
      <c r="BV86" s="18">
        <f>SUM($N$85:BV85)</f>
        <v>1155583.2437853115</v>
      </c>
      <c r="BW86" s="18">
        <f>SUM($N$85:BW85)</f>
        <v>1190030.3372881364</v>
      </c>
      <c r="BX86" s="18">
        <f>SUM($N$85:BX85)</f>
        <v>1224477.4307909613</v>
      </c>
      <c r="BY86" s="18">
        <f>SUM($N$85:BY85)</f>
        <v>1258924.5242937861</v>
      </c>
      <c r="BZ86" s="18">
        <f>SUM($N$85:BZ85)</f>
        <v>1293371.617796611</v>
      </c>
      <c r="CA86" s="18">
        <f>SUM($N$85:CA85)</f>
        <v>1327818.7112994359</v>
      </c>
      <c r="CB86" s="18">
        <f>SUM($N$85:CB85)</f>
        <v>1362265.8048022608</v>
      </c>
      <c r="CC86" s="18">
        <f>SUM($N$85:CC85)</f>
        <v>1396712.8983050857</v>
      </c>
    </row>
    <row r="87" spans="1:81" ht="14.25" customHeight="1">
      <c r="A87" s="205" t="s">
        <v>739</v>
      </c>
      <c r="E87" s="18"/>
      <c r="F87" s="25">
        <f>SUM(F$34,F$40:F$72,F73)/F$34</f>
        <v>-8.4475802150536863E-3</v>
      </c>
      <c r="G87" s="25">
        <f>SUM(G$34,G$40:G$72,G73)/G$34</f>
        <v>0.22176219784946272</v>
      </c>
      <c r="H87" s="25">
        <f>SUM(H$34,H$40:H$72,H73)/H$34</f>
        <v>0.34965651899641581</v>
      </c>
      <c r="I87" s="25">
        <f>SUM(I$34,I$40:I$72,I73)/I$34</f>
        <v>0.34965651899641581</v>
      </c>
      <c r="J87" s="25">
        <f>SUM(J$34,J$40:J$72,J73)/J$34</f>
        <v>0.34965651899641581</v>
      </c>
      <c r="M87" s="124"/>
      <c r="N87" s="18"/>
      <c r="O87" s="18"/>
      <c r="P87" s="18"/>
      <c r="Q87" s="18"/>
      <c r="R87" s="18"/>
      <c r="S87" s="18"/>
      <c r="T87" s="18"/>
      <c r="U87" s="18"/>
      <c r="V87" s="18"/>
      <c r="W87" s="18"/>
      <c r="X87" s="18"/>
      <c r="Y87" s="18"/>
      <c r="AB87" s="18"/>
      <c r="AC87" s="18"/>
      <c r="AD87" s="18"/>
      <c r="AE87" s="18"/>
      <c r="AF87" s="18"/>
      <c r="AG87" s="18"/>
      <c r="AH87" s="18"/>
      <c r="AI87" s="18"/>
      <c r="AJ87" s="18"/>
      <c r="AK87" s="18"/>
      <c r="AL87" s="18"/>
      <c r="AM87" s="18"/>
      <c r="AP87" s="18"/>
      <c r="AQ87" s="18"/>
      <c r="AR87" s="18"/>
      <c r="AS87" s="18"/>
      <c r="AT87" s="18"/>
      <c r="AU87" s="18"/>
      <c r="AV87" s="18"/>
      <c r="AW87" s="18"/>
      <c r="AX87" s="18"/>
      <c r="AY87" s="18"/>
      <c r="AZ87" s="18"/>
      <c r="BA87" s="18"/>
      <c r="BD87" s="18"/>
      <c r="BE87" s="18"/>
      <c r="BF87" s="18"/>
      <c r="BG87" s="18"/>
      <c r="BH87" s="18"/>
      <c r="BI87" s="18"/>
      <c r="BJ87" s="18"/>
      <c r="BK87" s="18"/>
      <c r="BL87" s="18"/>
      <c r="BM87" s="18"/>
      <c r="BN87" s="18"/>
      <c r="BO87" s="18"/>
      <c r="BR87" s="18"/>
      <c r="BS87" s="18"/>
      <c r="BT87" s="18"/>
      <c r="BU87" s="18"/>
      <c r="BV87" s="18"/>
      <c r="BW87" s="18"/>
      <c r="BX87" s="18"/>
      <c r="BY87" s="18"/>
      <c r="BZ87" s="18"/>
      <c r="CA87" s="18"/>
      <c r="CB87" s="18"/>
      <c r="CC87" s="18"/>
    </row>
    <row r="88" spans="1:81" ht="14.25" customHeight="1">
      <c r="G88" s="18"/>
      <c r="M88" s="124"/>
      <c r="N88" s="18"/>
      <c r="O88" s="18"/>
      <c r="P88" s="18"/>
      <c r="Q88" s="18"/>
      <c r="R88" s="18"/>
      <c r="S88" s="18"/>
      <c r="T88" s="18"/>
      <c r="U88" s="18"/>
      <c r="V88" s="18"/>
      <c r="W88" s="18"/>
      <c r="X88" s="18"/>
      <c r="Y88" s="18"/>
      <c r="AB88" s="18"/>
      <c r="AC88" s="18"/>
      <c r="AD88" s="18"/>
      <c r="AE88" s="18"/>
      <c r="AF88" s="18"/>
      <c r="AG88" s="18"/>
      <c r="AH88" s="18"/>
      <c r="AI88" s="18"/>
      <c r="AJ88" s="18"/>
      <c r="AK88" s="18"/>
      <c r="AL88" s="18"/>
      <c r="AM88" s="18"/>
      <c r="AP88" s="18"/>
      <c r="AQ88" s="18"/>
      <c r="AR88" s="18"/>
      <c r="AS88" s="18"/>
      <c r="AT88" s="18"/>
      <c r="AU88" s="18"/>
      <c r="AV88" s="18"/>
      <c r="AW88" s="18"/>
      <c r="AX88" s="18"/>
      <c r="AY88" s="18"/>
      <c r="AZ88" s="18"/>
      <c r="BA88" s="18"/>
      <c r="BD88" s="18"/>
      <c r="BE88" s="18"/>
      <c r="BF88" s="18"/>
      <c r="BG88" s="18"/>
      <c r="BH88" s="18"/>
      <c r="BI88" s="18"/>
      <c r="BJ88" s="18"/>
      <c r="BK88" s="18"/>
      <c r="BL88" s="18"/>
      <c r="BM88" s="18"/>
      <c r="BN88" s="18"/>
      <c r="BO88" s="18"/>
      <c r="BR88" s="18"/>
      <c r="BS88" s="18"/>
      <c r="BT88" s="18"/>
      <c r="BU88" s="18"/>
      <c r="BV88" s="18"/>
      <c r="BW88" s="18"/>
      <c r="BX88" s="18"/>
      <c r="BY88" s="18"/>
      <c r="BZ88" s="18"/>
      <c r="CA88" s="18"/>
      <c r="CB88" s="18"/>
      <c r="CC88" s="18"/>
    </row>
    <row r="89" spans="1:81" ht="14.25" customHeight="1">
      <c r="A89" s="169" t="s">
        <v>655</v>
      </c>
      <c r="B89" s="170"/>
      <c r="C89" s="170"/>
      <c r="D89" s="170"/>
      <c r="E89" s="171">
        <f>NPV(E93,E85:J85)</f>
        <v>250598.94071547163</v>
      </c>
      <c r="J89" s="18"/>
    </row>
    <row r="90" spans="1:81" ht="14.25" customHeight="1">
      <c r="A90" s="172" t="s">
        <v>654</v>
      </c>
      <c r="B90" s="7"/>
      <c r="C90" s="7"/>
      <c r="D90" s="7"/>
      <c r="E90" s="183">
        <f>IRR(E85:J85)</f>
        <v>0.31428129321280074</v>
      </c>
    </row>
    <row r="91" spans="1:81" ht="14.25" customHeight="1">
      <c r="A91" s="172" t="s">
        <v>663</v>
      </c>
      <c r="B91" s="7"/>
      <c r="C91" s="7"/>
      <c r="D91" s="7"/>
      <c r="E91" s="184">
        <f>-SUMIF(E85:J85,"&gt;=0",$E$85:$J$85)/SUMIF(E85:J85,"&lt;0",$E$85:$J$85)</f>
        <v>2.5971774969890027</v>
      </c>
    </row>
    <row r="92" spans="1:81" ht="14.25" customHeight="1">
      <c r="A92" s="172" t="s">
        <v>712</v>
      </c>
      <c r="B92" s="7"/>
      <c r="C92" s="7"/>
      <c r="D92" s="7"/>
      <c r="E92" s="206" cm="1">
        <f t="array" ref="E92">COUNTIF(E86:J86, "&lt;0") - 1 + ABS(INDEX(E86:J86, COUNTIF(E86:J86, "&lt;0")))  / (ABS(INDEX(E86:J86, COUNTIF(E86:J86, "&lt;0"))) + INDEX(E86:J86, COUNTIF(E86:J86, "&lt;0") + 1))</f>
        <v>2.8293115019639981</v>
      </c>
    </row>
    <row r="93" spans="1:81" ht="14.25" customHeight="1">
      <c r="A93" s="173" t="s">
        <v>41</v>
      </c>
      <c r="B93" s="174"/>
      <c r="C93" s="174"/>
      <c r="D93" s="174"/>
      <c r="E93" s="175">
        <v>0.15</v>
      </c>
    </row>
    <row r="94" spans="1:81" ht="14.25" customHeight="1"/>
    <row r="95" spans="1:81" ht="14.25" customHeight="1">
      <c r="A95" s="133" t="s">
        <v>665</v>
      </c>
      <c r="E95" s="18">
        <f>-SUM(F73:J73,J79)</f>
        <v>204678.81355932204</v>
      </c>
      <c r="F95" s="25">
        <f>E95/SUM($E$95:$E$96)</f>
        <v>0.20419879241346578</v>
      </c>
    </row>
    <row r="96" spans="1:81" ht="14.25" customHeight="1">
      <c r="A96" s="124" t="s">
        <v>619</v>
      </c>
      <c r="E96" s="18">
        <f>SUM(E85:J85)</f>
        <v>797671.9405278241</v>
      </c>
      <c r="F96" s="25">
        <f>E96/SUM($E$95:$E$96)</f>
        <v>0.79580120758653428</v>
      </c>
    </row>
    <row r="97" spans="1:16" ht="14.25" customHeight="1">
      <c r="E97" s="18"/>
    </row>
    <row r="98" spans="1:16" ht="14.25" hidden="1" customHeight="1" outlineLevel="1">
      <c r="E98" s="243" t="s">
        <v>755</v>
      </c>
      <c r="F98" s="122">
        <f>SUM(E85:J85)-SUM(N85:CC85)-SUM(E75:J75)-SUM(E79:J79)</f>
        <v>-4.9476511776447296E-10</v>
      </c>
      <c r="G98" s="122">
        <f>SUM(N34:CC34)-SUM(N32:CC33)</f>
        <v>0</v>
      </c>
    </row>
    <row r="99" spans="1:16" ht="14.25" hidden="1" customHeight="1" outlineLevel="1">
      <c r="E99" s="242" t="s">
        <v>754</v>
      </c>
      <c r="F99" s="122">
        <f>E14-D14-B14</f>
        <v>0</v>
      </c>
      <c r="G99" s="122">
        <f>E15-D15-B15</f>
        <v>0</v>
      </c>
    </row>
    <row r="100" spans="1:16" ht="14.25" hidden="1" customHeight="1" outlineLevel="1">
      <c r="A100" s="133" t="s">
        <v>661</v>
      </c>
      <c r="B100" s="127">
        <v>0.25</v>
      </c>
      <c r="E100" s="18">
        <f>E85</f>
        <v>-499425.98241685377</v>
      </c>
      <c r="F100" s="18">
        <f>SUM($E$100:E100)*$B$100</f>
        <v>-124856.49560421344</v>
      </c>
      <c r="G100" s="18">
        <f>SUM($E$100:F100)*$B$100</f>
        <v>-156070.6195052668</v>
      </c>
      <c r="H100" s="18">
        <f>SUM($E$100:G100)*$B$100</f>
        <v>-195088.2743815835</v>
      </c>
      <c r="I100" s="18">
        <f>SUM($E$100:H100)*$B$100</f>
        <v>-243860.34297697939</v>
      </c>
      <c r="J100" s="18">
        <f>SUM($E$100:I100)*$B$100</f>
        <v>-304825.42872122425</v>
      </c>
      <c r="M100" s="134">
        <f>(SUM(F85:J85,-J79)-SUM(F101:J101))*B102</f>
        <v>190264.4825726205</v>
      </c>
      <c r="N100" s="132"/>
      <c r="O100" s="132"/>
      <c r="P100" s="166"/>
    </row>
    <row r="101" spans="1:16" ht="14.25" hidden="1" customHeight="1" outlineLevel="1">
      <c r="A101" s="133" t="s">
        <v>662</v>
      </c>
      <c r="B101" s="127">
        <f>IRR(E101:J101)</f>
        <v>0.25</v>
      </c>
      <c r="E101" s="18">
        <f>E100</f>
        <v>-499425.98241685377</v>
      </c>
      <c r="F101" s="18">
        <f>-F100</f>
        <v>124856.49560421344</v>
      </c>
      <c r="G101" s="18">
        <f>-G100</f>
        <v>156070.6195052668</v>
      </c>
      <c r="H101" s="18">
        <f>-H100</f>
        <v>195088.2743815835</v>
      </c>
      <c r="I101" s="18">
        <f>-I100</f>
        <v>243860.34297697939</v>
      </c>
      <c r="J101" s="18">
        <f>-J100</f>
        <v>304825.42872122425</v>
      </c>
      <c r="M101" s="165" t="s">
        <v>678</v>
      </c>
      <c r="N101" s="50"/>
      <c r="O101" s="50"/>
      <c r="P101" s="160"/>
    </row>
    <row r="102" spans="1:16" ht="14.25" hidden="1" customHeight="1" outlineLevel="1">
      <c r="A102" s="161" t="s">
        <v>677</v>
      </c>
      <c r="B102" s="16">
        <f>50%</f>
        <v>0.5</v>
      </c>
    </row>
    <row r="103" spans="1:16" ht="14.25" hidden="1" customHeight="1" outlineLevel="1">
      <c r="A103" s="133"/>
      <c r="B103" s="127"/>
      <c r="E103" s="18"/>
      <c r="G103" s="18"/>
      <c r="H103" s="18"/>
      <c r="I103" s="18"/>
      <c r="J103" s="18"/>
    </row>
    <row r="104" spans="1:16" ht="14.25" customHeight="1" collapsed="1"/>
    <row r="105" spans="1:16" ht="14.25" customHeight="1">
      <c r="A105" s="161" t="s">
        <v>680</v>
      </c>
      <c r="B105" s="46"/>
    </row>
    <row r="106" spans="1:16" ht="14.25" customHeight="1">
      <c r="A106" s="176" t="s">
        <v>667</v>
      </c>
      <c r="B106" s="181" t="s">
        <v>668</v>
      </c>
      <c r="C106" s="181" t="s">
        <v>669</v>
      </c>
      <c r="D106" s="177" t="s">
        <v>670</v>
      </c>
    </row>
    <row r="107" spans="1:16" ht="14.25" customHeight="1">
      <c r="A107" s="178" t="s">
        <v>666</v>
      </c>
      <c r="B107" s="182">
        <v>0.16</v>
      </c>
      <c r="C107" s="179" t="s">
        <v>679</v>
      </c>
      <c r="D107" s="180" t="s">
        <v>671</v>
      </c>
    </row>
    <row r="108" spans="1:16" ht="14.25" customHeight="1">
      <c r="A108" s="178" t="s">
        <v>672</v>
      </c>
      <c r="B108" s="182">
        <v>0.02</v>
      </c>
      <c r="C108" s="179" t="s">
        <v>673</v>
      </c>
      <c r="D108" s="180" t="s">
        <v>674</v>
      </c>
    </row>
    <row r="109" spans="1:16" ht="14.25" customHeight="1"/>
    <row r="110" spans="1:16" ht="14.25" customHeight="1"/>
    <row r="111" spans="1:16" ht="14.25" customHeight="1"/>
    <row r="112" spans="1:16"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row r="1004" ht="14.25" customHeight="1"/>
    <row r="1005" ht="14.25" customHeight="1"/>
    <row r="1006" ht="14.25" customHeight="1"/>
    <row r="1007" ht="14.25" customHeight="1"/>
    <row r="1008" ht="14.25" customHeight="1"/>
    <row r="1009" ht="14.25" customHeight="1"/>
    <row r="1010" ht="14.25" customHeight="1"/>
    <row r="1011" ht="14.25" customHeight="1"/>
    <row r="1012" ht="14.25" customHeight="1"/>
    <row r="1013" ht="14.25" customHeight="1"/>
    <row r="1014" ht="14.25" customHeight="1"/>
    <row r="1015" ht="14.25" customHeight="1"/>
    <row r="1016" ht="14.25" customHeight="1"/>
    <row r="1017" ht="14.25" customHeight="1"/>
    <row r="1018" ht="14.25" customHeight="1"/>
    <row r="1019" ht="14.25" customHeight="1"/>
    <row r="1020" ht="14.25" customHeight="1"/>
    <row r="1021" ht="14.25" customHeight="1"/>
    <row r="1022" ht="14.25" customHeight="1"/>
    <row r="1023" ht="14.25" customHeight="1"/>
    <row r="1024" ht="14.25" customHeight="1"/>
    <row r="1025" ht="14.25" customHeight="1"/>
    <row r="1026" ht="14.25" customHeight="1"/>
    <row r="1027" ht="14.25" customHeight="1"/>
    <row r="1028" ht="14.25" customHeight="1"/>
    <row r="1029" ht="14.25" customHeight="1"/>
    <row r="1030" ht="14.25" customHeight="1"/>
    <row r="1031" ht="14.25" customHeight="1"/>
    <row r="1032" ht="14.25" customHeight="1"/>
    <row r="1033" ht="14.25" customHeight="1"/>
    <row r="1034" ht="14.25" customHeight="1"/>
    <row r="1035" ht="14.25" customHeight="1"/>
    <row r="1036" ht="14.25" customHeight="1"/>
    <row r="1037" ht="14.25" customHeight="1"/>
    <row r="1038" ht="14.25" customHeight="1"/>
    <row r="1039" ht="14.25" customHeight="1"/>
    <row r="1040" ht="14.25" customHeight="1"/>
    <row r="1041" ht="14.25" customHeight="1"/>
    <row r="1042" ht="14.25" customHeight="1"/>
  </sheetData>
  <mergeCells count="6">
    <mergeCell ref="BR17:CC17"/>
    <mergeCell ref="E17:J17"/>
    <mergeCell ref="N17:Y17"/>
    <mergeCell ref="AB17:AM17"/>
    <mergeCell ref="AP17:BA17"/>
    <mergeCell ref="BD17:BO17"/>
  </mergeCells>
  <hyperlinks>
    <hyperlink ref="B3" r:id="rId1" xr:uid="{5BE26BF3-B4FE-4838-A746-9C03E07379F7}"/>
  </hyperlinks>
  <pageMargins left="0.7" right="0.7" top="0.75" bottom="0.75" header="0" footer="0"/>
  <pageSetup scale="54" orientation="landscape" r:id="rId2"/>
  <colBreaks count="1" manualBreakCount="1">
    <brk id="10" max="1048575" man="1"/>
  </colBreaks>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AB283-4E5F-4083-8207-75F719B36353}">
  <dimension ref="A1:K957"/>
  <sheetViews>
    <sheetView showGridLines="0" zoomScale="80" zoomScaleNormal="80" workbookViewId="0">
      <selection activeCell="D35" sqref="D35"/>
    </sheetView>
  </sheetViews>
  <sheetFormatPr defaultColWidth="12.6640625" defaultRowHeight="15" customHeight="1"/>
  <cols>
    <col min="1" max="1" width="56.6640625" customWidth="1"/>
    <col min="2" max="3" width="17.33203125" customWidth="1"/>
    <col min="4" max="6" width="20.21875" customWidth="1"/>
    <col min="7" max="7" width="54.77734375" customWidth="1"/>
    <col min="8" max="8" width="10.6640625" customWidth="1"/>
    <col min="9" max="10" width="12.88671875" customWidth="1"/>
    <col min="11" max="11" width="10.6640625" customWidth="1"/>
    <col min="12" max="12" width="10" bestFit="1" customWidth="1"/>
    <col min="13" max="13" width="13.44140625" customWidth="1"/>
    <col min="14" max="14" width="8.6640625" customWidth="1"/>
    <col min="15" max="15" width="26.109375" customWidth="1"/>
    <col min="16" max="24" width="8.6640625" customWidth="1"/>
    <col min="25" max="25" width="9.33203125" bestFit="1" customWidth="1"/>
    <col min="26" max="27" width="8.6640625" customWidth="1"/>
    <col min="28" max="28" width="10.109375" customWidth="1"/>
    <col min="29" max="34" width="8.6640625" customWidth="1"/>
  </cols>
  <sheetData>
    <row r="1" spans="1:11" ht="18">
      <c r="A1" s="63" t="s">
        <v>1</v>
      </c>
      <c r="B1" s="63" t="s">
        <v>2</v>
      </c>
      <c r="C1" s="7"/>
    </row>
    <row r="2" spans="1:11" ht="18">
      <c r="A2" s="63" t="s">
        <v>3</v>
      </c>
      <c r="B2" s="63" t="s">
        <v>4</v>
      </c>
      <c r="C2" s="7"/>
    </row>
    <row r="3" spans="1:11" ht="14.25" customHeight="1">
      <c r="A3" t="s">
        <v>8</v>
      </c>
      <c r="B3" s="2" t="s">
        <v>7</v>
      </c>
      <c r="C3" s="2"/>
    </row>
    <row r="4" spans="1:11" ht="14.25" customHeight="1">
      <c r="A4" s="4" t="s">
        <v>10</v>
      </c>
      <c r="B4" s="21">
        <f>B6*D6</f>
        <v>12000</v>
      </c>
      <c r="C4" s="21"/>
      <c r="D4">
        <f>B4/10000</f>
        <v>1.2</v>
      </c>
      <c r="E4" s="24" t="s">
        <v>54</v>
      </c>
    </row>
    <row r="5" spans="1:11" ht="14.25" customHeight="1">
      <c r="A5" s="4" t="s">
        <v>16</v>
      </c>
      <c r="B5" s="11">
        <f>B6*2+D6*2</f>
        <v>440</v>
      </c>
      <c r="C5" s="11"/>
    </row>
    <row r="6" spans="1:11" ht="14.25" customHeight="1">
      <c r="A6" s="24" t="s">
        <v>55</v>
      </c>
      <c r="B6" s="11">
        <f>Summary!$B$6</f>
        <v>120</v>
      </c>
      <c r="C6" s="11"/>
      <c r="D6" s="11">
        <f>Summary!$C$6</f>
        <v>100</v>
      </c>
    </row>
    <row r="7" spans="1:11" ht="14.25" customHeight="1">
      <c r="A7" s="4"/>
      <c r="B7" s="10"/>
      <c r="C7" s="10"/>
      <c r="D7" s="10"/>
    </row>
    <row r="8" spans="1:11" ht="14.25" customHeight="1">
      <c r="A8" s="4" t="s">
        <v>14</v>
      </c>
      <c r="B8" s="55">
        <f>Summary!$B$8</f>
        <v>129.15</v>
      </c>
      <c r="C8" s="54" t="s">
        <v>246</v>
      </c>
      <c r="D8" s="4"/>
    </row>
    <row r="9" spans="1:11" ht="14.25" customHeight="1">
      <c r="A9" s="54" t="s">
        <v>14</v>
      </c>
      <c r="B9" s="55">
        <v>16.829999999999998</v>
      </c>
      <c r="C9" s="54" t="s">
        <v>245</v>
      </c>
      <c r="D9" s="4"/>
    </row>
    <row r="10" spans="1:11" ht="14.25" customHeight="1"/>
    <row r="11" spans="1:11" ht="14.25" customHeight="1">
      <c r="A11" s="7"/>
      <c r="B11" s="7"/>
      <c r="C11" s="7"/>
      <c r="D11" s="7"/>
      <c r="E11" s="7"/>
      <c r="F11" s="7"/>
      <c r="G11" s="1"/>
    </row>
    <row r="12" spans="1:11" ht="14.25" customHeight="1">
      <c r="A12" s="7" t="s">
        <v>238</v>
      </c>
      <c r="B12" s="7"/>
      <c r="C12" s="7"/>
      <c r="D12" s="7" t="s">
        <v>6</v>
      </c>
      <c r="E12" s="7" t="s">
        <v>47</v>
      </c>
      <c r="F12" s="7" t="s">
        <v>48</v>
      </c>
      <c r="G12" s="7" t="s">
        <v>237</v>
      </c>
      <c r="I12" s="7" t="s">
        <v>242</v>
      </c>
      <c r="J12" s="7" t="s">
        <v>244</v>
      </c>
      <c r="K12" s="7" t="s">
        <v>281</v>
      </c>
    </row>
    <row r="13" spans="1:11" ht="14.25" customHeight="1">
      <c r="A13" s="54" t="s">
        <v>239</v>
      </c>
      <c r="B13" s="4"/>
      <c r="C13" s="4"/>
      <c r="D13" s="6">
        <f>9.7*3.8</f>
        <v>36.859999999999992</v>
      </c>
      <c r="E13" s="6">
        <v>150</v>
      </c>
      <c r="F13" s="6">
        <v>150</v>
      </c>
    </row>
    <row r="14" spans="1:11" ht="14.25" customHeight="1">
      <c r="A14" s="4" t="s">
        <v>9</v>
      </c>
      <c r="B14" s="4"/>
      <c r="C14" s="4"/>
      <c r="D14" s="5">
        <v>20</v>
      </c>
      <c r="E14" s="5">
        <v>1</v>
      </c>
      <c r="F14" s="5">
        <v>1</v>
      </c>
    </row>
    <row r="15" spans="1:11" ht="14.25" customHeight="1">
      <c r="A15" s="72" t="s">
        <v>240</v>
      </c>
      <c r="B15" s="4"/>
      <c r="C15" s="4"/>
      <c r="D15" s="69">
        <f>58190/B9</f>
        <v>3457.5163398692812</v>
      </c>
      <c r="E15" s="69">
        <f>(18000+30000)/2</f>
        <v>24000</v>
      </c>
      <c r="F15" s="69">
        <f>(18000+30000)/2</f>
        <v>24000</v>
      </c>
      <c r="G15" s="54" t="s">
        <v>285</v>
      </c>
      <c r="I15" s="2" t="s">
        <v>243</v>
      </c>
      <c r="J15" s="2" t="s">
        <v>282</v>
      </c>
      <c r="K15" s="2" t="s">
        <v>241</v>
      </c>
    </row>
    <row r="16" spans="1:11" ht="28.8">
      <c r="A16" s="72" t="s">
        <v>51</v>
      </c>
      <c r="B16" s="44"/>
      <c r="C16" s="44"/>
      <c r="D16" s="69">
        <f>1370</f>
        <v>1370</v>
      </c>
      <c r="E16" s="69">
        <f>$D$16*E15/$D$15</f>
        <v>9509.716446124763</v>
      </c>
      <c r="F16" s="69">
        <f>$D$16*F15/$D$15</f>
        <v>9509.716446124763</v>
      </c>
      <c r="G16" s="85" t="s">
        <v>324</v>
      </c>
      <c r="I16" s="2"/>
      <c r="J16" s="2"/>
      <c r="K16" s="2"/>
    </row>
    <row r="17" spans="1:10" ht="14.25" customHeight="1">
      <c r="A17" s="72" t="s">
        <v>325</v>
      </c>
      <c r="B17" s="28">
        <v>0.2</v>
      </c>
      <c r="C17" s="54" t="s">
        <v>284</v>
      </c>
      <c r="D17" s="69">
        <f>$B$17*SUM(D$15:D$16)</f>
        <v>965.50326797385628</v>
      </c>
      <c r="E17" s="69">
        <f>$B$17*SUM(E$15:E$16)</f>
        <v>6701.9432892249524</v>
      </c>
      <c r="F17" s="69">
        <f>$B$17*SUM(F$15:F$16)</f>
        <v>6701.9432892249524</v>
      </c>
      <c r="G17" s="44"/>
    </row>
    <row r="18" spans="1:10" ht="14.25" customHeight="1">
      <c r="A18" s="72" t="s">
        <v>11</v>
      </c>
      <c r="B18" s="4"/>
      <c r="C18" s="4"/>
      <c r="D18" s="69">
        <v>2900</v>
      </c>
      <c r="E18" s="69">
        <f>D18*2</f>
        <v>5800</v>
      </c>
      <c r="F18" s="69">
        <f>E18</f>
        <v>5800</v>
      </c>
      <c r="G18" s="72"/>
    </row>
    <row r="19" spans="1:10" ht="28.8">
      <c r="A19" s="52" t="s">
        <v>235</v>
      </c>
      <c r="B19" s="52"/>
      <c r="C19" s="52"/>
      <c r="D19" s="69">
        <f>(10000+15000)*3/B8</f>
        <v>580.72009291521488</v>
      </c>
      <c r="E19" s="69">
        <f>D19*E13/D13</f>
        <v>2363.2125322105871</v>
      </c>
      <c r="F19" s="69">
        <f>D19*F13/D13</f>
        <v>2363.2125322105871</v>
      </c>
      <c r="G19" s="72" t="s">
        <v>405</v>
      </c>
    </row>
    <row r="20" spans="1:10" ht="14.25" customHeight="1">
      <c r="A20" s="72" t="s">
        <v>236</v>
      </c>
      <c r="B20" s="44"/>
      <c r="C20" s="44"/>
      <c r="D20" s="69">
        <f>900*(1+$B$17)</f>
        <v>1080</v>
      </c>
      <c r="E20" s="69">
        <f>3800*(1+$B$17)</f>
        <v>4560</v>
      </c>
      <c r="F20" s="69">
        <f>3100*(1+$B$17)</f>
        <v>3720</v>
      </c>
      <c r="G20" s="72" t="s">
        <v>355</v>
      </c>
    </row>
    <row r="21" spans="1:10" ht="27.6" customHeight="1">
      <c r="A21" s="20" t="s">
        <v>49</v>
      </c>
      <c r="B21" s="20"/>
      <c r="C21" s="20"/>
      <c r="D21" s="69"/>
      <c r="E21" s="69">
        <f>31000*3/B8*2+500</f>
        <v>1940.1858304297327</v>
      </c>
      <c r="F21" s="69"/>
      <c r="G21" s="72" t="s">
        <v>405</v>
      </c>
    </row>
    <row r="22" spans="1:10" ht="14.25" customHeight="1">
      <c r="A22" s="4" t="s">
        <v>12</v>
      </c>
      <c r="B22" s="4"/>
      <c r="C22" s="4"/>
      <c r="D22" s="69">
        <f>300*(1+$B$17)</f>
        <v>360</v>
      </c>
      <c r="E22" s="69">
        <f>900*(1+$B$17)</f>
        <v>1080</v>
      </c>
      <c r="F22" s="69">
        <f>900*(1+$B$17)</f>
        <v>1080</v>
      </c>
    </row>
    <row r="23" spans="1:10" ht="14.25" customHeight="1">
      <c r="A23" s="207" t="s">
        <v>714</v>
      </c>
      <c r="B23" s="28">
        <v>0.25</v>
      </c>
      <c r="C23" s="205" t="s">
        <v>715</v>
      </c>
      <c r="D23" s="69">
        <f>$B$23*$D$14*'CAPEX backup'!D608</f>
        <v>19500</v>
      </c>
      <c r="E23" s="69"/>
      <c r="F23" s="69"/>
    </row>
    <row r="24" spans="1:10" ht="14.25" customHeight="1">
      <c r="A24" s="4"/>
      <c r="B24" s="4"/>
      <c r="C24" s="4"/>
      <c r="D24" s="3"/>
      <c r="F24" s="3"/>
    </row>
    <row r="25" spans="1:10" ht="40.799999999999997" customHeight="1">
      <c r="A25" s="14" t="s">
        <v>17</v>
      </c>
      <c r="B25" s="14"/>
      <c r="C25" s="14"/>
      <c r="D25" s="69">
        <f>2400000/B8*(1+$B$17)</f>
        <v>22299.651567944249</v>
      </c>
      <c r="G25" s="86">
        <f>H25/D25</f>
        <v>0.38194444444444448</v>
      </c>
      <c r="H25" s="87">
        <f>1100000/$B$8</f>
        <v>8517.2280294231514</v>
      </c>
      <c r="I25" s="2" t="s">
        <v>448</v>
      </c>
      <c r="J25" s="2" t="s">
        <v>447</v>
      </c>
    </row>
    <row r="26" spans="1:10" ht="14.4">
      <c r="A26" s="88" t="s">
        <v>486</v>
      </c>
      <c r="B26" s="52"/>
      <c r="C26" s="52"/>
      <c r="D26" s="92" t="str">
        <f>'CAPEX backup'!D412</f>
        <v>$11,700</v>
      </c>
      <c r="E26" s="69"/>
      <c r="F26" s="1"/>
      <c r="G26" s="44"/>
    </row>
    <row r="27" spans="1:10" ht="55.2" customHeight="1">
      <c r="A27" s="88" t="s">
        <v>540</v>
      </c>
      <c r="B27" s="52"/>
      <c r="C27" s="52"/>
      <c r="D27" s="92">
        <f>'CAPEX backup'!D469</f>
        <v>23000</v>
      </c>
      <c r="E27" s="3"/>
      <c r="F27" s="1"/>
      <c r="G27" s="44"/>
    </row>
    <row r="28" spans="1:10" ht="28.8">
      <c r="A28" s="4" t="s">
        <v>13</v>
      </c>
      <c r="B28" s="4"/>
      <c r="C28" s="4"/>
      <c r="D28" s="69">
        <f>E28*B5</f>
        <v>7920</v>
      </c>
      <c r="E28" s="12">
        <f>30*60%</f>
        <v>18</v>
      </c>
      <c r="F28" s="1"/>
      <c r="G28" s="88" t="s">
        <v>580</v>
      </c>
    </row>
    <row r="29" spans="1:10" ht="40.799999999999997" customHeight="1">
      <c r="A29" s="88" t="s">
        <v>607</v>
      </c>
      <c r="B29" s="20"/>
      <c r="C29" s="20"/>
      <c r="D29" s="69">
        <v>5600</v>
      </c>
      <c r="E29" s="12"/>
      <c r="F29" s="1"/>
    </row>
    <row r="30" spans="1:10" ht="26.4" customHeight="1">
      <c r="A30" s="88" t="s">
        <v>487</v>
      </c>
      <c r="B30" s="93">
        <v>6</v>
      </c>
      <c r="C30" s="88" t="s">
        <v>488</v>
      </c>
      <c r="D30" s="200">
        <f>(SUM(D25:D29)+$D$14*SUM(D15:D22)+$E$14*SUM(E15:E22)+$F$14*SUM(F15:F22))*E30</f>
        <v>38222.437594866162</v>
      </c>
      <c r="E30" s="17">
        <v>0.1</v>
      </c>
      <c r="F30" s="1"/>
      <c r="G30" s="84" t="s">
        <v>489</v>
      </c>
      <c r="H30" s="87">
        <f>D30/B30</f>
        <v>6370.406265811027</v>
      </c>
      <c r="J30" s="19"/>
    </row>
    <row r="31" spans="1:10" ht="26.4" customHeight="1">
      <c r="A31" s="88" t="s">
        <v>536</v>
      </c>
      <c r="B31" s="93"/>
      <c r="C31" s="88"/>
      <c r="D31" s="200">
        <f>'CAPEX backup'!E572</f>
        <v>9790</v>
      </c>
      <c r="E31" s="17"/>
      <c r="F31" s="1"/>
      <c r="G31" s="84"/>
      <c r="H31" s="87"/>
      <c r="J31" s="19"/>
    </row>
    <row r="32" spans="1:10" ht="26.4" customHeight="1">
      <c r="A32" s="88" t="s">
        <v>539</v>
      </c>
      <c r="B32" s="93"/>
      <c r="C32" s="88"/>
      <c r="D32" s="200">
        <f>(SUM(D25:D29)+$D$14*SUM(D15:D22)+$E$14*SUM(E15:E22)+$F$14*SUM(F15:F22))*E32</f>
        <v>11466.731278459847</v>
      </c>
      <c r="E32" s="17">
        <v>0.03</v>
      </c>
      <c r="F32" s="1"/>
      <c r="G32" s="84"/>
      <c r="H32" s="87"/>
      <c r="J32" s="19"/>
    </row>
    <row r="33" spans="1:10" ht="26.4" customHeight="1">
      <c r="A33" s="52" t="s">
        <v>40</v>
      </c>
      <c r="B33" s="52"/>
      <c r="C33" s="52"/>
      <c r="D33" s="200">
        <f>(SUM(D25:D29)+$D$14*SUM(D15:D22)+$E$14*SUM(E15:E22)+$F$14*SUM(F15:F22))*E33</f>
        <v>38222.437594866162</v>
      </c>
      <c r="E33" s="17">
        <v>0.1</v>
      </c>
      <c r="F33" s="1"/>
      <c r="G33" s="44"/>
      <c r="H33" s="111"/>
      <c r="J33" s="19"/>
    </row>
    <row r="34" spans="1:10" ht="14.25" customHeight="1">
      <c r="A34" s="125"/>
      <c r="D34" s="126"/>
      <c r="E34" s="1"/>
      <c r="F34" s="1"/>
    </row>
    <row r="35" spans="1:10" ht="17.399999999999999" customHeight="1" thickBot="1">
      <c r="A35" s="9" t="s">
        <v>538</v>
      </c>
      <c r="B35" s="9"/>
      <c r="C35" s="9"/>
      <c r="D35" s="70">
        <f>$D$14*SUM(D15:D22)+$E$14*SUM($E$15:$E$22)+$F$14*SUM(F15:F22)+SUM(D25:D33)+D34+D23</f>
        <v>499425.98241685377</v>
      </c>
      <c r="E35" s="1"/>
      <c r="F35" s="8"/>
      <c r="G35" s="53"/>
    </row>
    <row r="36" spans="1:10" ht="14.25" customHeight="1" thickTop="1">
      <c r="G36" s="1"/>
      <c r="I36" s="1"/>
    </row>
    <row r="37" spans="1:10" ht="14.25" customHeight="1">
      <c r="G37" s="1"/>
      <c r="I37" s="1"/>
    </row>
    <row r="38" spans="1:10" ht="14.25" customHeight="1">
      <c r="D38" s="71"/>
      <c r="E38" s="71"/>
    </row>
    <row r="39" spans="1:10" ht="14.25" customHeight="1">
      <c r="D39" s="111"/>
    </row>
    <row r="40" spans="1:10" ht="14.25" customHeight="1"/>
    <row r="41" spans="1:10" ht="14.25" customHeight="1"/>
    <row r="42" spans="1:10" ht="14.25" customHeight="1"/>
    <row r="43" spans="1:10" ht="14.25" customHeight="1"/>
    <row r="44" spans="1:10" ht="14.25" customHeight="1"/>
    <row r="45" spans="1:10" ht="14.25" customHeight="1"/>
    <row r="46" spans="1:10" ht="14.25" customHeight="1"/>
    <row r="47" spans="1:10" ht="14.25" customHeight="1"/>
    <row r="48" spans="1:10"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sheetData>
  <hyperlinks>
    <hyperlink ref="B3" r:id="rId1" xr:uid="{A9214650-E34D-4A62-B1ED-CB2631ADA1BD}"/>
    <hyperlink ref="I15" r:id="rId2" xr:uid="{A430340D-F0C7-4045-ADD1-522E119989A1}"/>
    <hyperlink ref="K15" r:id="rId3" location=":~:text=The%20Classic%20safari%20tent,your%20campsite%20or%20holiday%20park." xr:uid="{EA95DF1D-D52C-412D-B02E-1F37E49B644E}"/>
    <hyperlink ref="J15" r:id="rId4" xr:uid="{4AF9D8FF-55C0-4AE2-806E-4C1108CCC599}"/>
    <hyperlink ref="J25" r:id="rId5" xr:uid="{43AD8762-F5FD-4494-A303-4E4E1FCFB2A8}"/>
    <hyperlink ref="I25" r:id="rId6" xr:uid="{9A085CB7-7C20-4395-A0F1-ADA495742D65}"/>
  </hyperlinks>
  <pageMargins left="0.7" right="0.7" top="0.75" bottom="0.75" header="0" footer="0"/>
  <pageSetup scale="58" orientation="landscape"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C11D1-1FFA-4FAA-AA11-B2BD2240F776}">
  <dimension ref="A1:Q608"/>
  <sheetViews>
    <sheetView showGridLines="0" zoomScale="80" zoomScaleNormal="80" workbookViewId="0">
      <pane ySplit="1" topLeftCell="A601" activePane="bottomLeft" state="frozen"/>
      <selection pane="bottomLeft" activeCell="B615" sqref="B615"/>
    </sheetView>
  </sheetViews>
  <sheetFormatPr defaultRowHeight="14.4"/>
  <cols>
    <col min="2" max="2" width="62.33203125" customWidth="1"/>
    <col min="3" max="3" width="30.5546875" customWidth="1"/>
    <col min="4" max="4" width="18.5546875" customWidth="1"/>
    <col min="5" max="5" width="22.5546875" customWidth="1"/>
    <col min="6" max="6" width="10.44140625" customWidth="1"/>
  </cols>
  <sheetData>
    <row r="1" spans="1:17">
      <c r="A1" s="7" t="s">
        <v>283</v>
      </c>
      <c r="B1" s="7"/>
    </row>
    <row r="2" spans="1:17">
      <c r="A2" s="47"/>
      <c r="B2" s="47" t="s">
        <v>232</v>
      </c>
      <c r="C2" s="48"/>
      <c r="D2" s="48"/>
      <c r="E2" s="48"/>
      <c r="F2" s="48"/>
      <c r="G2" s="48"/>
      <c r="H2" s="48"/>
      <c r="I2" s="48"/>
      <c r="J2" s="48"/>
      <c r="K2" s="48"/>
      <c r="L2" s="48"/>
      <c r="M2" s="48"/>
      <c r="N2" s="48"/>
      <c r="O2" s="48"/>
      <c r="P2" s="48"/>
      <c r="Q2" s="48"/>
    </row>
    <row r="4" spans="1:17" ht="15" thickBot="1"/>
    <row r="5" spans="1:17" ht="15" thickBot="1">
      <c r="B5" s="56" t="s">
        <v>170</v>
      </c>
      <c r="C5" s="56" t="s">
        <v>267</v>
      </c>
      <c r="D5" s="57" t="s">
        <v>268</v>
      </c>
    </row>
    <row r="6" spans="1:17" ht="42" thickBot="1">
      <c r="B6" s="56" t="s">
        <v>269</v>
      </c>
      <c r="C6" s="58" t="s">
        <v>270</v>
      </c>
      <c r="D6" s="59" t="s">
        <v>271</v>
      </c>
    </row>
    <row r="7" spans="1:17" ht="42" thickBot="1">
      <c r="B7" s="56" t="s">
        <v>272</v>
      </c>
      <c r="C7" s="58" t="s">
        <v>273</v>
      </c>
      <c r="D7" s="59" t="s">
        <v>274</v>
      </c>
    </row>
    <row r="8" spans="1:17" ht="42" thickBot="1">
      <c r="B8" s="56" t="s">
        <v>275</v>
      </c>
      <c r="C8" s="58" t="s">
        <v>276</v>
      </c>
      <c r="D8" s="59" t="s">
        <v>277</v>
      </c>
    </row>
    <row r="9" spans="1:17" ht="28.2" thickBot="1">
      <c r="B9" s="56" t="s">
        <v>278</v>
      </c>
      <c r="C9" s="58" t="s">
        <v>279</v>
      </c>
      <c r="D9" s="59" t="s">
        <v>280</v>
      </c>
    </row>
    <row r="11" spans="1:17" ht="15" thickBot="1"/>
    <row r="12" spans="1:17" ht="28.2" thickBot="1">
      <c r="B12" s="56" t="s">
        <v>247</v>
      </c>
      <c r="C12" s="56" t="s">
        <v>248</v>
      </c>
      <c r="D12" s="56" t="s">
        <v>249</v>
      </c>
      <c r="E12" s="57" t="s">
        <v>250</v>
      </c>
    </row>
    <row r="13" spans="1:17" ht="28.2" thickBot="1">
      <c r="B13" s="56" t="s">
        <v>251</v>
      </c>
      <c r="C13" s="58" t="s">
        <v>252</v>
      </c>
      <c r="D13" s="58" t="s">
        <v>253</v>
      </c>
      <c r="E13" s="57" t="s">
        <v>254</v>
      </c>
    </row>
    <row r="14" spans="1:17" ht="15" thickBot="1">
      <c r="B14" s="56" t="s">
        <v>255</v>
      </c>
      <c r="C14" s="58" t="s">
        <v>256</v>
      </c>
      <c r="D14" s="58" t="s">
        <v>257</v>
      </c>
      <c r="E14" s="57" t="s">
        <v>258</v>
      </c>
    </row>
    <row r="15" spans="1:17" ht="28.2" thickBot="1">
      <c r="B15" s="60" t="s">
        <v>259</v>
      </c>
      <c r="C15" s="61" t="s">
        <v>260</v>
      </c>
      <c r="D15" s="61" t="s">
        <v>261</v>
      </c>
      <c r="E15" s="62" t="s">
        <v>262</v>
      </c>
    </row>
    <row r="16" spans="1:17" ht="15" thickBot="1">
      <c r="B16" s="56" t="s">
        <v>263</v>
      </c>
      <c r="C16" s="58" t="s">
        <v>264</v>
      </c>
      <c r="D16" s="58" t="s">
        <v>265</v>
      </c>
      <c r="E16" s="57" t="s">
        <v>266</v>
      </c>
    </row>
    <row r="18" spans="1:17">
      <c r="B18" s="41"/>
      <c r="C18" s="45"/>
      <c r="D18" s="46"/>
    </row>
    <row r="19" spans="1:17">
      <c r="A19" s="47"/>
      <c r="B19" s="47" t="s">
        <v>233</v>
      </c>
      <c r="C19" s="48"/>
      <c r="D19" s="48"/>
      <c r="E19" s="48"/>
      <c r="F19" s="48"/>
      <c r="G19" s="48"/>
      <c r="H19" s="48"/>
      <c r="I19" s="48"/>
      <c r="J19" s="48"/>
      <c r="K19" s="48"/>
      <c r="L19" s="48"/>
      <c r="M19" s="48"/>
      <c r="N19" s="48"/>
      <c r="O19" s="48"/>
      <c r="P19" s="48"/>
      <c r="Q19" s="48"/>
    </row>
    <row r="20" spans="1:17">
      <c r="B20" s="38" t="s">
        <v>56</v>
      </c>
    </row>
    <row r="21" spans="1:17" ht="26.4">
      <c r="B21" s="31" t="s">
        <v>57</v>
      </c>
    </row>
    <row r="22" spans="1:17">
      <c r="B22" s="32" t="s">
        <v>58</v>
      </c>
    </row>
    <row r="23" spans="1:17" ht="26.4">
      <c r="B23" s="31" t="s">
        <v>59</v>
      </c>
    </row>
    <row r="24" spans="1:17" ht="16.8">
      <c r="B24" s="33" t="s">
        <v>60</v>
      </c>
    </row>
    <row r="25" spans="1:17" ht="26.4">
      <c r="B25" s="33" t="s">
        <v>61</v>
      </c>
    </row>
    <row r="26" spans="1:17" ht="26.4">
      <c r="B26" s="33" t="s">
        <v>62</v>
      </c>
    </row>
    <row r="27" spans="1:17">
      <c r="B27" s="33" t="s">
        <v>63</v>
      </c>
    </row>
    <row r="28" spans="1:17" ht="26.4">
      <c r="B28" s="33" t="s">
        <v>64</v>
      </c>
    </row>
    <row r="30" spans="1:17">
      <c r="B30" s="30"/>
    </row>
    <row r="31" spans="1:17">
      <c r="B31" s="32" t="s">
        <v>65</v>
      </c>
    </row>
    <row r="32" spans="1:17" ht="16.8">
      <c r="B32" s="34" t="s">
        <v>66</v>
      </c>
    </row>
    <row r="33" spans="2:4" ht="27" thickBot="1">
      <c r="B33" s="35" t="s">
        <v>67</v>
      </c>
      <c r="C33" s="35" t="s">
        <v>68</v>
      </c>
      <c r="D33" s="35" t="s">
        <v>69</v>
      </c>
    </row>
    <row r="34" spans="2:4" ht="15" thickBot="1">
      <c r="B34" s="36" t="s">
        <v>70</v>
      </c>
      <c r="C34" s="37" t="s">
        <v>71</v>
      </c>
      <c r="D34" s="37" t="s">
        <v>72</v>
      </c>
    </row>
    <row r="35" spans="2:4" ht="15" thickBot="1">
      <c r="B35" s="36" t="s">
        <v>73</v>
      </c>
      <c r="C35" s="37" t="s">
        <v>74</v>
      </c>
      <c r="D35" s="37" t="s">
        <v>75</v>
      </c>
    </row>
    <row r="36" spans="2:4" ht="15" thickBot="1">
      <c r="B36" s="36" t="s">
        <v>76</v>
      </c>
      <c r="C36" s="37" t="s">
        <v>77</v>
      </c>
      <c r="D36" s="37" t="s">
        <v>78</v>
      </c>
    </row>
    <row r="37" spans="2:4" ht="15" thickBot="1">
      <c r="B37" s="36" t="s">
        <v>79</v>
      </c>
      <c r="C37" s="37" t="s">
        <v>80</v>
      </c>
      <c r="D37" s="37" t="s">
        <v>81</v>
      </c>
    </row>
    <row r="38" spans="2:4" ht="15" thickBot="1">
      <c r="B38" s="36" t="s">
        <v>82</v>
      </c>
      <c r="C38" s="37" t="s">
        <v>83</v>
      </c>
      <c r="D38" s="37" t="s">
        <v>84</v>
      </c>
    </row>
    <row r="39" spans="2:4" ht="15" thickBot="1">
      <c r="B39" s="36" t="s">
        <v>85</v>
      </c>
      <c r="C39" s="37" t="s">
        <v>86</v>
      </c>
      <c r="D39" s="37" t="s">
        <v>87</v>
      </c>
    </row>
    <row r="40" spans="2:4">
      <c r="B40" s="73" t="s">
        <v>88</v>
      </c>
      <c r="C40" s="73" t="s">
        <v>89</v>
      </c>
      <c r="D40" s="73" t="s">
        <v>90</v>
      </c>
    </row>
    <row r="41" spans="2:4">
      <c r="B41" s="41"/>
      <c r="C41" s="41"/>
      <c r="D41" s="41"/>
    </row>
    <row r="42" spans="2:4">
      <c r="B42" s="41"/>
      <c r="C42" s="41"/>
      <c r="D42" s="41"/>
    </row>
    <row r="43" spans="2:4">
      <c r="B43" s="41"/>
      <c r="C43" s="41"/>
      <c r="D43" s="41"/>
    </row>
    <row r="44" spans="2:4">
      <c r="B44" s="40" t="s">
        <v>91</v>
      </c>
      <c r="C44" s="41"/>
      <c r="D44" s="41"/>
    </row>
    <row r="45" spans="2:4">
      <c r="B45" s="40" t="s">
        <v>92</v>
      </c>
      <c r="C45" s="41"/>
      <c r="D45" s="41"/>
    </row>
    <row r="46" spans="2:4">
      <c r="B46" s="40" t="s">
        <v>93</v>
      </c>
      <c r="C46" s="41"/>
      <c r="D46" s="41"/>
    </row>
    <row r="47" spans="2:4">
      <c r="B47" s="40" t="s">
        <v>94</v>
      </c>
      <c r="C47" s="41"/>
      <c r="D47" s="41"/>
    </row>
    <row r="48" spans="2:4">
      <c r="B48" s="39" t="s">
        <v>95</v>
      </c>
      <c r="C48" s="41"/>
      <c r="D48" s="41"/>
    </row>
    <row r="49" spans="2:4">
      <c r="B49" s="40" t="s">
        <v>96</v>
      </c>
      <c r="C49" s="41"/>
      <c r="D49" s="41"/>
    </row>
    <row r="50" spans="2:4">
      <c r="B50" s="121" t="s">
        <v>614</v>
      </c>
      <c r="C50" s="41"/>
      <c r="D50" s="41"/>
    </row>
    <row r="51" spans="2:4">
      <c r="B51" s="121" t="s">
        <v>615</v>
      </c>
      <c r="C51" s="41"/>
      <c r="D51" s="41"/>
    </row>
    <row r="52" spans="2:4">
      <c r="B52" s="49" t="s">
        <v>234</v>
      </c>
      <c r="C52" s="41"/>
      <c r="D52" s="41"/>
    </row>
    <row r="53" spans="2:4">
      <c r="B53" s="41"/>
      <c r="C53" s="41"/>
      <c r="D53" s="41"/>
    </row>
    <row r="54" spans="2:4">
      <c r="B54" s="41"/>
      <c r="C54" s="41"/>
      <c r="D54" s="41"/>
    </row>
    <row r="55" spans="2:4">
      <c r="B55" s="54" t="s">
        <v>286</v>
      </c>
      <c r="C55" s="41"/>
      <c r="D55" s="41"/>
    </row>
    <row r="56" spans="2:4">
      <c r="B56" s="41"/>
      <c r="C56" s="41"/>
      <c r="D56" s="41"/>
    </row>
    <row r="57" spans="2:4">
      <c r="B57" s="64" t="s">
        <v>287</v>
      </c>
      <c r="C57" s="41"/>
      <c r="D57" s="41"/>
    </row>
    <row r="58" spans="2:4">
      <c r="C58" s="41"/>
      <c r="D58" s="41"/>
    </row>
    <row r="59" spans="2:4" ht="17.399999999999999">
      <c r="B59" s="65" t="s">
        <v>288</v>
      </c>
      <c r="C59" s="41"/>
      <c r="D59" s="41"/>
    </row>
    <row r="60" spans="2:4">
      <c r="C60" s="41"/>
      <c r="D60" s="41"/>
    </row>
    <row r="61" spans="2:4">
      <c r="B61" s="64" t="s">
        <v>289</v>
      </c>
      <c r="C61" s="41"/>
      <c r="D61" s="41"/>
    </row>
    <row r="62" spans="2:4">
      <c r="B62" s="66"/>
      <c r="C62" s="41"/>
      <c r="D62" s="41"/>
    </row>
    <row r="63" spans="2:4">
      <c r="B63" s="67" t="s">
        <v>290</v>
      </c>
      <c r="C63" s="41"/>
      <c r="D63" s="41"/>
    </row>
    <row r="64" spans="2:4">
      <c r="B64" s="66"/>
      <c r="C64" s="41"/>
      <c r="D64" s="41"/>
    </row>
    <row r="65" spans="2:4">
      <c r="B65" s="67" t="s">
        <v>291</v>
      </c>
      <c r="C65" s="41"/>
      <c r="D65" s="41"/>
    </row>
    <row r="66" spans="2:4">
      <c r="B66" s="66"/>
      <c r="C66" s="41"/>
      <c r="D66" s="41"/>
    </row>
    <row r="67" spans="2:4">
      <c r="B67" s="67" t="s">
        <v>292</v>
      </c>
      <c r="C67" s="41"/>
      <c r="D67" s="41"/>
    </row>
    <row r="68" spans="2:4">
      <c r="B68" s="66"/>
      <c r="C68" s="41"/>
      <c r="D68" s="41"/>
    </row>
    <row r="69" spans="2:4">
      <c r="B69" s="67" t="s">
        <v>293</v>
      </c>
      <c r="C69" s="41"/>
      <c r="D69" s="41"/>
    </row>
    <row r="70" spans="2:4">
      <c r="C70" s="41"/>
      <c r="D70" s="41"/>
    </row>
    <row r="71" spans="2:4" ht="17.399999999999999">
      <c r="B71" s="65" t="s">
        <v>294</v>
      </c>
      <c r="C71" s="41"/>
      <c r="D71" s="41"/>
    </row>
    <row r="72" spans="2:4">
      <c r="C72" s="41"/>
      <c r="D72" s="41"/>
    </row>
    <row r="73" spans="2:4">
      <c r="B73" s="64" t="s">
        <v>295</v>
      </c>
      <c r="C73" s="41"/>
      <c r="D73" s="41"/>
    </row>
    <row r="74" spans="2:4">
      <c r="B74" s="66"/>
      <c r="C74" s="41"/>
      <c r="D74" s="41"/>
    </row>
    <row r="75" spans="2:4">
      <c r="B75" s="67" t="s">
        <v>296</v>
      </c>
      <c r="C75" s="41"/>
      <c r="D75" s="41"/>
    </row>
    <row r="76" spans="2:4">
      <c r="B76" s="66"/>
      <c r="C76" s="41"/>
      <c r="D76" s="41"/>
    </row>
    <row r="77" spans="2:4">
      <c r="B77" s="67" t="s">
        <v>297</v>
      </c>
      <c r="C77" s="41"/>
      <c r="D77" s="41"/>
    </row>
    <row r="78" spans="2:4">
      <c r="B78" s="66"/>
      <c r="C78" s="41"/>
      <c r="D78" s="41"/>
    </row>
    <row r="79" spans="2:4">
      <c r="B79" s="67" t="s">
        <v>298</v>
      </c>
      <c r="C79" s="41"/>
      <c r="D79" s="41"/>
    </row>
    <row r="80" spans="2:4">
      <c r="B80" s="66"/>
      <c r="C80" s="41"/>
      <c r="D80" s="41"/>
    </row>
    <row r="81" spans="2:5">
      <c r="B81" s="67" t="s">
        <v>299</v>
      </c>
      <c r="C81" s="41"/>
      <c r="D81" s="41"/>
    </row>
    <row r="82" spans="2:5">
      <c r="C82" s="41"/>
      <c r="D82" s="41"/>
    </row>
    <row r="83" spans="2:5" ht="17.399999999999999">
      <c r="B83" s="65" t="s">
        <v>300</v>
      </c>
      <c r="C83" s="41"/>
      <c r="D83" s="41"/>
    </row>
    <row r="84" spans="2:5">
      <c r="C84" s="41"/>
      <c r="D84" s="41"/>
    </row>
    <row r="85" spans="2:5">
      <c r="B85" s="64" t="s">
        <v>301</v>
      </c>
      <c r="C85" s="41"/>
      <c r="D85" s="41"/>
    </row>
    <row r="86" spans="2:5">
      <c r="B86" s="66"/>
      <c r="C86" s="41"/>
      <c r="D86" s="41"/>
    </row>
    <row r="87" spans="2:5">
      <c r="B87" s="67" t="s">
        <v>302</v>
      </c>
      <c r="C87" s="41"/>
      <c r="D87" s="41"/>
    </row>
    <row r="88" spans="2:5">
      <c r="B88" s="66"/>
      <c r="C88" s="41"/>
      <c r="D88" s="41"/>
    </row>
    <row r="89" spans="2:5">
      <c r="B89" s="67" t="s">
        <v>303</v>
      </c>
      <c r="C89" s="41"/>
      <c r="D89" s="41"/>
    </row>
    <row r="90" spans="2:5">
      <c r="B90" s="66"/>
      <c r="C90" s="41"/>
      <c r="D90" s="41"/>
    </row>
    <row r="91" spans="2:5">
      <c r="B91" s="67" t="s">
        <v>304</v>
      </c>
      <c r="C91" s="41"/>
      <c r="D91" s="41"/>
    </row>
    <row r="92" spans="2:5">
      <c r="B92" s="41"/>
      <c r="C92" s="41"/>
      <c r="D92" s="41"/>
    </row>
    <row r="93" spans="2:5" ht="15" thickBot="1">
      <c r="B93" s="41"/>
      <c r="C93" s="41"/>
      <c r="D93" s="41"/>
    </row>
    <row r="94" spans="2:5" ht="15" thickBot="1">
      <c r="B94" s="56" t="s">
        <v>305</v>
      </c>
      <c r="C94" s="56" t="s">
        <v>174</v>
      </c>
      <c r="D94" s="56" t="s">
        <v>306</v>
      </c>
      <c r="E94" s="57" t="s">
        <v>307</v>
      </c>
    </row>
    <row r="95" spans="2:5" ht="28.2" thickBot="1">
      <c r="B95" s="58" t="s">
        <v>308</v>
      </c>
      <c r="C95" s="58" t="s">
        <v>309</v>
      </c>
      <c r="D95" s="58" t="s">
        <v>310</v>
      </c>
      <c r="E95" s="59" t="s">
        <v>311</v>
      </c>
    </row>
    <row r="96" spans="2:5" ht="28.2" thickBot="1">
      <c r="B96" s="60" t="s">
        <v>312</v>
      </c>
      <c r="C96" s="60" t="s">
        <v>313</v>
      </c>
      <c r="D96" s="60" t="s">
        <v>314</v>
      </c>
      <c r="E96" s="68" t="s">
        <v>315</v>
      </c>
    </row>
    <row r="97" spans="2:5" ht="28.2" thickBot="1">
      <c r="B97" s="58" t="s">
        <v>316</v>
      </c>
      <c r="C97" s="58" t="s">
        <v>317</v>
      </c>
      <c r="D97" s="58" t="s">
        <v>318</v>
      </c>
      <c r="E97" s="59" t="s">
        <v>319</v>
      </c>
    </row>
    <row r="98" spans="2:5" ht="28.2" thickBot="1">
      <c r="B98" s="58" t="s">
        <v>320</v>
      </c>
      <c r="C98" s="58" t="s">
        <v>321</v>
      </c>
      <c r="D98" s="58" t="s">
        <v>322</v>
      </c>
      <c r="E98" s="59" t="s">
        <v>323</v>
      </c>
    </row>
    <row r="99" spans="2:5">
      <c r="B99" s="41"/>
      <c r="C99" s="41"/>
      <c r="D99" s="41"/>
    </row>
    <row r="100" spans="2:5">
      <c r="B100" s="41"/>
      <c r="C100" s="41"/>
      <c r="D100" s="41"/>
    </row>
    <row r="101" spans="2:5">
      <c r="B101" s="41"/>
      <c r="C101" s="41"/>
      <c r="D101" s="41"/>
    </row>
    <row r="102" spans="2:5">
      <c r="B102" s="41"/>
      <c r="C102" s="41"/>
      <c r="D102" s="41"/>
    </row>
    <row r="103" spans="2:5">
      <c r="B103" s="41"/>
      <c r="C103" s="41"/>
      <c r="D103" s="41"/>
    </row>
    <row r="104" spans="2:5">
      <c r="B104" s="41"/>
      <c r="C104" s="41"/>
      <c r="D104" s="41"/>
    </row>
    <row r="105" spans="2:5">
      <c r="B105" s="41"/>
      <c r="C105" s="41"/>
      <c r="D105" s="41"/>
    </row>
    <row r="106" spans="2:5">
      <c r="B106" s="41"/>
      <c r="C106" s="41"/>
      <c r="D106" s="41"/>
    </row>
    <row r="107" spans="2:5">
      <c r="B107" s="41"/>
      <c r="C107" s="41"/>
      <c r="D107" s="41"/>
    </row>
    <row r="108" spans="2:5">
      <c r="B108" s="41"/>
      <c r="C108" s="41"/>
      <c r="D108" s="41"/>
    </row>
    <row r="109" spans="2:5">
      <c r="B109" s="41"/>
      <c r="C109" s="41"/>
      <c r="D109" s="41"/>
    </row>
    <row r="110" spans="2:5">
      <c r="B110" s="41"/>
      <c r="C110" s="41"/>
      <c r="D110" s="41"/>
    </row>
    <row r="111" spans="2:5">
      <c r="B111" s="41"/>
      <c r="C111" s="41"/>
      <c r="D111" s="41"/>
    </row>
    <row r="112" spans="2:5">
      <c r="B112" s="41"/>
      <c r="C112" s="41"/>
      <c r="D112" s="41"/>
    </row>
    <row r="113" spans="1:17">
      <c r="B113" s="41"/>
      <c r="C113" s="41"/>
      <c r="D113" s="41"/>
    </row>
    <row r="114" spans="1:17">
      <c r="B114" s="41"/>
      <c r="C114" s="41"/>
      <c r="D114" s="41"/>
    </row>
    <row r="115" spans="1:17">
      <c r="B115" s="41"/>
      <c r="C115" s="41"/>
      <c r="D115" s="41"/>
    </row>
    <row r="116" spans="1:17">
      <c r="B116" s="41"/>
      <c r="C116" s="41"/>
      <c r="D116" s="41"/>
    </row>
    <row r="117" spans="1:17">
      <c r="B117" s="41"/>
      <c r="C117" s="41"/>
      <c r="D117" s="41"/>
    </row>
    <row r="118" spans="1:17">
      <c r="B118" s="41"/>
      <c r="C118" s="41"/>
      <c r="D118" s="41"/>
    </row>
    <row r="119" spans="1:17">
      <c r="B119" s="41"/>
      <c r="C119" s="41"/>
      <c r="D119" s="41"/>
    </row>
    <row r="120" spans="1:17">
      <c r="A120" s="47"/>
      <c r="B120" s="47" t="s">
        <v>326</v>
      </c>
      <c r="C120" s="48"/>
      <c r="D120" s="48"/>
      <c r="E120" s="48"/>
      <c r="F120" s="48"/>
      <c r="G120" s="48"/>
      <c r="H120" s="48"/>
      <c r="I120" s="48"/>
      <c r="J120" s="48"/>
      <c r="K120" s="48"/>
      <c r="L120" s="48"/>
      <c r="M120" s="48"/>
      <c r="N120" s="48"/>
      <c r="O120" s="48"/>
      <c r="P120" s="48"/>
      <c r="Q120" s="48"/>
    </row>
    <row r="121" spans="1:17">
      <c r="B121" s="38" t="s">
        <v>97</v>
      </c>
    </row>
    <row r="122" spans="1:17" ht="22.8">
      <c r="B122" s="29"/>
    </row>
    <row r="123" spans="1:17" ht="52.8">
      <c r="B123" s="31" t="s">
        <v>98</v>
      </c>
    </row>
    <row r="124" spans="1:17" ht="26.4">
      <c r="B124" s="31" t="s">
        <v>99</v>
      </c>
    </row>
    <row r="125" spans="1:17">
      <c r="B125" s="32" t="s">
        <v>100</v>
      </c>
    </row>
    <row r="126" spans="1:17" ht="39.6">
      <c r="B126" s="31" t="s">
        <v>101</v>
      </c>
    </row>
    <row r="127" spans="1:17" ht="27" thickBot="1">
      <c r="B127" s="35" t="s">
        <v>67</v>
      </c>
      <c r="C127" s="35" t="s">
        <v>102</v>
      </c>
      <c r="D127" s="35" t="s">
        <v>103</v>
      </c>
    </row>
    <row r="128" spans="1:17" ht="15" thickBot="1">
      <c r="B128" s="36" t="s">
        <v>104</v>
      </c>
      <c r="C128" s="37" t="s">
        <v>105</v>
      </c>
      <c r="D128" s="37" t="s">
        <v>106</v>
      </c>
    </row>
    <row r="129" spans="2:4" ht="15" thickBot="1">
      <c r="B129" s="36" t="s">
        <v>107</v>
      </c>
      <c r="C129" s="37" t="s">
        <v>108</v>
      </c>
      <c r="D129" s="37" t="s">
        <v>109</v>
      </c>
    </row>
    <row r="130" spans="2:4" ht="15" thickBot="1">
      <c r="B130" s="36" t="s">
        <v>110</v>
      </c>
      <c r="C130" s="37" t="s">
        <v>111</v>
      </c>
      <c r="D130" s="37" t="s">
        <v>112</v>
      </c>
    </row>
    <row r="131" spans="2:4" ht="15" thickBot="1">
      <c r="B131" s="36" t="s">
        <v>113</v>
      </c>
      <c r="C131" s="37" t="s">
        <v>114</v>
      </c>
      <c r="D131" s="37" t="s">
        <v>115</v>
      </c>
    </row>
    <row r="132" spans="2:4" ht="15" thickBot="1">
      <c r="B132" s="36" t="s">
        <v>116</v>
      </c>
      <c r="C132" s="37" t="s">
        <v>117</v>
      </c>
      <c r="D132" s="37" t="s">
        <v>118</v>
      </c>
    </row>
    <row r="133" spans="2:4" ht="15" thickBot="1">
      <c r="B133" s="36" t="s">
        <v>119</v>
      </c>
      <c r="C133" s="37" t="s">
        <v>120</v>
      </c>
      <c r="D133" s="37" t="s">
        <v>121</v>
      </c>
    </row>
    <row r="134" spans="2:4" ht="15" thickBot="1">
      <c r="B134" s="36" t="s">
        <v>122</v>
      </c>
      <c r="C134" s="37" t="s">
        <v>123</v>
      </c>
      <c r="D134" s="37" t="s">
        <v>124</v>
      </c>
    </row>
    <row r="135" spans="2:4" ht="15" thickBot="1">
      <c r="B135" s="36" t="s">
        <v>125</v>
      </c>
      <c r="C135" s="36" t="s">
        <v>126</v>
      </c>
      <c r="D135" s="36" t="s">
        <v>127</v>
      </c>
    </row>
    <row r="137" spans="2:4">
      <c r="B137" s="30"/>
    </row>
    <row r="138" spans="2:4">
      <c r="B138" s="32" t="s">
        <v>128</v>
      </c>
    </row>
    <row r="139" spans="2:4" ht="26.4">
      <c r="B139" s="31" t="s">
        <v>129</v>
      </c>
    </row>
    <row r="140" spans="2:4">
      <c r="B140" s="33" t="s">
        <v>130</v>
      </c>
    </row>
    <row r="141" spans="2:4">
      <c r="B141" s="33" t="s">
        <v>131</v>
      </c>
    </row>
    <row r="142" spans="2:4" ht="26.4">
      <c r="B142" s="33" t="s">
        <v>132</v>
      </c>
    </row>
    <row r="144" spans="2:4">
      <c r="B144" s="30"/>
    </row>
    <row r="145" spans="2:3">
      <c r="B145" s="32" t="s">
        <v>133</v>
      </c>
    </row>
    <row r="146" spans="2:3" ht="26.4">
      <c r="B146" s="31" t="s">
        <v>134</v>
      </c>
    </row>
    <row r="147" spans="2:3">
      <c r="B147" s="33" t="s">
        <v>135</v>
      </c>
    </row>
    <row r="148" spans="2:3">
      <c r="B148" s="33" t="s">
        <v>136</v>
      </c>
    </row>
    <row r="150" spans="2:3">
      <c r="B150" s="30"/>
    </row>
    <row r="151" spans="2:3">
      <c r="B151" s="32" t="s">
        <v>137</v>
      </c>
    </row>
    <row r="152" spans="2:3" ht="15" thickBot="1">
      <c r="B152" s="35" t="s">
        <v>138</v>
      </c>
      <c r="C152" s="35" t="s">
        <v>139</v>
      </c>
    </row>
    <row r="153" spans="2:3" ht="15" thickBot="1">
      <c r="B153" s="36" t="s">
        <v>140</v>
      </c>
      <c r="C153" s="37" t="s">
        <v>126</v>
      </c>
    </row>
    <row r="154" spans="2:3" ht="15" thickBot="1">
      <c r="B154" s="36" t="s">
        <v>141</v>
      </c>
      <c r="C154" s="37" t="s">
        <v>142</v>
      </c>
    </row>
    <row r="155" spans="2:3" ht="15" thickBot="1">
      <c r="B155" s="36" t="s">
        <v>143</v>
      </c>
      <c r="C155" s="37" t="s">
        <v>144</v>
      </c>
    </row>
    <row r="156" spans="2:3" ht="15" thickBot="1">
      <c r="B156" s="36" t="s">
        <v>88</v>
      </c>
      <c r="C156" s="36" t="s">
        <v>145</v>
      </c>
    </row>
    <row r="157" spans="2:3">
      <c r="B157" s="32" t="s">
        <v>146</v>
      </c>
    </row>
    <row r="158" spans="2:3" ht="52.8">
      <c r="B158" s="33" t="s">
        <v>147</v>
      </c>
    </row>
    <row r="159" spans="2:3" ht="52.8">
      <c r="B159" s="33" t="s">
        <v>148</v>
      </c>
    </row>
    <row r="160" spans="2:3" ht="39.6">
      <c r="B160" s="33" t="s">
        <v>149</v>
      </c>
    </row>
    <row r="161" spans="2:2" ht="26.4">
      <c r="B161" s="31" t="s">
        <v>150</v>
      </c>
    </row>
    <row r="162" spans="2:2">
      <c r="B162" s="43" t="s">
        <v>151</v>
      </c>
    </row>
    <row r="163" spans="2:2">
      <c r="B163" s="31" t="s">
        <v>152</v>
      </c>
    </row>
    <row r="164" spans="2:2" ht="22.8">
      <c r="B164" s="29"/>
    </row>
    <row r="165" spans="2:2" ht="39.6">
      <c r="B165" s="31" t="s">
        <v>153</v>
      </c>
    </row>
    <row r="166" spans="2:2" ht="26.4">
      <c r="B166" s="31" t="s">
        <v>154</v>
      </c>
    </row>
    <row r="167" spans="2:2">
      <c r="B167" s="32" t="s">
        <v>155</v>
      </c>
    </row>
    <row r="168" spans="2:2" ht="39.6">
      <c r="B168" s="31" t="s">
        <v>156</v>
      </c>
    </row>
    <row r="169" spans="2:2">
      <c r="B169" s="42"/>
    </row>
    <row r="170" spans="2:2">
      <c r="B170" s="33" t="s">
        <v>157</v>
      </c>
    </row>
    <row r="171" spans="2:2" ht="26.4">
      <c r="B171" s="33" t="s">
        <v>158</v>
      </c>
    </row>
    <row r="172" spans="2:2" ht="26.4">
      <c r="B172" s="33" t="s">
        <v>159</v>
      </c>
    </row>
    <row r="173" spans="2:2">
      <c r="B173" s="30"/>
    </row>
    <row r="174" spans="2:2">
      <c r="B174" s="32" t="s">
        <v>160</v>
      </c>
    </row>
    <row r="175" spans="2:2" ht="26.4">
      <c r="B175" s="31" t="s">
        <v>161</v>
      </c>
    </row>
    <row r="176" spans="2:2">
      <c r="B176" s="42"/>
    </row>
    <row r="177" spans="2:5">
      <c r="B177" s="33" t="s">
        <v>162</v>
      </c>
    </row>
    <row r="178" spans="2:5" ht="26.4">
      <c r="B178" s="33" t="s">
        <v>163</v>
      </c>
    </row>
    <row r="179" spans="2:5">
      <c r="B179" s="33" t="s">
        <v>164</v>
      </c>
    </row>
    <row r="180" spans="2:5">
      <c r="B180" s="30"/>
    </row>
    <row r="181" spans="2:5">
      <c r="B181" s="32" t="s">
        <v>165</v>
      </c>
    </row>
    <row r="182" spans="2:5" ht="26.4">
      <c r="B182" s="31" t="s">
        <v>166</v>
      </c>
    </row>
    <row r="183" spans="2:5">
      <c r="B183" s="33" t="s">
        <v>167</v>
      </c>
    </row>
    <row r="184" spans="2:5" ht="26.4">
      <c r="B184" s="33" t="s">
        <v>168</v>
      </c>
    </row>
    <row r="186" spans="2:5">
      <c r="B186" s="30"/>
    </row>
    <row r="187" spans="2:5">
      <c r="B187" s="32" t="s">
        <v>169</v>
      </c>
    </row>
    <row r="188" spans="2:5" ht="15" thickBot="1">
      <c r="B188" s="35" t="s">
        <v>170</v>
      </c>
      <c r="C188" s="35" t="s">
        <v>171</v>
      </c>
      <c r="D188" s="35" t="s">
        <v>172</v>
      </c>
      <c r="E188" s="35" t="s">
        <v>173</v>
      </c>
    </row>
    <row r="189" spans="2:5" ht="15" thickBot="1">
      <c r="B189" s="36" t="s">
        <v>174</v>
      </c>
      <c r="C189" s="36" t="s">
        <v>175</v>
      </c>
      <c r="D189" s="36" t="s">
        <v>176</v>
      </c>
      <c r="E189" s="36" t="s">
        <v>177</v>
      </c>
    </row>
    <row r="190" spans="2:5" ht="15" thickBot="1">
      <c r="B190" s="36" t="s">
        <v>178</v>
      </c>
      <c r="C190" s="37" t="s">
        <v>179</v>
      </c>
      <c r="D190" s="37" t="s">
        <v>180</v>
      </c>
      <c r="E190" s="37" t="s">
        <v>181</v>
      </c>
    </row>
    <row r="191" spans="2:5" ht="27" thickBot="1">
      <c r="B191" s="36" t="s">
        <v>182</v>
      </c>
      <c r="C191" s="37" t="s">
        <v>183</v>
      </c>
      <c r="D191" s="37" t="s">
        <v>184</v>
      </c>
      <c r="E191" s="37" t="s">
        <v>185</v>
      </c>
    </row>
    <row r="192" spans="2:5" ht="15" thickBot="1">
      <c r="B192" s="36" t="s">
        <v>186</v>
      </c>
      <c r="C192" s="37" t="s">
        <v>187</v>
      </c>
      <c r="D192" s="37" t="s">
        <v>188</v>
      </c>
      <c r="E192" s="37" t="s">
        <v>187</v>
      </c>
    </row>
    <row r="193" spans="2:2">
      <c r="B193" s="32" t="s">
        <v>189</v>
      </c>
    </row>
    <row r="194" spans="2:2" ht="52.8">
      <c r="B194" s="31" t="s">
        <v>190</v>
      </c>
    </row>
    <row r="195" spans="2:2" ht="26.4">
      <c r="B195" s="31" t="s">
        <v>191</v>
      </c>
    </row>
    <row r="196" spans="2:2">
      <c r="B196" s="43" t="s">
        <v>151</v>
      </c>
    </row>
    <row r="197" spans="2:2" ht="39.6">
      <c r="B197" s="31" t="s">
        <v>192</v>
      </c>
    </row>
    <row r="198" spans="2:2" ht="22.8">
      <c r="B198" s="29"/>
    </row>
    <row r="199" spans="2:2" ht="39.6">
      <c r="B199" s="31" t="s">
        <v>193</v>
      </c>
    </row>
    <row r="200" spans="2:2" ht="26.4">
      <c r="B200" s="31" t="s">
        <v>194</v>
      </c>
    </row>
    <row r="201" spans="2:2">
      <c r="B201" s="32" t="s">
        <v>195</v>
      </c>
    </row>
    <row r="202" spans="2:2" ht="26.4">
      <c r="B202" s="31" t="s">
        <v>196</v>
      </c>
    </row>
    <row r="203" spans="2:2" ht="39.6">
      <c r="B203" s="33" t="s">
        <v>197</v>
      </c>
    </row>
    <row r="204" spans="2:2" ht="39.6">
      <c r="B204" s="33" t="s">
        <v>198</v>
      </c>
    </row>
    <row r="205" spans="2:2" ht="26.4">
      <c r="B205" s="33" t="s">
        <v>199</v>
      </c>
    </row>
    <row r="206" spans="2:2">
      <c r="B206" s="32" t="s">
        <v>200</v>
      </c>
    </row>
    <row r="207" spans="2:2" ht="39.6">
      <c r="B207" s="31" t="s">
        <v>201</v>
      </c>
    </row>
    <row r="208" spans="2:2">
      <c r="B208" s="32" t="s">
        <v>202</v>
      </c>
    </row>
    <row r="209" spans="2:2">
      <c r="B209" s="33" t="s">
        <v>203</v>
      </c>
    </row>
    <row r="210" spans="2:2">
      <c r="B210" s="33" t="s">
        <v>204</v>
      </c>
    </row>
    <row r="211" spans="2:2">
      <c r="B211" s="33" t="s">
        <v>205</v>
      </c>
    </row>
    <row r="212" spans="2:2">
      <c r="B212" s="33" t="s">
        <v>206</v>
      </c>
    </row>
    <row r="213" spans="2:2">
      <c r="B213" s="33" t="s">
        <v>207</v>
      </c>
    </row>
    <row r="214" spans="2:2">
      <c r="B214" s="33" t="s">
        <v>208</v>
      </c>
    </row>
    <row r="215" spans="2:2">
      <c r="B215" s="33" t="s">
        <v>209</v>
      </c>
    </row>
    <row r="217" spans="2:2">
      <c r="B217" s="30"/>
    </row>
    <row r="218" spans="2:2">
      <c r="B218" s="32" t="s">
        <v>210</v>
      </c>
    </row>
    <row r="219" spans="2:2" ht="26.4">
      <c r="B219" s="32" t="s">
        <v>211</v>
      </c>
    </row>
    <row r="220" spans="2:2" ht="26.4">
      <c r="B220" s="31" t="s">
        <v>212</v>
      </c>
    </row>
    <row r="221" spans="2:2">
      <c r="B221" s="33" t="s">
        <v>213</v>
      </c>
    </row>
    <row r="222" spans="2:2">
      <c r="B222" s="33" t="s">
        <v>214</v>
      </c>
    </row>
    <row r="223" spans="2:2">
      <c r="B223" s="33" t="s">
        <v>215</v>
      </c>
    </row>
    <row r="224" spans="2:2">
      <c r="B224" s="33" t="s">
        <v>216</v>
      </c>
    </row>
    <row r="225" spans="1:17">
      <c r="B225" s="32" t="s">
        <v>217</v>
      </c>
    </row>
    <row r="226" spans="1:17" ht="26.4">
      <c r="B226" s="31" t="s">
        <v>218</v>
      </c>
    </row>
    <row r="227" spans="1:17" ht="15" thickBot="1">
      <c r="B227" s="35" t="s">
        <v>67</v>
      </c>
      <c r="C227" s="35" t="s">
        <v>69</v>
      </c>
    </row>
    <row r="228" spans="1:17" ht="15" thickBot="1">
      <c r="B228" s="36" t="s">
        <v>219</v>
      </c>
      <c r="C228" s="37" t="s">
        <v>220</v>
      </c>
    </row>
    <row r="229" spans="1:17" ht="15" thickBot="1">
      <c r="B229" s="36" t="s">
        <v>221</v>
      </c>
      <c r="C229" s="37" t="s">
        <v>222</v>
      </c>
    </row>
    <row r="230" spans="1:17" ht="15" thickBot="1">
      <c r="B230" s="36" t="s">
        <v>223</v>
      </c>
      <c r="C230" s="37" t="s">
        <v>224</v>
      </c>
    </row>
    <row r="231" spans="1:17" ht="15" thickBot="1">
      <c r="B231" s="36" t="s">
        <v>225</v>
      </c>
      <c r="C231" s="37" t="s">
        <v>226</v>
      </c>
    </row>
    <row r="232" spans="1:17" ht="15" thickBot="1">
      <c r="B232" s="36" t="s">
        <v>227</v>
      </c>
      <c r="C232" s="37" t="s">
        <v>228</v>
      </c>
    </row>
    <row r="233" spans="1:17" ht="15" thickBot="1">
      <c r="B233" s="74" t="s">
        <v>229</v>
      </c>
      <c r="C233" s="74" t="s">
        <v>230</v>
      </c>
    </row>
    <row r="234" spans="1:17" ht="26.4">
      <c r="B234" s="32" t="s">
        <v>231</v>
      </c>
    </row>
    <row r="238" spans="1:17">
      <c r="A238" s="47"/>
      <c r="B238" s="47" t="s">
        <v>327</v>
      </c>
      <c r="C238" s="48"/>
      <c r="D238" s="48"/>
      <c r="E238" s="48"/>
      <c r="F238" s="48"/>
      <c r="G238" s="48"/>
      <c r="H238" s="48"/>
      <c r="I238" s="48"/>
      <c r="J238" s="48"/>
      <c r="K238" s="48"/>
      <c r="L238" s="48"/>
      <c r="M238" s="48"/>
      <c r="N238" s="48"/>
      <c r="O238" s="48"/>
      <c r="P238" s="48"/>
      <c r="Q238" s="48"/>
    </row>
    <row r="239" spans="1:17" ht="15" thickBot="1"/>
    <row r="240" spans="1:17" ht="28.2" thickBot="1">
      <c r="B240" s="56" t="s">
        <v>67</v>
      </c>
      <c r="C240" s="56" t="s">
        <v>10</v>
      </c>
      <c r="D240" s="56" t="s">
        <v>328</v>
      </c>
      <c r="E240" s="57" t="s">
        <v>329</v>
      </c>
    </row>
    <row r="241" spans="2:5" ht="15" thickBot="1">
      <c r="B241" s="60" t="s">
        <v>330</v>
      </c>
      <c r="C241" s="61" t="s">
        <v>331</v>
      </c>
      <c r="D241" s="60" t="s">
        <v>332</v>
      </c>
      <c r="E241" s="68" t="s">
        <v>333</v>
      </c>
    </row>
    <row r="242" spans="2:5" ht="28.2" thickBot="1">
      <c r="B242" s="60" t="s">
        <v>334</v>
      </c>
      <c r="C242" s="61" t="s">
        <v>335</v>
      </c>
      <c r="D242" s="60" t="s">
        <v>336</v>
      </c>
      <c r="E242" s="68" t="s">
        <v>337</v>
      </c>
    </row>
    <row r="243" spans="2:5" ht="28.2" thickBot="1">
      <c r="B243" s="60" t="s">
        <v>338</v>
      </c>
      <c r="C243" s="61" t="s">
        <v>335</v>
      </c>
      <c r="D243" s="60" t="s">
        <v>339</v>
      </c>
      <c r="E243" s="68" t="s">
        <v>340</v>
      </c>
    </row>
    <row r="247" spans="2:5" ht="17.399999999999999">
      <c r="B247" s="65" t="s">
        <v>341</v>
      </c>
    </row>
    <row r="249" spans="2:5" ht="15.6">
      <c r="B249" s="76" t="s">
        <v>342</v>
      </c>
    </row>
    <row r="250" spans="2:5">
      <c r="B250" s="66"/>
    </row>
    <row r="251" spans="2:5">
      <c r="B251" s="67" t="s">
        <v>343</v>
      </c>
    </row>
    <row r="252" spans="2:5">
      <c r="B252" s="66"/>
    </row>
    <row r="253" spans="2:5">
      <c r="B253" s="67" t="s">
        <v>344</v>
      </c>
    </row>
    <row r="255" spans="2:5" ht="15.6">
      <c r="B255" s="76" t="s">
        <v>345</v>
      </c>
    </row>
    <row r="256" spans="2:5">
      <c r="B256" s="66"/>
    </row>
    <row r="257" spans="2:2">
      <c r="B257" s="67" t="s">
        <v>346</v>
      </c>
    </row>
    <row r="258" spans="2:2">
      <c r="B258" s="66"/>
    </row>
    <row r="259" spans="2:2">
      <c r="B259" s="67" t="s">
        <v>347</v>
      </c>
    </row>
    <row r="261" spans="2:2" ht="15.6">
      <c r="B261" s="76" t="s">
        <v>348</v>
      </c>
    </row>
    <row r="262" spans="2:2">
      <c r="B262" s="66"/>
    </row>
    <row r="263" spans="2:2">
      <c r="B263" s="67" t="s">
        <v>349</v>
      </c>
    </row>
    <row r="265" spans="2:2" ht="17.399999999999999">
      <c r="B265" s="65" t="s">
        <v>350</v>
      </c>
    </row>
    <row r="266" spans="2:2">
      <c r="B266" s="66"/>
    </row>
    <row r="267" spans="2:2">
      <c r="B267" s="67" t="s">
        <v>351</v>
      </c>
    </row>
    <row r="268" spans="2:2">
      <c r="B268" s="66"/>
    </row>
    <row r="269" spans="2:2">
      <c r="B269" s="67" t="s">
        <v>352</v>
      </c>
    </row>
    <row r="270" spans="2:2">
      <c r="B270" s="66"/>
    </row>
    <row r="271" spans="2:2">
      <c r="B271" s="67" t="s">
        <v>353</v>
      </c>
    </row>
    <row r="273" spans="2:5">
      <c r="B273" s="77" t="s">
        <v>354</v>
      </c>
    </row>
    <row r="280" spans="2:5">
      <c r="B280" s="64" t="s">
        <v>364</v>
      </c>
    </row>
    <row r="282" spans="2:5">
      <c r="B282" s="64" t="s">
        <v>365</v>
      </c>
    </row>
    <row r="284" spans="2:5" ht="15" thickBot="1"/>
    <row r="285" spans="2:5" ht="28.2" thickBot="1">
      <c r="B285" s="56" t="s">
        <v>356</v>
      </c>
      <c r="C285" s="56" t="s">
        <v>10</v>
      </c>
      <c r="D285" s="56" t="s">
        <v>357</v>
      </c>
      <c r="E285" s="57" t="s">
        <v>358</v>
      </c>
    </row>
    <row r="286" spans="2:5" ht="28.2" thickBot="1">
      <c r="B286" s="56" t="s">
        <v>330</v>
      </c>
      <c r="C286" s="58" t="s">
        <v>331</v>
      </c>
      <c r="D286" s="56" t="s">
        <v>222</v>
      </c>
      <c r="E286" s="59" t="s">
        <v>359</v>
      </c>
    </row>
    <row r="287" spans="2:5" ht="55.8" thickBot="1">
      <c r="B287" s="56" t="s">
        <v>338</v>
      </c>
      <c r="C287" s="58" t="s">
        <v>335</v>
      </c>
      <c r="D287" s="56" t="s">
        <v>360</v>
      </c>
      <c r="E287" s="59" t="s">
        <v>361</v>
      </c>
    </row>
    <row r="288" spans="2:5" ht="69.599999999999994" thickBot="1">
      <c r="B288" s="56" t="s">
        <v>334</v>
      </c>
      <c r="C288" s="58" t="s">
        <v>335</v>
      </c>
      <c r="D288" s="56" t="s">
        <v>362</v>
      </c>
      <c r="E288" s="57" t="s">
        <v>363</v>
      </c>
    </row>
    <row r="291" spans="2:2" ht="22.8">
      <c r="B291" s="29"/>
    </row>
    <row r="292" spans="2:2">
      <c r="B292" s="75"/>
    </row>
    <row r="293" spans="2:2">
      <c r="B293" s="39" t="s">
        <v>366</v>
      </c>
    </row>
    <row r="294" spans="2:2" ht="16.8">
      <c r="B294" s="39" t="s">
        <v>367</v>
      </c>
    </row>
    <row r="295" spans="2:2">
      <c r="B295" s="79" t="s">
        <v>368</v>
      </c>
    </row>
    <row r="296" spans="2:2">
      <c r="B296" s="79" t="s">
        <v>369</v>
      </c>
    </row>
    <row r="297" spans="2:2">
      <c r="B297" s="79" t="s">
        <v>370</v>
      </c>
    </row>
    <row r="298" spans="2:2" ht="16.8">
      <c r="B298" s="39" t="s">
        <v>371</v>
      </c>
    </row>
    <row r="299" spans="2:2">
      <c r="B299" s="79" t="s">
        <v>372</v>
      </c>
    </row>
    <row r="300" spans="2:2">
      <c r="B300" s="79" t="s">
        <v>373</v>
      </c>
    </row>
    <row r="301" spans="2:2">
      <c r="B301" s="79" t="s">
        <v>374</v>
      </c>
    </row>
    <row r="302" spans="2:2">
      <c r="B302" s="79" t="s">
        <v>375</v>
      </c>
    </row>
    <row r="303" spans="2:2">
      <c r="B303" s="39" t="s">
        <v>376</v>
      </c>
    </row>
    <row r="304" spans="2:2">
      <c r="B304" s="38" t="s">
        <v>377</v>
      </c>
    </row>
    <row r="305" spans="2:2">
      <c r="B305" s="79" t="s">
        <v>378</v>
      </c>
    </row>
    <row r="306" spans="2:2">
      <c r="B306" s="79" t="s">
        <v>379</v>
      </c>
    </row>
    <row r="307" spans="2:2">
      <c r="B307" s="66"/>
    </row>
    <row r="308" spans="2:2">
      <c r="B308" s="79" t="s">
        <v>380</v>
      </c>
    </row>
    <row r="312" spans="2:2">
      <c r="B312" s="72" t="s">
        <v>386</v>
      </c>
    </row>
    <row r="313" spans="2:2">
      <c r="B313" s="66"/>
    </row>
    <row r="314" spans="2:2">
      <c r="B314" s="80" t="s">
        <v>381</v>
      </c>
    </row>
    <row r="315" spans="2:2">
      <c r="B315" s="66"/>
    </row>
    <row r="316" spans="2:2">
      <c r="B316" s="80" t="s">
        <v>382</v>
      </c>
    </row>
    <row r="317" spans="2:2">
      <c r="B317" s="66"/>
    </row>
    <row r="318" spans="2:2">
      <c r="B318" s="80" t="s">
        <v>383</v>
      </c>
    </row>
    <row r="320" spans="2:2">
      <c r="B320" s="72" t="s">
        <v>384</v>
      </c>
    </row>
    <row r="322" spans="2:6" ht="18">
      <c r="B322" s="81" t="s">
        <v>385</v>
      </c>
    </row>
    <row r="324" spans="2:6" ht="15" thickBot="1"/>
    <row r="325" spans="2:6" ht="42" thickBot="1">
      <c r="B325" s="56" t="s">
        <v>67</v>
      </c>
      <c r="C325" s="56" t="s">
        <v>10</v>
      </c>
      <c r="D325" s="56" t="s">
        <v>387</v>
      </c>
      <c r="E325" s="56" t="s">
        <v>388</v>
      </c>
      <c r="F325" s="57" t="s">
        <v>389</v>
      </c>
    </row>
    <row r="326" spans="2:6" ht="69.599999999999994" thickBot="1">
      <c r="B326" s="56" t="s">
        <v>330</v>
      </c>
      <c r="C326" s="58" t="s">
        <v>331</v>
      </c>
      <c r="D326" s="56" t="s">
        <v>332</v>
      </c>
      <c r="E326" s="58" t="s">
        <v>390</v>
      </c>
      <c r="F326" s="59" t="s">
        <v>391</v>
      </c>
    </row>
    <row r="327" spans="2:6" ht="97.2" thickBot="1">
      <c r="B327" s="56" t="s">
        <v>338</v>
      </c>
      <c r="C327" s="58" t="s">
        <v>335</v>
      </c>
      <c r="D327" s="56" t="s">
        <v>339</v>
      </c>
      <c r="E327" s="58" t="s">
        <v>392</v>
      </c>
      <c r="F327" s="59" t="s">
        <v>393</v>
      </c>
    </row>
    <row r="328" spans="2:6" ht="124.8" thickBot="1">
      <c r="B328" s="56" t="s">
        <v>334</v>
      </c>
      <c r="C328" s="58" t="s">
        <v>335</v>
      </c>
      <c r="D328" s="56" t="s">
        <v>336</v>
      </c>
      <c r="E328" s="58" t="s">
        <v>394</v>
      </c>
      <c r="F328" s="59" t="s">
        <v>395</v>
      </c>
    </row>
    <row r="331" spans="2:6" ht="17.399999999999999">
      <c r="B331" s="65" t="s">
        <v>396</v>
      </c>
    </row>
    <row r="332" spans="2:6">
      <c r="B332" s="66"/>
    </row>
    <row r="333" spans="2:6">
      <c r="B333" s="67" t="s">
        <v>397</v>
      </c>
    </row>
    <row r="334" spans="2:6">
      <c r="B334" s="66"/>
    </row>
    <row r="335" spans="2:6">
      <c r="B335" s="67" t="s">
        <v>398</v>
      </c>
    </row>
    <row r="336" spans="2:6">
      <c r="B336" s="66"/>
    </row>
    <row r="337" spans="1:17">
      <c r="B337" s="67" t="s">
        <v>399</v>
      </c>
    </row>
    <row r="339" spans="1:17" ht="17.399999999999999">
      <c r="B339" s="65" t="s">
        <v>400</v>
      </c>
    </row>
    <row r="341" spans="1:17">
      <c r="B341" s="64" t="s">
        <v>401</v>
      </c>
    </row>
    <row r="342" spans="1:17">
      <c r="B342" s="66"/>
    </row>
    <row r="343" spans="1:17">
      <c r="B343" s="67" t="s">
        <v>402</v>
      </c>
    </row>
    <row r="344" spans="1:17">
      <c r="B344" s="66"/>
    </row>
    <row r="345" spans="1:17">
      <c r="B345" s="67" t="s">
        <v>403</v>
      </c>
    </row>
    <row r="347" spans="1:17">
      <c r="B347" s="77" t="s">
        <v>404</v>
      </c>
    </row>
    <row r="350" spans="1:17">
      <c r="A350" s="47"/>
      <c r="B350" s="47" t="s">
        <v>406</v>
      </c>
      <c r="C350" s="48"/>
      <c r="D350" s="48"/>
      <c r="E350" s="48"/>
      <c r="F350" s="48"/>
      <c r="G350" s="48"/>
      <c r="H350" s="48"/>
      <c r="I350" s="48"/>
      <c r="J350" s="48"/>
      <c r="K350" s="48"/>
      <c r="L350" s="48"/>
      <c r="M350" s="48"/>
      <c r="N350" s="48"/>
      <c r="O350" s="48"/>
      <c r="P350" s="48"/>
      <c r="Q350" s="48"/>
    </row>
    <row r="352" spans="1:17">
      <c r="B352" s="64" t="s">
        <v>407</v>
      </c>
    </row>
    <row r="354" spans="2:5">
      <c r="B354" s="64" t="s">
        <v>408</v>
      </c>
    </row>
    <row r="356" spans="2:5" ht="17.399999999999999">
      <c r="B356" s="65" t="s">
        <v>409</v>
      </c>
    </row>
    <row r="358" spans="2:5">
      <c r="B358" s="64" t="s">
        <v>410</v>
      </c>
    </row>
    <row r="359" spans="2:5" ht="15" thickBot="1"/>
    <row r="360" spans="2:5" ht="28.2" thickBot="1">
      <c r="B360" s="82" t="s">
        <v>411</v>
      </c>
      <c r="C360" s="82" t="s">
        <v>412</v>
      </c>
      <c r="D360" s="82" t="s">
        <v>413</v>
      </c>
      <c r="E360" s="82" t="s">
        <v>414</v>
      </c>
    </row>
    <row r="361" spans="2:5" ht="28.2" thickBot="1">
      <c r="B361" s="82" t="s">
        <v>415</v>
      </c>
      <c r="C361" s="83" t="s">
        <v>416</v>
      </c>
      <c r="D361" s="82" t="s">
        <v>112</v>
      </c>
      <c r="E361" s="83" t="s">
        <v>417</v>
      </c>
    </row>
    <row r="362" spans="2:5" ht="28.2" thickBot="1">
      <c r="B362" s="82" t="s">
        <v>418</v>
      </c>
      <c r="C362" s="83" t="s">
        <v>419</v>
      </c>
      <c r="D362" s="82" t="s">
        <v>420</v>
      </c>
      <c r="E362" s="83" t="s">
        <v>421</v>
      </c>
    </row>
    <row r="363" spans="2:5">
      <c r="B363" s="67" t="s">
        <v>422</v>
      </c>
    </row>
    <row r="364" spans="2:5">
      <c r="B364" s="66"/>
    </row>
    <row r="365" spans="2:5">
      <c r="B365" s="67" t="s">
        <v>423</v>
      </c>
    </row>
    <row r="369" spans="2:5" ht="17.399999999999999">
      <c r="B369" s="65" t="s">
        <v>424</v>
      </c>
    </row>
    <row r="371" spans="2:5">
      <c r="B371" s="64" t="s">
        <v>425</v>
      </c>
    </row>
    <row r="372" spans="2:5" ht="15" thickBot="1"/>
    <row r="373" spans="2:5" ht="28.2" thickBot="1">
      <c r="B373" s="82" t="s">
        <v>411</v>
      </c>
      <c r="C373" s="82" t="s">
        <v>412</v>
      </c>
      <c r="D373" s="82" t="s">
        <v>413</v>
      </c>
      <c r="E373" s="82" t="s">
        <v>414</v>
      </c>
    </row>
    <row r="374" spans="2:5" ht="15" thickBot="1">
      <c r="B374" s="82" t="s">
        <v>415</v>
      </c>
      <c r="C374" s="83" t="s">
        <v>426</v>
      </c>
      <c r="D374" s="82" t="s">
        <v>427</v>
      </c>
      <c r="E374" s="83" t="s">
        <v>428</v>
      </c>
    </row>
    <row r="375" spans="2:5" ht="28.2" thickBot="1">
      <c r="B375" s="82" t="s">
        <v>418</v>
      </c>
      <c r="C375" s="83" t="s">
        <v>429</v>
      </c>
      <c r="D375" s="82" t="s">
        <v>430</v>
      </c>
      <c r="E375" s="83" t="s">
        <v>431</v>
      </c>
    </row>
    <row r="376" spans="2:5">
      <c r="B376" s="67" t="s">
        <v>432</v>
      </c>
    </row>
    <row r="377" spans="2:5">
      <c r="B377" s="66"/>
    </row>
    <row r="378" spans="2:5">
      <c r="B378" s="67" t="s">
        <v>433</v>
      </c>
    </row>
    <row r="382" spans="2:5" ht="17.399999999999999">
      <c r="B382" s="65" t="s">
        <v>434</v>
      </c>
    </row>
    <row r="384" spans="2:5">
      <c r="B384" s="64" t="s">
        <v>435</v>
      </c>
    </row>
    <row r="385" spans="2:5" ht="15" thickBot="1">
      <c r="B385" s="78"/>
    </row>
    <row r="386" spans="2:5" ht="28.2" thickBot="1">
      <c r="B386" s="82" t="s">
        <v>411</v>
      </c>
      <c r="C386" s="82" t="s">
        <v>436</v>
      </c>
      <c r="D386" s="82" t="s">
        <v>413</v>
      </c>
      <c r="E386" s="82" t="s">
        <v>414</v>
      </c>
    </row>
    <row r="387" spans="2:5" ht="15" thickBot="1">
      <c r="B387" s="82" t="s">
        <v>415</v>
      </c>
      <c r="C387" s="83" t="s">
        <v>437</v>
      </c>
      <c r="D387" s="82" t="s">
        <v>106</v>
      </c>
      <c r="E387" s="83" t="s">
        <v>438</v>
      </c>
    </row>
    <row r="388" spans="2:5" ht="28.2" thickBot="1">
      <c r="B388" s="82" t="s">
        <v>418</v>
      </c>
      <c r="C388" s="83" t="s">
        <v>439</v>
      </c>
      <c r="D388" s="82" t="s">
        <v>440</v>
      </c>
      <c r="E388" s="83" t="s">
        <v>441</v>
      </c>
    </row>
    <row r="389" spans="2:5">
      <c r="B389" s="67" t="s">
        <v>442</v>
      </c>
    </row>
    <row r="393" spans="2:5" ht="17.399999999999999">
      <c r="B393" s="65" t="s">
        <v>443</v>
      </c>
    </row>
    <row r="394" spans="2:5">
      <c r="B394" s="66"/>
    </row>
    <row r="395" spans="2:5">
      <c r="B395" s="67" t="s">
        <v>444</v>
      </c>
    </row>
    <row r="396" spans="2:5">
      <c r="B396" s="66"/>
    </row>
    <row r="397" spans="2:5">
      <c r="B397" s="67" t="s">
        <v>445</v>
      </c>
    </row>
    <row r="398" spans="2:5">
      <c r="B398" s="66"/>
    </row>
    <row r="399" spans="2:5">
      <c r="B399" s="67" t="s">
        <v>446</v>
      </c>
    </row>
    <row r="405" spans="1:17">
      <c r="A405" s="47"/>
      <c r="B405" s="47" t="s">
        <v>449</v>
      </c>
      <c r="C405" s="48"/>
      <c r="D405" s="48"/>
      <c r="E405" s="48"/>
      <c r="F405" s="48"/>
      <c r="G405" s="48"/>
      <c r="H405" s="48"/>
      <c r="I405" s="48"/>
      <c r="J405" s="48"/>
      <c r="K405" s="48"/>
      <c r="L405" s="48"/>
      <c r="M405" s="48"/>
      <c r="N405" s="48"/>
      <c r="O405" s="48"/>
      <c r="P405" s="48"/>
      <c r="Q405" s="48"/>
    </row>
    <row r="406" spans="1:17" ht="15" thickBot="1"/>
    <row r="407" spans="1:17" ht="28.2" thickBot="1">
      <c r="B407" s="56" t="s">
        <v>67</v>
      </c>
      <c r="C407" s="56" t="s">
        <v>450</v>
      </c>
      <c r="D407" s="57" t="s">
        <v>451</v>
      </c>
    </row>
    <row r="408" spans="1:17" ht="15" thickBot="1">
      <c r="B408" s="56" t="s">
        <v>452</v>
      </c>
      <c r="C408" s="58" t="s">
        <v>453</v>
      </c>
      <c r="D408" s="59" t="s">
        <v>454</v>
      </c>
    </row>
    <row r="409" spans="1:17" ht="15" thickBot="1">
      <c r="B409" s="56" t="s">
        <v>455</v>
      </c>
      <c r="C409" s="58" t="s">
        <v>456</v>
      </c>
      <c r="D409" s="59" t="s">
        <v>457</v>
      </c>
    </row>
    <row r="410" spans="1:17" ht="15" thickBot="1">
      <c r="B410" s="56" t="s">
        <v>458</v>
      </c>
      <c r="C410" s="58" t="s">
        <v>457</v>
      </c>
      <c r="D410" s="59" t="s">
        <v>459</v>
      </c>
    </row>
    <row r="411" spans="1:17" ht="15" thickBot="1">
      <c r="B411" s="56" t="s">
        <v>460</v>
      </c>
      <c r="C411" s="58" t="s">
        <v>222</v>
      </c>
      <c r="D411" s="59" t="s">
        <v>456</v>
      </c>
    </row>
    <row r="412" spans="1:17" ht="15" thickBot="1">
      <c r="B412" s="60" t="s">
        <v>461</v>
      </c>
      <c r="C412" s="60" t="s">
        <v>462</v>
      </c>
      <c r="D412" s="62" t="s">
        <v>463</v>
      </c>
    </row>
    <row r="415" spans="1:17" ht="17.399999999999999">
      <c r="B415" s="65" t="s">
        <v>464</v>
      </c>
    </row>
    <row r="417" spans="2:2">
      <c r="B417" s="64" t="s">
        <v>465</v>
      </c>
    </row>
    <row r="418" spans="2:2">
      <c r="B418" s="66"/>
    </row>
    <row r="419" spans="2:2">
      <c r="B419" s="67" t="s">
        <v>466</v>
      </c>
    </row>
    <row r="420" spans="2:2">
      <c r="B420" s="66"/>
    </row>
    <row r="421" spans="2:2">
      <c r="B421" s="67" t="s">
        <v>467</v>
      </c>
    </row>
    <row r="422" spans="2:2">
      <c r="B422" s="66"/>
    </row>
    <row r="423" spans="2:2">
      <c r="B423" s="67" t="s">
        <v>468</v>
      </c>
    </row>
    <row r="425" spans="2:2" ht="17.399999999999999">
      <c r="B425" s="65" t="s">
        <v>469</v>
      </c>
    </row>
    <row r="427" spans="2:2">
      <c r="B427" s="64" t="s">
        <v>470</v>
      </c>
    </row>
    <row r="428" spans="2:2">
      <c r="B428" s="66"/>
    </row>
    <row r="429" spans="2:2">
      <c r="B429" s="67" t="s">
        <v>471</v>
      </c>
    </row>
    <row r="430" spans="2:2">
      <c r="B430" s="66"/>
    </row>
    <row r="431" spans="2:2">
      <c r="B431" s="67" t="s">
        <v>472</v>
      </c>
    </row>
    <row r="432" spans="2:2">
      <c r="B432" s="66"/>
    </row>
    <row r="433" spans="2:2">
      <c r="B433" s="67" t="s">
        <v>473</v>
      </c>
    </row>
    <row r="435" spans="2:2" ht="17.399999999999999">
      <c r="B435" s="65" t="s">
        <v>474</v>
      </c>
    </row>
    <row r="437" spans="2:2">
      <c r="B437" s="64" t="s">
        <v>475</v>
      </c>
    </row>
    <row r="438" spans="2:2">
      <c r="B438" s="66"/>
    </row>
    <row r="439" spans="2:2">
      <c r="B439" s="67" t="s">
        <v>476</v>
      </c>
    </row>
    <row r="440" spans="2:2">
      <c r="B440" s="66"/>
    </row>
    <row r="441" spans="2:2">
      <c r="B441" s="89"/>
    </row>
    <row r="442" spans="2:2">
      <c r="B442" s="91" t="s">
        <v>477</v>
      </c>
    </row>
    <row r="443" spans="2:2">
      <c r="B443" s="90"/>
    </row>
    <row r="444" spans="2:2">
      <c r="B444" s="91" t="s">
        <v>478</v>
      </c>
    </row>
    <row r="445" spans="2:2">
      <c r="B445" s="90"/>
    </row>
    <row r="446" spans="2:2">
      <c r="B446" s="91" t="s">
        <v>479</v>
      </c>
    </row>
    <row r="447" spans="2:2">
      <c r="B447" s="66"/>
    </row>
    <row r="448" spans="2:2">
      <c r="B448" s="67" t="s">
        <v>480</v>
      </c>
    </row>
    <row r="450" spans="1:17" ht="17.399999999999999">
      <c r="B450" s="65" t="s">
        <v>481</v>
      </c>
    </row>
    <row r="452" spans="1:17">
      <c r="B452" s="64" t="s">
        <v>482</v>
      </c>
    </row>
    <row r="453" spans="1:17">
      <c r="B453" s="66"/>
    </row>
    <row r="454" spans="1:17">
      <c r="B454" s="67" t="s">
        <v>483</v>
      </c>
    </row>
    <row r="455" spans="1:17">
      <c r="B455" s="66"/>
    </row>
    <row r="456" spans="1:17">
      <c r="B456" s="67" t="s">
        <v>484</v>
      </c>
    </row>
    <row r="457" spans="1:17">
      <c r="B457" s="66"/>
    </row>
    <row r="458" spans="1:17">
      <c r="B458" s="67" t="s">
        <v>485</v>
      </c>
    </row>
    <row r="459" spans="1:17">
      <c r="A459" s="84"/>
    </row>
    <row r="460" spans="1:17">
      <c r="A460" s="47"/>
      <c r="B460" s="47" t="s">
        <v>555</v>
      </c>
      <c r="C460" s="48"/>
      <c r="D460" s="48"/>
      <c r="E460" s="48"/>
      <c r="F460" s="48"/>
      <c r="G460" s="48"/>
      <c r="H460" s="48"/>
      <c r="I460" s="48"/>
      <c r="J460" s="48"/>
      <c r="K460" s="48"/>
      <c r="L460" s="48"/>
      <c r="M460" s="48"/>
      <c r="N460" s="48"/>
      <c r="O460" s="48"/>
      <c r="P460" s="48"/>
      <c r="Q460" s="48"/>
    </row>
    <row r="462" spans="1:17">
      <c r="B462" s="96" t="s">
        <v>138</v>
      </c>
      <c r="C462" s="96" t="s">
        <v>541</v>
      </c>
      <c r="D462" s="97" t="s">
        <v>513</v>
      </c>
    </row>
    <row r="463" spans="1:17" ht="27.6">
      <c r="B463" s="96" t="s">
        <v>542</v>
      </c>
      <c r="C463" s="112">
        <v>650000</v>
      </c>
      <c r="D463" s="99" t="s">
        <v>543</v>
      </c>
    </row>
    <row r="464" spans="1:17" ht="27.6">
      <c r="B464" s="96" t="s">
        <v>544</v>
      </c>
      <c r="C464" s="112">
        <v>1200000</v>
      </c>
      <c r="D464" s="99" t="s">
        <v>545</v>
      </c>
    </row>
    <row r="465" spans="2:4" ht="27.6">
      <c r="B465" s="96" t="s">
        <v>546</v>
      </c>
      <c r="C465" s="112">
        <v>350000</v>
      </c>
      <c r="D465" s="99" t="s">
        <v>547</v>
      </c>
    </row>
    <row r="466" spans="2:4" ht="27.6">
      <c r="B466" s="96" t="s">
        <v>548</v>
      </c>
      <c r="C466" s="112">
        <v>400000</v>
      </c>
      <c r="D466" s="99" t="s">
        <v>549</v>
      </c>
    </row>
    <row r="467" spans="2:4" ht="27.6">
      <c r="B467" s="96" t="s">
        <v>550</v>
      </c>
      <c r="C467" s="112">
        <v>250000</v>
      </c>
      <c r="D467" s="99" t="s">
        <v>551</v>
      </c>
    </row>
    <row r="468" spans="2:4" ht="28.2" thickBot="1">
      <c r="B468" s="113" t="s">
        <v>552</v>
      </c>
      <c r="C468" s="114">
        <v>150000</v>
      </c>
      <c r="D468" s="115" t="s">
        <v>553</v>
      </c>
    </row>
    <row r="469" spans="2:4" ht="15" thickBot="1">
      <c r="B469" s="116" t="s">
        <v>88</v>
      </c>
      <c r="C469" s="117" t="s">
        <v>554</v>
      </c>
      <c r="D469" s="119">
        <v>23000</v>
      </c>
    </row>
    <row r="472" spans="2:4" ht="23.4">
      <c r="B472" s="118" t="s">
        <v>556</v>
      </c>
    </row>
    <row r="474" spans="2:4" ht="18">
      <c r="B474" s="81" t="s">
        <v>557</v>
      </c>
    </row>
    <row r="476" spans="2:4">
      <c r="B476" s="84" t="s">
        <v>558</v>
      </c>
    </row>
    <row r="477" spans="2:4">
      <c r="B477" s="66"/>
    </row>
    <row r="478" spans="2:4">
      <c r="B478" s="80" t="s">
        <v>559</v>
      </c>
    </row>
    <row r="479" spans="2:4">
      <c r="B479" s="66"/>
    </row>
    <row r="480" spans="2:4">
      <c r="B480" s="80" t="s">
        <v>560</v>
      </c>
    </row>
    <row r="482" spans="2:2" ht="18">
      <c r="B482" s="81" t="s">
        <v>561</v>
      </c>
    </row>
    <row r="484" spans="2:2">
      <c r="B484" s="84" t="s">
        <v>562</v>
      </c>
    </row>
    <row r="485" spans="2:2">
      <c r="B485" s="66"/>
    </row>
    <row r="486" spans="2:2">
      <c r="B486" s="80" t="s">
        <v>563</v>
      </c>
    </row>
    <row r="487" spans="2:2">
      <c r="B487" s="66"/>
    </row>
    <row r="488" spans="2:2">
      <c r="B488" s="80" t="s">
        <v>564</v>
      </c>
    </row>
    <row r="489" spans="2:2">
      <c r="B489" s="66"/>
    </row>
    <row r="490" spans="2:2">
      <c r="B490" s="80" t="s">
        <v>565</v>
      </c>
    </row>
    <row r="492" spans="2:2" ht="18">
      <c r="B492" s="81" t="s">
        <v>566</v>
      </c>
    </row>
    <row r="494" spans="2:2">
      <c r="B494" s="84" t="s">
        <v>567</v>
      </c>
    </row>
    <row r="495" spans="2:2">
      <c r="B495" s="66"/>
    </row>
    <row r="496" spans="2:2">
      <c r="B496" s="80" t="s">
        <v>568</v>
      </c>
    </row>
    <row r="497" spans="2:2">
      <c r="B497" s="66"/>
    </row>
    <row r="498" spans="2:2">
      <c r="B498" s="80" t="s">
        <v>569</v>
      </c>
    </row>
    <row r="499" spans="2:2">
      <c r="B499" s="66"/>
    </row>
    <row r="500" spans="2:2">
      <c r="B500" s="80" t="s">
        <v>570</v>
      </c>
    </row>
    <row r="502" spans="2:2" ht="18">
      <c r="B502" s="81" t="s">
        <v>571</v>
      </c>
    </row>
    <row r="504" spans="2:2">
      <c r="B504" s="84" t="s">
        <v>572</v>
      </c>
    </row>
    <row r="505" spans="2:2">
      <c r="B505" s="66"/>
    </row>
    <row r="506" spans="2:2">
      <c r="B506" s="80" t="s">
        <v>573</v>
      </c>
    </row>
    <row r="507" spans="2:2">
      <c r="B507" s="66"/>
    </row>
    <row r="508" spans="2:2">
      <c r="B508" s="80" t="s">
        <v>574</v>
      </c>
    </row>
    <row r="510" spans="2:2" ht="23.4">
      <c r="B510" s="118" t="s">
        <v>575</v>
      </c>
    </row>
    <row r="511" spans="2:2">
      <c r="B511" s="66"/>
    </row>
    <row r="512" spans="2:2">
      <c r="B512" s="80" t="s">
        <v>576</v>
      </c>
    </row>
    <row r="513" spans="1:17">
      <c r="B513" s="66"/>
    </row>
    <row r="514" spans="1:17">
      <c r="B514" s="80" t="s">
        <v>577</v>
      </c>
    </row>
    <row r="515" spans="1:17">
      <c r="B515" s="66"/>
    </row>
    <row r="516" spans="1:17">
      <c r="B516" s="80" t="s">
        <v>578</v>
      </c>
    </row>
    <row r="517" spans="1:17">
      <c r="B517" s="66"/>
    </row>
    <row r="518" spans="1:17">
      <c r="B518" s="80" t="s">
        <v>579</v>
      </c>
    </row>
    <row r="519" spans="1:17">
      <c r="B519" s="80"/>
    </row>
    <row r="520" spans="1:17">
      <c r="A520" s="47"/>
      <c r="B520" s="47" t="s">
        <v>581</v>
      </c>
      <c r="C520" s="48"/>
      <c r="D520" s="48"/>
      <c r="E520" s="48"/>
      <c r="F520" s="48"/>
      <c r="G520" s="48"/>
      <c r="H520" s="48"/>
      <c r="I520" s="48"/>
      <c r="J520" s="48"/>
      <c r="K520" s="48"/>
      <c r="L520" s="48"/>
      <c r="M520" s="48"/>
      <c r="N520" s="48"/>
      <c r="O520" s="48"/>
      <c r="P520" s="48"/>
      <c r="Q520" s="48"/>
    </row>
    <row r="521" spans="1:17">
      <c r="B521" s="80"/>
    </row>
    <row r="522" spans="1:17">
      <c r="B522" s="96" t="s">
        <v>67</v>
      </c>
      <c r="C522" s="97" t="s">
        <v>69</v>
      </c>
    </row>
    <row r="523" spans="1:17">
      <c r="B523" s="96" t="s">
        <v>582</v>
      </c>
      <c r="C523" s="97" t="s">
        <v>583</v>
      </c>
    </row>
    <row r="524" spans="1:17">
      <c r="B524" s="96" t="s">
        <v>584</v>
      </c>
      <c r="C524" s="97" t="s">
        <v>585</v>
      </c>
    </row>
    <row r="525" spans="1:17">
      <c r="B525" s="96" t="s">
        <v>586</v>
      </c>
      <c r="C525" s="97" t="s">
        <v>587</v>
      </c>
    </row>
    <row r="526" spans="1:17">
      <c r="B526" s="96" t="s">
        <v>588</v>
      </c>
      <c r="C526" s="97" t="s">
        <v>456</v>
      </c>
    </row>
    <row r="527" spans="1:17">
      <c r="B527" s="96" t="s">
        <v>589</v>
      </c>
      <c r="C527" s="97" t="s">
        <v>590</v>
      </c>
    </row>
    <row r="528" spans="1:17">
      <c r="B528" s="80"/>
    </row>
    <row r="529" spans="2:2">
      <c r="B529" s="84" t="s">
        <v>591</v>
      </c>
    </row>
    <row r="531" spans="2:2">
      <c r="B531" s="84" t="s">
        <v>592</v>
      </c>
    </row>
    <row r="533" spans="2:2" ht="18">
      <c r="B533" s="81" t="s">
        <v>593</v>
      </c>
    </row>
    <row r="534" spans="2:2">
      <c r="B534" s="66"/>
    </row>
    <row r="535" spans="2:2">
      <c r="B535" s="80" t="s">
        <v>594</v>
      </c>
    </row>
    <row r="536" spans="2:2">
      <c r="B536" s="66"/>
    </row>
    <row r="537" spans="2:2">
      <c r="B537" s="80" t="s">
        <v>595</v>
      </c>
    </row>
    <row r="538" spans="2:2">
      <c r="B538" s="66"/>
    </row>
    <row r="539" spans="2:2">
      <c r="B539" s="80" t="s">
        <v>596</v>
      </c>
    </row>
    <row r="541" spans="2:2" ht="18">
      <c r="B541" s="81" t="s">
        <v>597</v>
      </c>
    </row>
    <row r="543" spans="2:2">
      <c r="B543" s="84" t="s">
        <v>598</v>
      </c>
    </row>
    <row r="544" spans="2:2">
      <c r="B544" s="80"/>
    </row>
    <row r="545" spans="2:2" ht="23.4">
      <c r="B545" s="118" t="s">
        <v>599</v>
      </c>
    </row>
    <row r="547" spans="2:2">
      <c r="B547" s="84" t="s">
        <v>600</v>
      </c>
    </row>
    <row r="548" spans="2:2">
      <c r="B548" s="66"/>
    </row>
    <row r="549" spans="2:2">
      <c r="B549" s="80" t="s">
        <v>601</v>
      </c>
    </row>
    <row r="550" spans="2:2">
      <c r="B550" s="66"/>
    </row>
    <row r="551" spans="2:2">
      <c r="B551" s="80" t="s">
        <v>602</v>
      </c>
    </row>
    <row r="552" spans="2:2">
      <c r="B552" s="66"/>
    </row>
    <row r="553" spans="2:2">
      <c r="B553" s="80" t="s">
        <v>603</v>
      </c>
    </row>
    <row r="555" spans="2:2" ht="18">
      <c r="B555" s="81" t="s">
        <v>604</v>
      </c>
    </row>
    <row r="557" spans="2:2">
      <c r="B557" s="84" t="s">
        <v>605</v>
      </c>
    </row>
    <row r="558" spans="2:2">
      <c r="B558" s="66"/>
    </row>
    <row r="559" spans="2:2">
      <c r="B559" s="80" t="s">
        <v>606</v>
      </c>
    </row>
    <row r="560" spans="2:2">
      <c r="B560" s="80"/>
    </row>
    <row r="562" spans="1:17">
      <c r="A562" s="47"/>
      <c r="B562" s="47" t="s">
        <v>537</v>
      </c>
      <c r="C562" s="48"/>
      <c r="D562" s="48"/>
      <c r="E562" s="48"/>
      <c r="F562" s="48"/>
      <c r="G562" s="48"/>
      <c r="H562" s="48"/>
      <c r="I562" s="48"/>
      <c r="J562" s="48"/>
      <c r="K562" s="48"/>
      <c r="L562" s="48"/>
      <c r="M562" s="48"/>
      <c r="N562" s="48"/>
      <c r="O562" s="48"/>
      <c r="P562" s="48"/>
      <c r="Q562" s="48"/>
    </row>
    <row r="564" spans="1:17">
      <c r="B564" s="96" t="s">
        <v>138</v>
      </c>
      <c r="C564" s="96" t="s">
        <v>490</v>
      </c>
      <c r="D564" s="97" t="s">
        <v>491</v>
      </c>
      <c r="E564" s="94" t="s">
        <v>508</v>
      </c>
    </row>
    <row r="565" spans="1:17" ht="27.6">
      <c r="B565" s="96" t="s">
        <v>492</v>
      </c>
      <c r="C565" s="98" t="s">
        <v>493</v>
      </c>
      <c r="D565" s="99" t="s">
        <v>494</v>
      </c>
      <c r="E565" s="100">
        <v>85</v>
      </c>
    </row>
    <row r="566" spans="1:17" ht="41.4">
      <c r="B566" s="96" t="s">
        <v>495</v>
      </c>
      <c r="C566" s="98" t="s">
        <v>496</v>
      </c>
      <c r="D566" s="99" t="s">
        <v>497</v>
      </c>
      <c r="E566" s="100">
        <v>2500</v>
      </c>
    </row>
    <row r="567" spans="1:17" ht="27.6">
      <c r="B567" s="96" t="s">
        <v>498</v>
      </c>
      <c r="C567" s="98" t="s">
        <v>499</v>
      </c>
      <c r="D567" s="99" t="s">
        <v>500</v>
      </c>
      <c r="E567" s="100">
        <v>350</v>
      </c>
    </row>
    <row r="568" spans="1:17" ht="27.6">
      <c r="B568" s="96" t="s">
        <v>501</v>
      </c>
      <c r="C568" s="98" t="s">
        <v>502</v>
      </c>
      <c r="D568" s="99" t="s">
        <v>503</v>
      </c>
      <c r="E568" s="100">
        <v>200</v>
      </c>
    </row>
    <row r="569" spans="1:17" ht="27.6">
      <c r="B569" s="96" t="s">
        <v>504</v>
      </c>
      <c r="C569" s="98" t="s">
        <v>505</v>
      </c>
      <c r="D569" s="99" t="s">
        <v>506</v>
      </c>
      <c r="E569" s="100">
        <v>500</v>
      </c>
    </row>
    <row r="570" spans="1:17">
      <c r="B570" s="96" t="s">
        <v>533</v>
      </c>
      <c r="C570" s="96" t="s">
        <v>507</v>
      </c>
      <c r="D570" s="99"/>
      <c r="E570" s="101">
        <f>SUM(E565:E569)</f>
        <v>3635</v>
      </c>
    </row>
    <row r="571" spans="1:17">
      <c r="B571" s="96" t="s">
        <v>509</v>
      </c>
      <c r="C571" s="95"/>
      <c r="D571" s="95"/>
      <c r="E571" s="100">
        <f>SUM(F578:F580)+E574</f>
        <v>6155</v>
      </c>
    </row>
    <row r="572" spans="1:17">
      <c r="B572" s="108" t="s">
        <v>229</v>
      </c>
      <c r="C572" s="108"/>
      <c r="D572" s="109"/>
      <c r="E572" s="110">
        <f>SUM(E570:E571)</f>
        <v>9790</v>
      </c>
    </row>
    <row r="573" spans="1:17">
      <c r="B573" s="102"/>
    </row>
    <row r="574" spans="1:17">
      <c r="B574" s="102" t="s">
        <v>535</v>
      </c>
      <c r="D574" s="53">
        <v>1.4999999999999999E-2</v>
      </c>
      <c r="E574" s="100">
        <f>Summary!C40*5*D574</f>
        <v>5400</v>
      </c>
    </row>
    <row r="575" spans="1:17">
      <c r="B575" s="102"/>
      <c r="D575" s="46"/>
      <c r="E575" s="71"/>
    </row>
    <row r="576" spans="1:17">
      <c r="B576" s="102" t="s">
        <v>510</v>
      </c>
    </row>
    <row r="577" spans="1:17">
      <c r="B577" s="96" t="s">
        <v>67</v>
      </c>
      <c r="C577" s="96" t="s">
        <v>511</v>
      </c>
      <c r="D577" s="96" t="s">
        <v>512</v>
      </c>
      <c r="E577" s="97" t="s">
        <v>513</v>
      </c>
      <c r="F577" s="107" t="s">
        <v>508</v>
      </c>
    </row>
    <row r="578" spans="1:17" ht="27.6">
      <c r="B578" s="96" t="s">
        <v>514</v>
      </c>
      <c r="C578" s="98" t="s">
        <v>515</v>
      </c>
      <c r="D578" s="96" t="s">
        <v>516</v>
      </c>
      <c r="E578" s="99" t="s">
        <v>517</v>
      </c>
      <c r="F578" s="100">
        <v>40</v>
      </c>
    </row>
    <row r="579" spans="1:17" ht="27.6">
      <c r="B579" s="96" t="s">
        <v>518</v>
      </c>
      <c r="C579" s="98" t="s">
        <v>519</v>
      </c>
      <c r="D579" s="96" t="s">
        <v>520</v>
      </c>
      <c r="E579" s="99" t="s">
        <v>521</v>
      </c>
      <c r="F579" s="100">
        <v>600</v>
      </c>
    </row>
    <row r="580" spans="1:17" ht="27.6">
      <c r="B580" s="96" t="s">
        <v>522</v>
      </c>
      <c r="C580" s="98" t="s">
        <v>523</v>
      </c>
      <c r="D580" s="96" t="s">
        <v>524</v>
      </c>
      <c r="E580" s="99" t="s">
        <v>525</v>
      </c>
      <c r="F580" s="100">
        <v>115</v>
      </c>
    </row>
    <row r="581" spans="1:17" ht="41.4">
      <c r="B581" s="103" t="s">
        <v>526</v>
      </c>
      <c r="C581" s="104" t="s">
        <v>527</v>
      </c>
      <c r="D581" s="103" t="s">
        <v>528</v>
      </c>
      <c r="E581" s="105" t="s">
        <v>529</v>
      </c>
      <c r="F581" s="106" t="s">
        <v>534</v>
      </c>
    </row>
    <row r="582" spans="1:17" ht="27.6">
      <c r="B582" s="96" t="s">
        <v>530</v>
      </c>
      <c r="C582" s="98"/>
      <c r="D582" s="96" t="s">
        <v>531</v>
      </c>
      <c r="E582" s="99" t="s">
        <v>532</v>
      </c>
      <c r="F582" s="95"/>
    </row>
    <row r="585" spans="1:17">
      <c r="A585" s="47"/>
      <c r="B585" s="47" t="s">
        <v>608</v>
      </c>
      <c r="C585" s="48"/>
      <c r="D585" s="48"/>
      <c r="E585" s="48"/>
      <c r="F585" s="48"/>
      <c r="G585" s="48"/>
      <c r="H585" s="48"/>
      <c r="I585" s="48"/>
      <c r="J585" s="48"/>
      <c r="K585" s="48"/>
      <c r="L585" s="48"/>
      <c r="M585" s="48"/>
      <c r="N585" s="48"/>
      <c r="O585" s="48"/>
      <c r="P585" s="48"/>
      <c r="Q585" s="48"/>
    </row>
    <row r="587" spans="1:17">
      <c r="B587" s="96" t="s">
        <v>67</v>
      </c>
      <c r="C587" s="96" t="s">
        <v>609</v>
      </c>
    </row>
    <row r="588" spans="1:17">
      <c r="B588" s="98" t="s">
        <v>610</v>
      </c>
      <c r="C588" s="100">
        <v>600</v>
      </c>
    </row>
    <row r="589" spans="1:17">
      <c r="B589" s="98" t="s">
        <v>611</v>
      </c>
      <c r="C589" s="100">
        <v>2800</v>
      </c>
    </row>
    <row r="590" spans="1:17">
      <c r="B590" s="98" t="s">
        <v>612</v>
      </c>
      <c r="C590" s="100">
        <v>1200</v>
      </c>
    </row>
    <row r="591" spans="1:17">
      <c r="B591" s="98" t="s">
        <v>613</v>
      </c>
      <c r="C591" s="100">
        <v>1000</v>
      </c>
    </row>
    <row r="592" spans="1:17">
      <c r="B592" s="120" t="s">
        <v>229</v>
      </c>
      <c r="C592" s="110">
        <f>SUM(C588:C591)</f>
        <v>5600</v>
      </c>
    </row>
    <row r="595" spans="1:17">
      <c r="A595" s="47"/>
      <c r="B595" s="47" t="s">
        <v>716</v>
      </c>
      <c r="C595" s="48"/>
      <c r="D595" s="48"/>
      <c r="E595" s="48"/>
      <c r="F595" s="48"/>
      <c r="G595" s="48"/>
      <c r="H595" s="48"/>
      <c r="I595" s="48"/>
      <c r="J595" s="48"/>
      <c r="K595" s="48"/>
      <c r="L595" s="48"/>
      <c r="M595" s="48"/>
      <c r="N595" s="48"/>
      <c r="O595" s="48"/>
      <c r="P595" s="48"/>
      <c r="Q595" s="48"/>
    </row>
    <row r="597" spans="1:17" ht="15" thickBot="1"/>
    <row r="598" spans="1:17" ht="28.2" thickBot="1">
      <c r="B598" s="56" t="s">
        <v>717</v>
      </c>
      <c r="C598" s="56" t="s">
        <v>718</v>
      </c>
      <c r="D598" s="57" t="s">
        <v>69</v>
      </c>
    </row>
    <row r="599" spans="1:17" ht="69.599999999999994" thickBot="1">
      <c r="B599" s="56" t="s">
        <v>272</v>
      </c>
      <c r="C599" s="56" t="s">
        <v>719</v>
      </c>
      <c r="D599" s="59" t="s">
        <v>430</v>
      </c>
    </row>
    <row r="600" spans="1:17" ht="55.8" thickBot="1">
      <c r="B600" s="56" t="s">
        <v>720</v>
      </c>
      <c r="C600" s="56" t="s">
        <v>721</v>
      </c>
      <c r="D600" s="59" t="s">
        <v>722</v>
      </c>
    </row>
    <row r="601" spans="1:17" ht="59.4" customHeight="1" thickBot="1">
      <c r="B601" s="56" t="s">
        <v>723</v>
      </c>
      <c r="C601" s="56" t="s">
        <v>724</v>
      </c>
      <c r="D601" s="59" t="s">
        <v>725</v>
      </c>
    </row>
    <row r="602" spans="1:17" ht="74.400000000000006" customHeight="1" thickBot="1">
      <c r="B602" s="56" t="s">
        <v>726</v>
      </c>
      <c r="C602" s="56" t="s">
        <v>727</v>
      </c>
      <c r="D602" s="59" t="s">
        <v>728</v>
      </c>
    </row>
    <row r="603" spans="1:17" ht="61.8" customHeight="1" thickBot="1">
      <c r="B603" s="56" t="s">
        <v>729</v>
      </c>
      <c r="C603" s="56" t="s">
        <v>730</v>
      </c>
      <c r="D603" s="59" t="s">
        <v>142</v>
      </c>
    </row>
    <row r="604" spans="1:17" ht="65.400000000000006" customHeight="1" thickBot="1">
      <c r="B604" s="56" t="s">
        <v>731</v>
      </c>
      <c r="C604" s="56" t="s">
        <v>732</v>
      </c>
      <c r="D604" s="59" t="s">
        <v>124</v>
      </c>
    </row>
    <row r="605" spans="1:17" ht="67.8" customHeight="1" thickBot="1">
      <c r="B605" s="56" t="s">
        <v>733</v>
      </c>
      <c r="C605" s="56" t="s">
        <v>734</v>
      </c>
      <c r="D605" s="59" t="s">
        <v>735</v>
      </c>
    </row>
    <row r="606" spans="1:17" ht="15" thickBot="1">
      <c r="B606" s="208" t="s">
        <v>229</v>
      </c>
      <c r="C606" s="208" t="s">
        <v>736</v>
      </c>
      <c r="D606" s="209" t="s">
        <v>737</v>
      </c>
    </row>
    <row r="607" spans="1:17" ht="15" thickBot="1"/>
    <row r="608" spans="1:17" ht="18.600000000000001" thickBot="1">
      <c r="B608" s="210" t="s">
        <v>738</v>
      </c>
      <c r="C608" s="211"/>
      <c r="D608" s="212">
        <v>3900</v>
      </c>
    </row>
  </sheetData>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C8F3C-2867-4F63-BA74-C0A7133E7DF2}">
  <dimension ref="A1:C50"/>
  <sheetViews>
    <sheetView showGridLines="0" workbookViewId="0"/>
  </sheetViews>
  <sheetFormatPr defaultRowHeight="14.4"/>
  <cols>
    <col min="1" max="1" width="28.21875" customWidth="1"/>
    <col min="2" max="2" width="21.5546875" customWidth="1"/>
    <col min="3" max="3" width="22.5546875" customWidth="1"/>
  </cols>
  <sheetData>
    <row r="1" spans="1:3">
      <c r="A1" s="124" t="s">
        <v>656</v>
      </c>
    </row>
    <row r="3" spans="1:3">
      <c r="A3" s="124" t="s">
        <v>657</v>
      </c>
    </row>
    <row r="5" spans="1:3" ht="18">
      <c r="A5" s="81" t="s">
        <v>621</v>
      </c>
    </row>
    <row r="7" spans="1:3">
      <c r="A7" s="124" t="s">
        <v>622</v>
      </c>
    </row>
    <row r="10" spans="1:3" ht="27.6">
      <c r="A10" s="128" t="s">
        <v>138</v>
      </c>
      <c r="B10" s="128" t="s">
        <v>623</v>
      </c>
      <c r="C10" s="97" t="s">
        <v>624</v>
      </c>
    </row>
    <row r="11" spans="1:3">
      <c r="A11" s="128" t="s">
        <v>625</v>
      </c>
      <c r="B11" s="129" t="s">
        <v>626</v>
      </c>
      <c r="C11" s="99" t="s">
        <v>627</v>
      </c>
    </row>
    <row r="12" spans="1:3" ht="27.6">
      <c r="A12" s="128" t="s">
        <v>628</v>
      </c>
      <c r="B12" s="130">
        <v>2E-3</v>
      </c>
      <c r="C12" s="99" t="s">
        <v>629</v>
      </c>
    </row>
    <row r="13" spans="1:3">
      <c r="A13" s="128" t="s">
        <v>630</v>
      </c>
      <c r="B13" s="129" t="s">
        <v>631</v>
      </c>
      <c r="C13" s="99" t="s">
        <v>632</v>
      </c>
    </row>
    <row r="14" spans="1:3">
      <c r="A14" s="167" t="s">
        <v>633</v>
      </c>
      <c r="B14" s="167" t="s">
        <v>634</v>
      </c>
      <c r="C14" s="159" t="s">
        <v>635</v>
      </c>
    </row>
    <row r="18" spans="1:1" ht="18">
      <c r="A18" s="81" t="s">
        <v>636</v>
      </c>
    </row>
    <row r="20" spans="1:1">
      <c r="A20" s="124" t="s">
        <v>637</v>
      </c>
    </row>
    <row r="21" spans="1:1">
      <c r="A21" s="66"/>
    </row>
    <row r="22" spans="1:1">
      <c r="A22" s="80" t="s">
        <v>638</v>
      </c>
    </row>
    <row r="23" spans="1:1">
      <c r="A23" s="66"/>
    </row>
    <row r="24" spans="1:1">
      <c r="A24" s="80" t="s">
        <v>639</v>
      </c>
    </row>
    <row r="25" spans="1:1">
      <c r="A25" s="66"/>
    </row>
    <row r="26" spans="1:1">
      <c r="A26" s="80" t="s">
        <v>640</v>
      </c>
    </row>
    <row r="27" spans="1:1">
      <c r="A27" s="66"/>
    </row>
    <row r="28" spans="1:1">
      <c r="A28" s="80" t="s">
        <v>641</v>
      </c>
    </row>
    <row r="30" spans="1:1" ht="18">
      <c r="A30" s="81" t="s">
        <v>642</v>
      </c>
    </row>
    <row r="31" spans="1:1">
      <c r="A31" s="66"/>
    </row>
    <row r="32" spans="1:1">
      <c r="A32" s="80" t="s">
        <v>643</v>
      </c>
    </row>
    <row r="33" spans="1:1">
      <c r="A33" s="66"/>
    </row>
    <row r="34" spans="1:1">
      <c r="A34" s="80" t="s">
        <v>644</v>
      </c>
    </row>
    <row r="35" spans="1:1">
      <c r="A35" s="66"/>
    </row>
    <row r="36" spans="1:1">
      <c r="A36" s="80" t="s">
        <v>645</v>
      </c>
    </row>
    <row r="38" spans="1:1" ht="18">
      <c r="A38" s="81" t="s">
        <v>646</v>
      </c>
    </row>
    <row r="40" spans="1:1">
      <c r="A40" s="124" t="s">
        <v>647</v>
      </c>
    </row>
    <row r="41" spans="1:1">
      <c r="A41" s="66"/>
    </row>
    <row r="42" spans="1:1">
      <c r="A42" s="80" t="s">
        <v>648</v>
      </c>
    </row>
    <row r="43" spans="1:1">
      <c r="A43" s="66"/>
    </row>
    <row r="44" spans="1:1">
      <c r="A44" s="80" t="s">
        <v>649</v>
      </c>
    </row>
    <row r="45" spans="1:1">
      <c r="A45" s="66"/>
    </row>
    <row r="46" spans="1:1">
      <c r="A46" s="80" t="s">
        <v>650</v>
      </c>
    </row>
    <row r="47" spans="1:1">
      <c r="A47" s="66"/>
    </row>
    <row r="48" spans="1:1">
      <c r="A48" s="80" t="s">
        <v>651</v>
      </c>
    </row>
    <row r="49" spans="1:1">
      <c r="A49" s="66"/>
    </row>
    <row r="50" spans="1:1">
      <c r="A50" s="80" t="s">
        <v>652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Summary</vt:lpstr>
      <vt:lpstr>CAPEX</vt:lpstr>
      <vt:lpstr>CAPEX backup</vt:lpstr>
      <vt:lpstr>Insurance</vt:lpstr>
      <vt:lpstr>Summary!Print_Area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Dmitry Markov</dc:creator>
  <cp:lastModifiedBy>Dmitry Markov</cp:lastModifiedBy>
  <dcterms:created xsi:type="dcterms:W3CDTF">2026-03-01T14:50:02Z</dcterms:created>
  <dcterms:modified xsi:type="dcterms:W3CDTF">2026-05-02T16:00:13Z</dcterms:modified>
</cp:coreProperties>
</file>