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D:\INVESTMENTS\Kenya - Development\"/>
    </mc:Choice>
  </mc:AlternateContent>
  <xr:revisionPtr revIDLastSave="0" documentId="8_{C281677F-B026-451B-9756-A5318C528145}" xr6:coauthVersionLast="47" xr6:coauthVersionMax="47" xr10:uidLastSave="{00000000-0000-0000-0000-000000000000}"/>
  <bookViews>
    <workbookView xWindow="57480" yWindow="2730" windowWidth="29040" windowHeight="15720" xr2:uid="{00000000-000D-0000-FFFF-FFFF00000000}"/>
  </bookViews>
  <sheets>
    <sheet name="Assumptions" sheetId="1" r:id="rId1"/>
    <sheet name="Area-Cost-Calcs" sheetId="2" r:id="rId2"/>
    <sheet name="Sales-Schedule" sheetId="3" r:id="rId3"/>
    <sheet name="Cash-Flow" sheetId="4" r:id="rId4"/>
    <sheet name="Project-Summary" sheetId="5" r:id="rId5"/>
    <sheet name="Scenarios" sheetId="6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0" i="6" l="1" a="1"/>
  <c r="D10" i="6" s="1"/>
  <c r="C10" i="6" a="1"/>
  <c r="C10" i="6" s="1"/>
  <c r="D9" i="6"/>
  <c r="C9" i="6" a="1"/>
  <c r="C9" i="6" s="1"/>
  <c r="D8" i="6"/>
  <c r="C8" i="6" a="1"/>
  <c r="C8" i="6" s="1"/>
  <c r="D7" i="6"/>
  <c r="D15" i="6" s="1"/>
  <c r="C7" i="6" a="1"/>
  <c r="C7" i="6" s="1"/>
  <c r="C27" i="5"/>
  <c r="K14" i="4"/>
  <c r="J14" i="4"/>
  <c r="I14" i="4"/>
  <c r="H14" i="4"/>
  <c r="G14" i="4"/>
  <c r="F14" i="4"/>
  <c r="E14" i="4"/>
  <c r="D14" i="4"/>
  <c r="C14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D12" i="4"/>
  <c r="C12" i="4" a="1"/>
  <c r="C12" i="4"/>
  <c r="X12" i="4" s="1"/>
  <c r="W11" i="4"/>
  <c r="V11" i="4"/>
  <c r="U11" i="4"/>
  <c r="T11" i="4"/>
  <c r="S11" i="4"/>
  <c r="R11" i="4"/>
  <c r="Q11" i="4"/>
  <c r="P11" i="4"/>
  <c r="O11" i="4"/>
  <c r="N11" i="4"/>
  <c r="M11" i="4"/>
  <c r="L11" i="4"/>
  <c r="K11" i="4"/>
  <c r="J11" i="4"/>
  <c r="I11" i="4"/>
  <c r="H11" i="4"/>
  <c r="G11" i="4"/>
  <c r="F11" i="4"/>
  <c r="E11" i="4"/>
  <c r="D11" i="4"/>
  <c r="C11" i="4" a="1"/>
  <c r="C11" i="4"/>
  <c r="Q42" i="3"/>
  <c r="P42" i="3"/>
  <c r="O42" i="3"/>
  <c r="N42" i="3"/>
  <c r="M42" i="3"/>
  <c r="L42" i="3"/>
  <c r="K42" i="3"/>
  <c r="J42" i="3"/>
  <c r="I42" i="3"/>
  <c r="H42" i="3"/>
  <c r="G42" i="3"/>
  <c r="F42" i="3"/>
  <c r="E42" i="3"/>
  <c r="D42" i="3"/>
  <c r="C42" i="3"/>
  <c r="W41" i="3"/>
  <c r="V41" i="3"/>
  <c r="U41" i="3"/>
  <c r="T41" i="3"/>
  <c r="S41" i="3"/>
  <c r="R41" i="3"/>
  <c r="P41" i="3"/>
  <c r="O41" i="3"/>
  <c r="N41" i="3"/>
  <c r="M41" i="3"/>
  <c r="L41" i="3"/>
  <c r="K41" i="3"/>
  <c r="J41" i="3"/>
  <c r="I41" i="3"/>
  <c r="H41" i="3"/>
  <c r="G41" i="3"/>
  <c r="F41" i="3"/>
  <c r="E41" i="3"/>
  <c r="D41" i="3"/>
  <c r="C41" i="3"/>
  <c r="P39" i="3"/>
  <c r="O39" i="3"/>
  <c r="N39" i="3"/>
  <c r="M39" i="3"/>
  <c r="L39" i="3"/>
  <c r="K39" i="3"/>
  <c r="J39" i="3"/>
  <c r="I39" i="3"/>
  <c r="H39" i="3"/>
  <c r="G39" i="3"/>
  <c r="F39" i="3"/>
  <c r="E39" i="3"/>
  <c r="D39" i="3"/>
  <c r="C39" i="3"/>
  <c r="W38" i="3"/>
  <c r="V38" i="3"/>
  <c r="U38" i="3"/>
  <c r="T38" i="3"/>
  <c r="S38" i="3"/>
  <c r="R38" i="3"/>
  <c r="Q38" i="3"/>
  <c r="O38" i="3"/>
  <c r="N38" i="3"/>
  <c r="M38" i="3"/>
  <c r="L38" i="3"/>
  <c r="K38" i="3"/>
  <c r="J38" i="3"/>
  <c r="I38" i="3"/>
  <c r="H38" i="3"/>
  <c r="G38" i="3"/>
  <c r="F38" i="3"/>
  <c r="E38" i="3"/>
  <c r="D38" i="3"/>
  <c r="C38" i="3"/>
  <c r="O36" i="3"/>
  <c r="N36" i="3"/>
  <c r="M36" i="3"/>
  <c r="L36" i="3"/>
  <c r="K36" i="3"/>
  <c r="J36" i="3"/>
  <c r="I36" i="3"/>
  <c r="H36" i="3"/>
  <c r="G36" i="3"/>
  <c r="F36" i="3"/>
  <c r="E36" i="3"/>
  <c r="D36" i="3"/>
  <c r="C36" i="3"/>
  <c r="W35" i="3"/>
  <c r="V35" i="3"/>
  <c r="U35" i="3"/>
  <c r="T35" i="3"/>
  <c r="S35" i="3"/>
  <c r="R35" i="3"/>
  <c r="Q35" i="3"/>
  <c r="P35" i="3"/>
  <c r="N35" i="3"/>
  <c r="M35" i="3"/>
  <c r="L35" i="3"/>
  <c r="K35" i="3"/>
  <c r="J35" i="3"/>
  <c r="I35" i="3"/>
  <c r="H35" i="3"/>
  <c r="G35" i="3"/>
  <c r="F35" i="3"/>
  <c r="E35" i="3"/>
  <c r="D35" i="3"/>
  <c r="C35" i="3"/>
  <c r="N33" i="3"/>
  <c r="M33" i="3"/>
  <c r="L33" i="3"/>
  <c r="K33" i="3"/>
  <c r="J33" i="3"/>
  <c r="I33" i="3"/>
  <c r="H33" i="3"/>
  <c r="G33" i="3"/>
  <c r="F33" i="3"/>
  <c r="E33" i="3"/>
  <c r="D33" i="3"/>
  <c r="C33" i="3"/>
  <c r="W32" i="3"/>
  <c r="V32" i="3"/>
  <c r="U32" i="3"/>
  <c r="T32" i="3"/>
  <c r="S32" i="3"/>
  <c r="R32" i="3"/>
  <c r="Q32" i="3"/>
  <c r="P32" i="3"/>
  <c r="O32" i="3"/>
  <c r="M32" i="3"/>
  <c r="L32" i="3"/>
  <c r="K32" i="3"/>
  <c r="J32" i="3"/>
  <c r="I32" i="3"/>
  <c r="H32" i="3"/>
  <c r="G32" i="3"/>
  <c r="F32" i="3"/>
  <c r="E32" i="3"/>
  <c r="D32" i="3"/>
  <c r="C32" i="3"/>
  <c r="M30" i="3"/>
  <c r="L30" i="3"/>
  <c r="K30" i="3"/>
  <c r="J30" i="3"/>
  <c r="I30" i="3"/>
  <c r="H30" i="3"/>
  <c r="G30" i="3"/>
  <c r="F30" i="3"/>
  <c r="E30" i="3"/>
  <c r="D30" i="3"/>
  <c r="C30" i="3"/>
  <c r="W29" i="3"/>
  <c r="V29" i="3"/>
  <c r="U29" i="3"/>
  <c r="T29" i="3"/>
  <c r="S29" i="3"/>
  <c r="R29" i="3"/>
  <c r="Q29" i="3"/>
  <c r="P29" i="3"/>
  <c r="O29" i="3"/>
  <c r="N29" i="3"/>
  <c r="L29" i="3"/>
  <c r="K29" i="3"/>
  <c r="J29" i="3"/>
  <c r="I29" i="3"/>
  <c r="H29" i="3"/>
  <c r="G29" i="3"/>
  <c r="F29" i="3"/>
  <c r="E29" i="3"/>
  <c r="D29" i="3"/>
  <c r="C29" i="3"/>
  <c r="L27" i="3"/>
  <c r="K27" i="3"/>
  <c r="J27" i="3"/>
  <c r="I27" i="3"/>
  <c r="H27" i="3"/>
  <c r="G27" i="3"/>
  <c r="F27" i="3"/>
  <c r="E27" i="3"/>
  <c r="D27" i="3"/>
  <c r="C27" i="3"/>
  <c r="W26" i="3"/>
  <c r="V26" i="3"/>
  <c r="U26" i="3"/>
  <c r="T26" i="3"/>
  <c r="S26" i="3"/>
  <c r="R26" i="3"/>
  <c r="Q26" i="3"/>
  <c r="P26" i="3"/>
  <c r="O26" i="3"/>
  <c r="N26" i="3"/>
  <c r="M26" i="3"/>
  <c r="K26" i="3"/>
  <c r="J26" i="3"/>
  <c r="I26" i="3"/>
  <c r="H26" i="3"/>
  <c r="G26" i="3"/>
  <c r="F26" i="3"/>
  <c r="E26" i="3"/>
  <c r="D26" i="3"/>
  <c r="C26" i="3"/>
  <c r="K24" i="3"/>
  <c r="J24" i="3"/>
  <c r="I24" i="3"/>
  <c r="H24" i="3"/>
  <c r="G24" i="3"/>
  <c r="F24" i="3"/>
  <c r="E24" i="3"/>
  <c r="D24" i="3"/>
  <c r="C24" i="3"/>
  <c r="W23" i="3"/>
  <c r="V23" i="3"/>
  <c r="U23" i="3"/>
  <c r="T23" i="3"/>
  <c r="S23" i="3"/>
  <c r="R23" i="3"/>
  <c r="Q23" i="3"/>
  <c r="P23" i="3"/>
  <c r="O23" i="3"/>
  <c r="N23" i="3"/>
  <c r="M23" i="3"/>
  <c r="L23" i="3"/>
  <c r="J23" i="3"/>
  <c r="I23" i="3"/>
  <c r="H23" i="3"/>
  <c r="G23" i="3"/>
  <c r="F23" i="3"/>
  <c r="E23" i="3"/>
  <c r="D23" i="3"/>
  <c r="C23" i="3"/>
  <c r="J21" i="3"/>
  <c r="I21" i="3"/>
  <c r="H21" i="3"/>
  <c r="G21" i="3"/>
  <c r="F21" i="3"/>
  <c r="E21" i="3"/>
  <c r="D21" i="3"/>
  <c r="C21" i="3"/>
  <c r="W20" i="3"/>
  <c r="V20" i="3"/>
  <c r="U20" i="3"/>
  <c r="T20" i="3"/>
  <c r="S20" i="3"/>
  <c r="R20" i="3"/>
  <c r="Q20" i="3"/>
  <c r="P20" i="3"/>
  <c r="O20" i="3"/>
  <c r="N20" i="3"/>
  <c r="M20" i="3"/>
  <c r="L20" i="3"/>
  <c r="K20" i="3"/>
  <c r="I20" i="3"/>
  <c r="H20" i="3"/>
  <c r="G20" i="3"/>
  <c r="F20" i="3"/>
  <c r="E20" i="3"/>
  <c r="D20" i="3"/>
  <c r="C20" i="3"/>
  <c r="I18" i="3"/>
  <c r="H18" i="3"/>
  <c r="G18" i="3"/>
  <c r="F18" i="3"/>
  <c r="E18" i="3"/>
  <c r="D18" i="3"/>
  <c r="C18" i="3"/>
  <c r="W17" i="3"/>
  <c r="V17" i="3"/>
  <c r="U17" i="3"/>
  <c r="T17" i="3"/>
  <c r="S17" i="3"/>
  <c r="R17" i="3"/>
  <c r="Q17" i="3"/>
  <c r="P17" i="3"/>
  <c r="O17" i="3"/>
  <c r="N17" i="3"/>
  <c r="M17" i="3"/>
  <c r="L17" i="3"/>
  <c r="K17" i="3"/>
  <c r="J17" i="3"/>
  <c r="H17" i="3"/>
  <c r="G17" i="3"/>
  <c r="F17" i="3"/>
  <c r="E17" i="3"/>
  <c r="D17" i="3"/>
  <c r="C17" i="3"/>
  <c r="H15" i="3"/>
  <c r="G15" i="3"/>
  <c r="F15" i="3"/>
  <c r="E15" i="3"/>
  <c r="D15" i="3"/>
  <c r="C15" i="3"/>
  <c r="W14" i="3"/>
  <c r="V14" i="3"/>
  <c r="U14" i="3"/>
  <c r="T14" i="3"/>
  <c r="S14" i="3"/>
  <c r="R14" i="3"/>
  <c r="Q14" i="3"/>
  <c r="P14" i="3"/>
  <c r="O14" i="3"/>
  <c r="N14" i="3"/>
  <c r="M14" i="3"/>
  <c r="L14" i="3"/>
  <c r="K14" i="3"/>
  <c r="J14" i="3"/>
  <c r="I14" i="3"/>
  <c r="G14" i="3"/>
  <c r="F14" i="3"/>
  <c r="E14" i="3"/>
  <c r="D14" i="3"/>
  <c r="C14" i="3"/>
  <c r="G12" i="3"/>
  <c r="F12" i="3"/>
  <c r="E12" i="3"/>
  <c r="D12" i="3"/>
  <c r="C12" i="3"/>
  <c r="W11" i="3"/>
  <c r="V11" i="3"/>
  <c r="U11" i="3"/>
  <c r="T11" i="3"/>
  <c r="S11" i="3"/>
  <c r="R11" i="3"/>
  <c r="Q11" i="3"/>
  <c r="P11" i="3"/>
  <c r="O11" i="3"/>
  <c r="N11" i="3"/>
  <c r="M11" i="3"/>
  <c r="L11" i="3"/>
  <c r="K11" i="3"/>
  <c r="J11" i="3"/>
  <c r="I11" i="3"/>
  <c r="H11" i="3"/>
  <c r="F11" i="3"/>
  <c r="E11" i="3"/>
  <c r="D11" i="3"/>
  <c r="C11" i="3"/>
  <c r="W6" i="3"/>
  <c r="V6" i="3"/>
  <c r="U6" i="3"/>
  <c r="T6" i="3"/>
  <c r="S6" i="3"/>
  <c r="R6" i="3"/>
  <c r="F6" i="3"/>
  <c r="E6" i="3"/>
  <c r="D6" i="3"/>
  <c r="C6" i="3"/>
  <c r="C24" i="2" a="1"/>
  <c r="C24" i="2" s="1"/>
  <c r="C19" i="2"/>
  <c r="C25" i="2" s="1" a="1"/>
  <c r="C25" i="2" s="1"/>
  <c r="C9" i="5" s="1" a="1"/>
  <c r="C9" i="5" s="1"/>
  <c r="C13" i="2"/>
  <c r="C12" i="2"/>
  <c r="C14" i="2" s="1"/>
  <c r="C6" i="2"/>
  <c r="C5" i="2"/>
  <c r="C7" i="2" s="1"/>
  <c r="E9" i="6" l="1"/>
  <c r="E8" i="6"/>
  <c r="F44" i="3"/>
  <c r="E44" i="3"/>
  <c r="D44" i="3"/>
  <c r="D19" i="6"/>
  <c r="E10" i="6"/>
  <c r="D18" i="6" a="1"/>
  <c r="D18" i="6" s="1"/>
  <c r="C18" i="6" a="1"/>
  <c r="C18" i="6" s="1"/>
  <c r="C19" i="6"/>
  <c r="D22" i="6"/>
  <c r="E7" i="6"/>
  <c r="C15" i="6"/>
  <c r="E15" i="6" s="1"/>
  <c r="X11" i="4"/>
  <c r="C44" i="3"/>
  <c r="W15" i="4"/>
  <c r="V15" i="4"/>
  <c r="U15" i="4"/>
  <c r="T15" i="4"/>
  <c r="S15" i="4"/>
  <c r="R15" i="4"/>
  <c r="F15" i="4"/>
  <c r="E15" i="4"/>
  <c r="D15" i="4"/>
  <c r="C15" i="4"/>
  <c r="C8" i="5" a="1"/>
  <c r="C8" i="5" s="1"/>
  <c r="C21" i="2"/>
  <c r="C28" i="2" s="1" a="1"/>
  <c r="C28" i="2" s="1"/>
  <c r="C12" i="5" s="1" a="1"/>
  <c r="C12" i="5" s="1"/>
  <c r="I6" i="3"/>
  <c r="N6" i="3"/>
  <c r="C5" i="5" a="1"/>
  <c r="C5" i="5" s="1"/>
  <c r="G6" i="3"/>
  <c r="H6" i="3"/>
  <c r="K6" i="3"/>
  <c r="L6" i="3"/>
  <c r="Q6" i="3"/>
  <c r="J6" i="3"/>
  <c r="P6" i="3"/>
  <c r="M6" i="3"/>
  <c r="O6" i="3"/>
  <c r="C13" i="6" a="1"/>
  <c r="C13" i="6" s="1"/>
  <c r="D13" i="6" s="1" a="1"/>
  <c r="D13" i="6" s="1"/>
  <c r="C28" i="5" a="1"/>
  <c r="C28" i="5" s="1"/>
  <c r="C8" i="2"/>
  <c r="C9" i="2" s="1"/>
  <c r="F7" i="4" l="1" a="1"/>
  <c r="F7" i="4" s="1"/>
  <c r="F8" i="4" s="1" a="1"/>
  <c r="F8" i="4" s="1"/>
  <c r="F40" i="6"/>
  <c r="E7" i="4" a="1"/>
  <c r="E7" i="4" s="1"/>
  <c r="E8" i="4" s="1" a="1"/>
  <c r="E8" i="4" s="1"/>
  <c r="E40" i="6"/>
  <c r="D7" i="4" a="1"/>
  <c r="D7" i="4" s="1"/>
  <c r="D8" i="4" s="1" a="1"/>
  <c r="D8" i="4" s="1"/>
  <c r="D40" i="6"/>
  <c r="X6" i="3"/>
  <c r="E18" i="6"/>
  <c r="C22" i="6"/>
  <c r="E22" i="6" s="1"/>
  <c r="C28" i="6"/>
  <c r="C7" i="4" a="1"/>
  <c r="C7" i="4" s="1"/>
  <c r="C40" i="6"/>
  <c r="I17" i="3"/>
  <c r="X17" i="3" s="1"/>
  <c r="I15" i="4"/>
  <c r="J18" i="3"/>
  <c r="K18" i="3"/>
  <c r="L18" i="3"/>
  <c r="M18" i="3"/>
  <c r="N18" i="3"/>
  <c r="O18" i="3"/>
  <c r="P18" i="3"/>
  <c r="Q18" i="3"/>
  <c r="R18" i="3"/>
  <c r="S18" i="3"/>
  <c r="T18" i="3"/>
  <c r="U18" i="3"/>
  <c r="V18" i="3"/>
  <c r="W18" i="3"/>
  <c r="Q33" i="3"/>
  <c r="S33" i="3"/>
  <c r="U33" i="3"/>
  <c r="W33" i="3"/>
  <c r="N15" i="4"/>
  <c r="N32" i="3"/>
  <c r="X32" i="3" s="1"/>
  <c r="O33" i="3"/>
  <c r="P33" i="3"/>
  <c r="R33" i="3"/>
  <c r="T33" i="3"/>
  <c r="V33" i="3"/>
  <c r="C29" i="5"/>
  <c r="G11" i="3"/>
  <c r="H12" i="3"/>
  <c r="I12" i="3"/>
  <c r="J12" i="3"/>
  <c r="K12" i="3"/>
  <c r="L12" i="3"/>
  <c r="M12" i="3"/>
  <c r="N12" i="3"/>
  <c r="O12" i="3"/>
  <c r="P12" i="3"/>
  <c r="Q12" i="3"/>
  <c r="R12" i="3"/>
  <c r="S12" i="3"/>
  <c r="T12" i="3"/>
  <c r="U12" i="3"/>
  <c r="V12" i="3"/>
  <c r="W12" i="3"/>
  <c r="G15" i="4"/>
  <c r="H14" i="3"/>
  <c r="X14" i="3" s="1"/>
  <c r="I15" i="3"/>
  <c r="J15" i="3"/>
  <c r="K15" i="3"/>
  <c r="L15" i="3"/>
  <c r="M15" i="3"/>
  <c r="N15" i="3"/>
  <c r="O15" i="3"/>
  <c r="P15" i="3"/>
  <c r="T15" i="3"/>
  <c r="W15" i="3"/>
  <c r="R15" i="3"/>
  <c r="S15" i="3"/>
  <c r="V15" i="3"/>
  <c r="Q15" i="3"/>
  <c r="U15" i="3"/>
  <c r="H15" i="4"/>
  <c r="K23" i="3"/>
  <c r="X23" i="3" s="1"/>
  <c r="O24" i="3"/>
  <c r="Q24" i="3"/>
  <c r="T24" i="3"/>
  <c r="L24" i="3"/>
  <c r="P24" i="3"/>
  <c r="U24" i="3"/>
  <c r="W24" i="3"/>
  <c r="M24" i="3"/>
  <c r="N24" i="3"/>
  <c r="R24" i="3"/>
  <c r="S24" i="3"/>
  <c r="V24" i="3"/>
  <c r="K15" i="4"/>
  <c r="M27" i="3"/>
  <c r="N27" i="3"/>
  <c r="O27" i="3"/>
  <c r="P27" i="3"/>
  <c r="Q27" i="3"/>
  <c r="R27" i="3"/>
  <c r="S27" i="3"/>
  <c r="T27" i="3"/>
  <c r="U27" i="3"/>
  <c r="V27" i="3"/>
  <c r="W27" i="3"/>
  <c r="L26" i="3"/>
  <c r="X26" i="3" s="1"/>
  <c r="L15" i="4"/>
  <c r="Q41" i="3"/>
  <c r="X41" i="3" s="1"/>
  <c r="R42" i="3"/>
  <c r="S42" i="3"/>
  <c r="T42" i="3"/>
  <c r="U42" i="3"/>
  <c r="V42" i="3"/>
  <c r="W42" i="3"/>
  <c r="Q15" i="4"/>
  <c r="J20" i="3"/>
  <c r="X20" i="3" s="1"/>
  <c r="K21" i="3"/>
  <c r="L21" i="3"/>
  <c r="M21" i="3"/>
  <c r="N21" i="3"/>
  <c r="O21" i="3"/>
  <c r="P21" i="3"/>
  <c r="Q21" i="3"/>
  <c r="R21" i="3"/>
  <c r="S21" i="3"/>
  <c r="T21" i="3"/>
  <c r="U21" i="3"/>
  <c r="V21" i="3"/>
  <c r="W21" i="3"/>
  <c r="J15" i="4"/>
  <c r="P38" i="3"/>
  <c r="X38" i="3" s="1"/>
  <c r="Q39" i="3"/>
  <c r="R39" i="3"/>
  <c r="S39" i="3"/>
  <c r="T39" i="3"/>
  <c r="U39" i="3"/>
  <c r="V39" i="3"/>
  <c r="W39" i="3"/>
  <c r="P15" i="4"/>
  <c r="M29" i="3"/>
  <c r="X29" i="3" s="1"/>
  <c r="N30" i="3"/>
  <c r="O30" i="3"/>
  <c r="P30" i="3"/>
  <c r="Q30" i="3"/>
  <c r="R30" i="3"/>
  <c r="S30" i="3"/>
  <c r="T30" i="3"/>
  <c r="U30" i="3"/>
  <c r="V30" i="3"/>
  <c r="W30" i="3"/>
  <c r="M15" i="4"/>
  <c r="P36" i="3"/>
  <c r="Q36" i="3"/>
  <c r="R36" i="3"/>
  <c r="S36" i="3"/>
  <c r="T36" i="3"/>
  <c r="U36" i="3"/>
  <c r="V36" i="3"/>
  <c r="W36" i="3"/>
  <c r="O35" i="3"/>
  <c r="X35" i="3" s="1"/>
  <c r="O15" i="4"/>
  <c r="C14" i="6" a="1"/>
  <c r="C14" i="6" s="1"/>
  <c r="C17" i="2"/>
  <c r="C18" i="2" s="1"/>
  <c r="E19" i="6"/>
  <c r="E13" i="6"/>
  <c r="D28" i="6"/>
  <c r="X15" i="4" l="1"/>
  <c r="C8" i="4" a="1"/>
  <c r="C8" i="4" s="1"/>
  <c r="X11" i="3"/>
  <c r="G44" i="3"/>
  <c r="H44" i="3"/>
  <c r="X12" i="3"/>
  <c r="D14" i="6" a="1"/>
  <c r="D14" i="6" s="1"/>
  <c r="C20" i="6"/>
  <c r="C26" i="2" a="1"/>
  <c r="C26" i="2" s="1"/>
  <c r="L14" i="4"/>
  <c r="M14" i="4"/>
  <c r="N14" i="4"/>
  <c r="O14" i="4"/>
  <c r="P14" i="4"/>
  <c r="Q14" i="4"/>
  <c r="R14" i="4"/>
  <c r="S14" i="4"/>
  <c r="T14" i="4"/>
  <c r="U14" i="4"/>
  <c r="V14" i="4"/>
  <c r="W14" i="4"/>
  <c r="C20" i="2"/>
  <c r="X33" i="3"/>
  <c r="I44" i="3"/>
  <c r="J44" i="3"/>
  <c r="K44" i="3"/>
  <c r="L44" i="3"/>
  <c r="M44" i="3"/>
  <c r="N44" i="3"/>
  <c r="O44" i="3"/>
  <c r="P44" i="3"/>
  <c r="Q44" i="3"/>
  <c r="R44" i="3"/>
  <c r="S44" i="3"/>
  <c r="T44" i="3"/>
  <c r="U44" i="3"/>
  <c r="V44" i="3"/>
  <c r="W44" i="3"/>
  <c r="X15" i="3"/>
  <c r="X24" i="3"/>
  <c r="X42" i="3"/>
  <c r="X27" i="3"/>
  <c r="X21" i="3"/>
  <c r="X39" i="3"/>
  <c r="X30" i="3"/>
  <c r="X36" i="3"/>
  <c r="E28" i="6"/>
  <c r="X18" i="3"/>
  <c r="X44" i="3" l="1"/>
  <c r="G7" i="4" a="1"/>
  <c r="G7" i="4" s="1"/>
  <c r="G40" i="6"/>
  <c r="H40" i="6"/>
  <c r="H7" i="4" a="1"/>
  <c r="H7" i="4" s="1"/>
  <c r="H8" i="4" s="1" a="1"/>
  <c r="H8" i="4" s="1"/>
  <c r="E14" i="6"/>
  <c r="D20" i="6"/>
  <c r="C21" i="6"/>
  <c r="C23" i="6" s="1"/>
  <c r="C10" i="5" a="1"/>
  <c r="C10" i="5" s="1"/>
  <c r="C27" i="2" a="1"/>
  <c r="C27" i="2" s="1"/>
  <c r="C13" i="4"/>
  <c r="D13" i="4"/>
  <c r="D16" i="4" s="1"/>
  <c r="D18" i="4" s="1"/>
  <c r="E13" i="4"/>
  <c r="E16" i="4" s="1"/>
  <c r="E18" i="4" s="1"/>
  <c r="F13" i="4"/>
  <c r="F16" i="4" s="1"/>
  <c r="F18" i="4" s="1"/>
  <c r="G13" i="4"/>
  <c r="G16" i="4" s="1"/>
  <c r="H13" i="4"/>
  <c r="H16" i="4" s="1"/>
  <c r="I13" i="4"/>
  <c r="I16" i="4" s="1"/>
  <c r="J13" i="4"/>
  <c r="J16" i="4" s="1"/>
  <c r="K13" i="4"/>
  <c r="K16" i="4" s="1"/>
  <c r="L13" i="4"/>
  <c r="L16" i="4" s="1"/>
  <c r="M13" i="4"/>
  <c r="M16" i="4" s="1"/>
  <c r="N13" i="4"/>
  <c r="N16" i="4" s="1"/>
  <c r="O13" i="4"/>
  <c r="O16" i="4" s="1"/>
  <c r="P13" i="4"/>
  <c r="P16" i="4" s="1"/>
  <c r="Q13" i="4"/>
  <c r="Q16" i="4" s="1"/>
  <c r="R13" i="4"/>
  <c r="R16" i="4" s="1"/>
  <c r="S13" i="4"/>
  <c r="S16" i="4" s="1"/>
  <c r="T13" i="4"/>
  <c r="T16" i="4" s="1"/>
  <c r="U13" i="4"/>
  <c r="U16" i="4" s="1"/>
  <c r="V13" i="4"/>
  <c r="V16" i="4" s="1"/>
  <c r="W13" i="4"/>
  <c r="W16" i="4" s="1"/>
  <c r="I7" i="4" a="1"/>
  <c r="I7" i="4" s="1"/>
  <c r="I8" i="4" s="1" a="1"/>
  <c r="I8" i="4" s="1"/>
  <c r="I40" i="6"/>
  <c r="J7" i="4" a="1"/>
  <c r="J7" i="4" s="1"/>
  <c r="J8" i="4" s="1" a="1"/>
  <c r="J8" i="4" s="1"/>
  <c r="J40" i="6"/>
  <c r="K7" i="4" a="1"/>
  <c r="K7" i="4" s="1"/>
  <c r="K8" i="4" s="1" a="1"/>
  <c r="K8" i="4" s="1"/>
  <c r="K40" i="6"/>
  <c r="L7" i="4" a="1"/>
  <c r="L7" i="4" s="1"/>
  <c r="L8" i="4" s="1" a="1"/>
  <c r="L8" i="4" s="1"/>
  <c r="L18" i="4" s="1"/>
  <c r="L40" i="6"/>
  <c r="M7" i="4" a="1"/>
  <c r="M7" i="4" s="1"/>
  <c r="M8" i="4" s="1" a="1"/>
  <c r="M8" i="4" s="1"/>
  <c r="M18" i="4" s="1"/>
  <c r="M40" i="6"/>
  <c r="N7" i="4" a="1"/>
  <c r="N7" i="4" s="1"/>
  <c r="N8" i="4" s="1" a="1"/>
  <c r="N8" i="4" s="1"/>
  <c r="N18" i="4" s="1"/>
  <c r="N40" i="6"/>
  <c r="O7" i="4" a="1"/>
  <c r="O7" i="4" s="1"/>
  <c r="O8" i="4" s="1" a="1"/>
  <c r="O8" i="4" s="1"/>
  <c r="O40" i="6"/>
  <c r="P7" i="4" a="1"/>
  <c r="P7" i="4" s="1"/>
  <c r="P8" i="4" s="1" a="1"/>
  <c r="P8" i="4" s="1"/>
  <c r="P40" i="6"/>
  <c r="Q7" i="4" a="1"/>
  <c r="Q7" i="4" s="1"/>
  <c r="Q8" i="4" s="1" a="1"/>
  <c r="Q8" i="4" s="1"/>
  <c r="Q40" i="6"/>
  <c r="R7" i="4" a="1"/>
  <c r="R7" i="4" s="1"/>
  <c r="R8" i="4" s="1" a="1"/>
  <c r="R8" i="4" s="1"/>
  <c r="R40" i="6"/>
  <c r="S7" i="4" a="1"/>
  <c r="S7" i="4" s="1"/>
  <c r="S8" i="4" s="1" a="1"/>
  <c r="S8" i="4" s="1"/>
  <c r="S40" i="6"/>
  <c r="T7" i="4" a="1"/>
  <c r="T7" i="4" s="1"/>
  <c r="T8" i="4" s="1" a="1"/>
  <c r="T8" i="4" s="1"/>
  <c r="T40" i="6"/>
  <c r="U7" i="4" a="1"/>
  <c r="U7" i="4" s="1"/>
  <c r="U8" i="4" s="1" a="1"/>
  <c r="U8" i="4" s="1"/>
  <c r="U40" i="6"/>
  <c r="V7" i="4" a="1"/>
  <c r="V7" i="4" s="1"/>
  <c r="V8" i="4" s="1" a="1"/>
  <c r="V8" i="4" s="1"/>
  <c r="V40" i="6"/>
  <c r="W7" i="4" a="1"/>
  <c r="W7" i="4" s="1"/>
  <c r="W8" i="4" s="1" a="1"/>
  <c r="W8" i="4" s="1"/>
  <c r="W40" i="6"/>
  <c r="X14" i="4"/>
  <c r="K18" i="4" l="1"/>
  <c r="J18" i="4"/>
  <c r="I18" i="4"/>
  <c r="X7" i="4"/>
  <c r="G8" i="4" a="1"/>
  <c r="G8" i="4" s="1"/>
  <c r="D21" i="6"/>
  <c r="D23" i="6" s="1"/>
  <c r="E20" i="6"/>
  <c r="C26" i="6"/>
  <c r="C29" i="6"/>
  <c r="C16" i="4"/>
  <c r="X13" i="4"/>
  <c r="O18" i="4"/>
  <c r="P18" i="4"/>
  <c r="Q18" i="4"/>
  <c r="U18" i="4"/>
  <c r="R18" i="4"/>
  <c r="S18" i="4"/>
  <c r="T18" i="4"/>
  <c r="V18" i="4"/>
  <c r="W18" i="4"/>
  <c r="H18" i="4"/>
  <c r="C11" i="5" a="1"/>
  <c r="C11" i="5" s="1"/>
  <c r="C29" i="2"/>
  <c r="C13" i="5" s="1" a="1"/>
  <c r="C13" i="5" s="1"/>
  <c r="X8" i="4" l="1"/>
  <c r="G18" i="4"/>
  <c r="D29" i="6"/>
  <c r="E29" i="6" s="1"/>
  <c r="E23" i="6"/>
  <c r="D26" i="6"/>
  <c r="O41" i="6"/>
  <c r="O42" i="6" s="1"/>
  <c r="M41" i="6"/>
  <c r="M42" i="6" s="1"/>
  <c r="P41" i="6"/>
  <c r="P42" i="6" s="1"/>
  <c r="J41" i="6"/>
  <c r="J42" i="6" s="1"/>
  <c r="L41" i="6"/>
  <c r="L42" i="6" s="1"/>
  <c r="I41" i="6"/>
  <c r="I42" i="6" s="1"/>
  <c r="K41" i="6"/>
  <c r="K42" i="6" s="1"/>
  <c r="H41" i="6"/>
  <c r="H42" i="6" s="1"/>
  <c r="G41" i="6"/>
  <c r="G42" i="6" s="1"/>
  <c r="Q41" i="6"/>
  <c r="Q42" i="6" s="1"/>
  <c r="N41" i="6"/>
  <c r="N42" i="6" s="1"/>
  <c r="C41" i="6"/>
  <c r="C42" i="6" s="1"/>
  <c r="D41" i="6"/>
  <c r="D42" i="6" s="1"/>
  <c r="R41" i="6"/>
  <c r="R42" i="6" s="1"/>
  <c r="E41" i="6"/>
  <c r="E42" i="6" s="1"/>
  <c r="F41" i="6"/>
  <c r="F42" i="6" s="1"/>
  <c r="T41" i="6"/>
  <c r="T42" i="6" s="1"/>
  <c r="V41" i="6"/>
  <c r="V42" i="6" s="1"/>
  <c r="S41" i="6"/>
  <c r="S42" i="6" s="1"/>
  <c r="U41" i="6"/>
  <c r="U42" i="6" s="1"/>
  <c r="W41" i="6"/>
  <c r="W42" i="6" s="1"/>
  <c r="E21" i="6"/>
  <c r="C27" i="6"/>
  <c r="C18" i="4"/>
  <c r="X16" i="4"/>
  <c r="C30" i="5"/>
  <c r="C16" i="5"/>
  <c r="D27" i="6" l="1"/>
  <c r="E27" i="6" s="1"/>
  <c r="E26" i="6"/>
  <c r="D32" i="6"/>
  <c r="C43" i="6" a="1"/>
  <c r="C43" i="6" s="1"/>
  <c r="C19" i="4" a="1"/>
  <c r="C19" i="4" s="1"/>
  <c r="C32" i="6"/>
  <c r="C33" i="6" s="1"/>
  <c r="C20" i="5"/>
  <c r="C21" i="5" s="1"/>
  <c r="X18" i="4"/>
  <c r="C17" i="5"/>
  <c r="E32" i="6" l="1"/>
  <c r="D33" i="6"/>
  <c r="E33" i="6" s="1"/>
  <c r="D43" i="6"/>
  <c r="E43" i="6" s="1"/>
  <c r="F43" i="6" s="1"/>
  <c r="G43" i="6" s="1"/>
  <c r="H43" i="6" s="1"/>
  <c r="D19" i="4"/>
  <c r="E19" i="4" l="1"/>
  <c r="I43" i="6"/>
  <c r="F19" i="4" l="1"/>
  <c r="J43" i="6"/>
  <c r="K43" i="6" l="1"/>
  <c r="G19" i="4"/>
  <c r="L43" i="6" l="1"/>
  <c r="H19" i="4"/>
  <c r="M43" i="6" l="1"/>
  <c r="N43" i="6" s="1"/>
  <c r="O43" i="6" s="1"/>
  <c r="P43" i="6" s="1"/>
  <c r="Q43" i="6" s="1"/>
  <c r="R43" i="6" s="1"/>
  <c r="S43" i="6" s="1"/>
  <c r="T43" i="6" s="1"/>
  <c r="U43" i="6" s="1"/>
  <c r="V43" i="6" s="1"/>
  <c r="W43" i="6" s="1"/>
  <c r="D34" i="6"/>
  <c r="D35" i="6" s="1"/>
  <c r="I19" i="4"/>
  <c r="J19" i="4" s="1"/>
  <c r="K19" i="4" s="1"/>
  <c r="L19" i="4" s="1"/>
  <c r="M19" i="4" s="1"/>
  <c r="N19" i="4" s="1"/>
  <c r="O19" i="4" s="1"/>
  <c r="P19" i="4" l="1"/>
  <c r="Q19" i="4" l="1"/>
  <c r="R19" i="4" s="1"/>
  <c r="S19" i="4" s="1"/>
  <c r="T19" i="4" s="1"/>
  <c r="U19" i="4" s="1"/>
  <c r="V19" i="4" s="1"/>
  <c r="W19" i="4" s="1"/>
  <c r="C22" i="5"/>
  <c r="C23" i="5" s="1"/>
  <c r="C24" i="5" s="1"/>
  <c r="C34" i="6"/>
  <c r="E34" i="6" l="1"/>
  <c r="C35" i="6"/>
  <c r="E35" i="6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<sst xmlns="http://schemas.openxmlformats.org/spreadsheetml/2006/main" count="179" uniqueCount="118">
  <si>
    <t>KENYAN REAL ESTATE DEVELOPMENT MODEL</t>
  </si>
  <si>
    <t>Assumptions &amp; Inputs</t>
  </si>
  <si>
    <t>LAND &amp; FX</t>
  </si>
  <si>
    <t>Land Cost</t>
  </si>
  <si>
    <t>Land Size (acres)</t>
  </si>
  <si>
    <t>FX Rate (KES/USD)</t>
  </si>
  <si>
    <t>UNIT MIX</t>
  </si>
  <si>
    <t>Units</t>
  </si>
  <si>
    <t>Size (sqm)</t>
  </si>
  <si>
    <t>Price (KES)</t>
  </si>
  <si>
    <t>One-Bedroom</t>
  </si>
  <si>
    <t>Two-Bedroom</t>
  </si>
  <si>
    <t>Number of Floors</t>
  </si>
  <si>
    <t>CONSTRUCTION</t>
  </si>
  <si>
    <t>Circulation Factor</t>
  </si>
  <si>
    <t>Construction Cost (USD/sqm)</t>
  </si>
  <si>
    <t>FEES &amp; COMMISSIONS</t>
  </si>
  <si>
    <t>Stamp Duty</t>
  </si>
  <si>
    <t>Legal / PM / Design (% of construction)</t>
  </si>
  <si>
    <t>Sales Commission</t>
  </si>
  <si>
    <t>PAYMENT TERMS</t>
  </si>
  <si>
    <t>Upfront Payment (at sale)</t>
  </si>
  <si>
    <t>Balance (installments to month 21)</t>
  </si>
  <si>
    <t>PRICING TIERS</t>
  </si>
  <si>
    <t>Adjustment</t>
  </si>
  <si>
    <t>From Month</t>
  </si>
  <si>
    <t>To Month</t>
  </si>
  <si>
    <t>Early Bird</t>
  </si>
  <si>
    <t>Standard</t>
  </si>
  <si>
    <t>Premium</t>
  </si>
  <si>
    <t>FEE PHASING</t>
  </si>
  <si>
    <t>Pre-construction fee reduction</t>
  </si>
  <si>
    <t>TIMELINE</t>
  </si>
  <si>
    <t>Project Duration (months)</t>
  </si>
  <si>
    <t>Approvals Month</t>
  </si>
  <si>
    <t>Construction Start Month</t>
  </si>
  <si>
    <t>Construction End Month</t>
  </si>
  <si>
    <t>Sales Start Month</t>
  </si>
  <si>
    <t>Sales End Month</t>
  </si>
  <si>
    <t>Area &amp; Cost Calculations</t>
  </si>
  <si>
    <t>AREA CALCULATIONS</t>
  </si>
  <si>
    <t>One-Bed Sellable Area (sqm)</t>
  </si>
  <si>
    <t>Two-Bed Sellable Area (sqm)</t>
  </si>
  <si>
    <t>Total Sellable Area (sqm)</t>
  </si>
  <si>
    <t>Circulation Area (sqm)</t>
  </si>
  <si>
    <t>Total Built Area (sqm)</t>
  </si>
  <si>
    <t>REVENUE</t>
  </si>
  <si>
    <t>One-Bed Total Revenue (KES)</t>
  </si>
  <si>
    <t>Two-Bed Total Revenue (KES)</t>
  </si>
  <si>
    <t>Total Revenue (KES)</t>
  </si>
  <si>
    <t>COST CALCULATIONS</t>
  </si>
  <si>
    <t>Construction Cost (USD)</t>
  </si>
  <si>
    <t>Construction Cost (KES)</t>
  </si>
  <si>
    <t>Stamp Duty (KES)</t>
  </si>
  <si>
    <t>Legal / PM / Design Fees (KES)</t>
  </si>
  <si>
    <t>Sales Commission (KES)</t>
  </si>
  <si>
    <t>TOTAL DEVELOPMENT COST</t>
  </si>
  <si>
    <t>Legal / PM / Design Fees</t>
  </si>
  <si>
    <t>Total Development Cost (KES)</t>
  </si>
  <si>
    <t>Sales Schedule &amp; Payment Waterfall</t>
  </si>
  <si>
    <t>MONTHLY SALES</t>
  </si>
  <si>
    <t>Month</t>
  </si>
  <si>
    <t>Total</t>
  </si>
  <si>
    <t>Sales Value (KES)</t>
  </si>
  <si>
    <t>PAYMENT WATERFALL</t>
  </si>
  <si>
    <t>Collections by Sale Cohort</t>
  </si>
  <si>
    <t>Month 5 Sales Cohort</t>
  </si>
  <si>
    <t xml:space="preserve">  Upfront (25%)</t>
  </si>
  <si>
    <t xml:space="preserve">  Installments (75%)</t>
  </si>
  <si>
    <t>Month 6 Sales Cohort</t>
  </si>
  <si>
    <t>Month 7 Sales Cohort</t>
  </si>
  <si>
    <t>Month 8 Sales Cohort</t>
  </si>
  <si>
    <t>Month 9 Sales Cohort</t>
  </si>
  <si>
    <t>Month 10 Sales Cohort</t>
  </si>
  <si>
    <t>Month 11 Sales Cohort</t>
  </si>
  <si>
    <t>Month 12 Sales Cohort</t>
  </si>
  <si>
    <t>Month 13 Sales Cohort</t>
  </si>
  <si>
    <t>Month 14 Sales Cohort</t>
  </si>
  <si>
    <t>Month 15 Sales Cohort</t>
  </si>
  <si>
    <t>Total Collections</t>
  </si>
  <si>
    <t>Monthly Cash Flow Statement</t>
  </si>
  <si>
    <t>INFLOWS</t>
  </si>
  <si>
    <t>Collections from Sales</t>
  </si>
  <si>
    <t>Total Inflows</t>
  </si>
  <si>
    <t>OUTFLOWS</t>
  </si>
  <si>
    <t>Construction Cost</t>
  </si>
  <si>
    <t>Total Outflows</t>
  </si>
  <si>
    <t>NET CASH FLOW</t>
  </si>
  <si>
    <t>Cumulative Cash Flow</t>
  </si>
  <si>
    <t>Project Summary</t>
  </si>
  <si>
    <t>PROJECT ECONOMICS</t>
  </si>
  <si>
    <t>COST BREAKDOWN</t>
  </si>
  <si>
    <t>PROFITABILITY</t>
  </si>
  <si>
    <t>Gross Profit (KES)</t>
  </si>
  <si>
    <t>Profit Margin</t>
  </si>
  <si>
    <t>RETURNS &amp; FUNDING</t>
  </si>
  <si>
    <t>Project IRR (Monthly)</t>
  </si>
  <si>
    <t>Project IRR (Annualized)</t>
  </si>
  <si>
    <t>Peak Negative Cumulative CF (KES)</t>
  </si>
  <si>
    <t>Equity Required (KES)</t>
  </si>
  <si>
    <t>Return on Equity (ROE)</t>
  </si>
  <si>
    <t>KEY METRICS</t>
  </si>
  <si>
    <t>Total Units</t>
  </si>
  <si>
    <t>Avg Price per sqm (KES)</t>
  </si>
  <si>
    <t>Cost per sqm Built (KES)</t>
  </si>
  <si>
    <t>Scenario Comparison</t>
  </si>
  <si>
    <t>Base Case</t>
  </si>
  <si>
    <t>Bear Case</t>
  </si>
  <si>
    <t>Delta</t>
  </si>
  <si>
    <t>SCENARIO ASSUMPTIONS</t>
  </si>
  <si>
    <t>One-Bed Price (KES)</t>
  </si>
  <si>
    <t>Two-Bed Price (KES)</t>
  </si>
  <si>
    <t>Land Cost (KES)</t>
  </si>
  <si>
    <t>REVENUE &amp; AREA</t>
  </si>
  <si>
    <t>BEAR CASE MONTHLY CASH FLOWS</t>
  </si>
  <si>
    <t>Inflows (Collections)</t>
  </si>
  <si>
    <t>Outflows</t>
  </si>
  <si>
    <t>Net Cash Flow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</si>
</sst>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;\(#,##0\)"/>
    <numFmt numFmtId="165" formatCode="0.0%"/>
  </numFmts>
  <fonts count="21" x14ac:knownFonts="1">
    <font>
      <sz val="12"/>
      <color theme="1"/>
      <name val="Calibri"/>
      <scheme val="minor"/>
    </font>
    <font>
      <b/>
      <sz val="16"/>
      <color rgb="FF1F3864"/>
      <name val="Aptos Narrow"/>
    </font>
    <font>
      <i/>
      <sz val="11"/>
      <color rgb="FF4472C4"/>
      <name val="Aptos Narrow"/>
    </font>
    <font>
      <b/>
      <sz val="11"/>
      <color rgb="FFFFFFFF"/>
      <name val="Aptos Narrow"/>
    </font>
    <font>
      <sz val="11"/>
      <name val="Aptos Narrow"/>
    </font>
    <font>
      <sz val="11"/>
      <color rgb="FF0000FF"/>
      <name val="Aptos Narrow"/>
    </font>
    <font>
      <sz val="11"/>
      <color rgb="FF008000"/>
      <name val="Aptos Narrow"/>
    </font>
    <font>
      <b/>
      <sz val="11"/>
      <name val="Aptos Narrow"/>
    </font>
    <font>
      <b/>
      <sz val="11"/>
      <color rgb="FF000000"/>
      <name val="Aptos Narrow"/>
    </font>
    <font>
      <sz val="11"/>
      <color rgb="FF000000"/>
      <name val="Aptos Narrow"/>
    </font>
    <font>
      <b/>
      <sz val="11"/>
      <color rgb="FF008000"/>
      <name val="Aptos Narrow"/>
    </font>
    <font>
      <sz val="11"/>
      <color rgb="FF000000"/>
      <name val="Aptos Narrow"/>
    </font>
    <font>
      <sz val="11"/>
      <color rgb="FF0000FF"/>
      <name val="Aptos Narrow"/>
    </font>
    <font>
      <b/>
      <sz val="11"/>
      <color rgb="FFFFFFFF"/>
      <name val="Aptos Narrow"/>
    </font>
    <font>
      <sz val="11"/>
      <name val="Aptos Narrow"/>
    </font>
    <font>
      <b/>
      <sz val="16"/>
      <color rgb="FF1F3864"/>
      <name val="Aptos Narrow"/>
    </font>
    <font>
      <sz val="11"/>
      <color theme="1"/>
      <name val="Aptos Narrow"/>
    </font>
    <font>
      <b/>
      <sz val="11"/>
      <color theme="1"/>
      <name val="Aptos Narrow"/>
    </font>
    <font>
      <sz val="11"/>
      <color rgb="FF008000"/>
      <name val="Aptos Narrow"/>
    </font>
    <font>
      <i/>
      <sz val="11"/>
      <color rgb="FF4472C4"/>
      <name val="Aptos Narrow"/>
    </font>
    <font>
      <b/>
      <sz val="11"/>
      <color rgb="FF1F3864"/>
      <name val="Aptos Narrow"/>
    </font>
  </fonts>
  <fills count="8">
    <fill>
      <patternFill patternType="none"/>
    </fill>
    <fill>
      <patternFill patternType="gray125"/>
    </fill>
    <fill>
      <patternFill patternType="solid">
        <fgColor rgb="FF1F3864"/>
      </patternFill>
    </fill>
    <fill>
      <patternFill patternType="solid">
        <fgColor rgb="FFDAEEF3"/>
      </patternFill>
    </fill>
    <fill>
      <patternFill patternType="solid">
        <fgColor rgb="FFF2F2F2"/>
      </patternFill>
    </fill>
    <fill>
      <patternFill patternType="solid">
        <fgColor rgb="FFD6DCE4"/>
      </patternFill>
    </fill>
    <fill>
      <patternFill patternType="solid">
        <fgColor rgb="FFE2EFDA"/>
      </patternFill>
    </fill>
    <fill>
      <patternFill patternType="solid">
        <fgColor rgb="FFFFFFFF"/>
      </patternFill>
    </fill>
  </fills>
  <borders count="7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medium">
        <color rgb="FF1F3864"/>
      </bottom>
      <diagonal/>
    </border>
    <border>
      <left/>
      <right/>
      <top/>
      <bottom style="thin">
        <color rgb="FF808080"/>
      </bottom>
      <diagonal/>
    </border>
    <border>
      <left/>
      <right/>
      <top style="thin">
        <color rgb="FF000000"/>
      </top>
      <bottom/>
      <diagonal/>
    </border>
    <border>
      <left/>
      <right/>
      <top style="double">
        <color rgb="FF000000"/>
      </top>
      <bottom style="double">
        <color rgb="FF000000"/>
      </bottom>
      <diagonal/>
    </border>
    <border>
      <left/>
      <right/>
      <top style="medium">
        <color rgb="FF000000"/>
      </top>
      <bottom style="double">
        <color rgb="FF000000"/>
      </bottom>
      <diagonal/>
    </border>
  </borders>
  <cellStyleXfs count="1">
    <xf numFmtId="0" fontId="0" fillId="0" borderId="1"/>
  </cellStyleXfs>
  <cellXfs count="80">
    <xf numFmtId="0" fontId="0" fillId="0" borderId="1" xfId="0"/>
    <xf numFmtId="0" fontId="1" fillId="0" borderId="1" xfId="0" applyFont="1" applyAlignment="1">
      <alignment vertical="top"/>
    </xf>
    <xf numFmtId="0" fontId="2" fillId="0" borderId="1" xfId="0" applyFont="1" applyAlignment="1">
      <alignment vertical="top"/>
    </xf>
    <xf numFmtId="0" fontId="3" fillId="2" borderId="2" xfId="0" applyFont="1" applyFill="1" applyBorder="1" applyAlignment="1">
      <alignment vertical="top"/>
    </xf>
    <xf numFmtId="0" fontId="4" fillId="0" borderId="1" xfId="0" applyFont="1" applyAlignment="1">
      <alignment vertical="top"/>
    </xf>
    <xf numFmtId="3" fontId="5" fillId="3" borderId="1" xfId="0" applyNumberFormat="1" applyFont="1" applyFill="1" applyAlignment="1">
      <alignment vertical="top"/>
    </xf>
    <xf numFmtId="0" fontId="4" fillId="4" borderId="1" xfId="0" applyFont="1" applyFill="1" applyAlignment="1">
      <alignment vertical="top"/>
    </xf>
    <xf numFmtId="0" fontId="5" fillId="4" borderId="1" xfId="0" applyFont="1" applyFill="1" applyAlignment="1">
      <alignment vertical="top"/>
    </xf>
    <xf numFmtId="0" fontId="5" fillId="3" borderId="1" xfId="0" applyFont="1" applyFill="1" applyAlignment="1">
      <alignment vertical="top"/>
    </xf>
    <xf numFmtId="0" fontId="4" fillId="5" borderId="3" xfId="0" applyFont="1" applyFill="1" applyBorder="1" applyAlignment="1">
      <alignment vertical="top"/>
    </xf>
    <xf numFmtId="3" fontId="5" fillId="4" borderId="1" xfId="0" applyNumberFormat="1" applyFont="1" applyFill="1" applyAlignment="1">
      <alignment vertical="top"/>
    </xf>
    <xf numFmtId="10" fontId="5" fillId="3" borderId="1" xfId="0" applyNumberFormat="1" applyFont="1" applyFill="1" applyAlignment="1">
      <alignment vertical="top"/>
    </xf>
    <xf numFmtId="9" fontId="5" fillId="3" borderId="1" xfId="0" applyNumberFormat="1" applyFont="1" applyFill="1" applyAlignment="1">
      <alignment vertical="top"/>
    </xf>
    <xf numFmtId="9" fontId="5" fillId="4" borderId="1" xfId="0" applyNumberFormat="1" applyFont="1" applyFill="1" applyAlignment="1">
      <alignment vertical="top"/>
    </xf>
    <xf numFmtId="0" fontId="11" fillId="4" borderId="1" xfId="0" applyFont="1" applyFill="1" applyAlignment="1">
      <alignment vertical="top"/>
    </xf>
    <xf numFmtId="9" fontId="12" fillId="4" borderId="1" xfId="0" applyNumberFormat="1" applyFont="1" applyFill="1" applyAlignment="1">
      <alignment vertical="top"/>
    </xf>
    <xf numFmtId="0" fontId="11" fillId="0" borderId="1" xfId="0" applyFont="1" applyAlignment="1">
      <alignment vertical="top"/>
    </xf>
    <xf numFmtId="9" fontId="12" fillId="3" borderId="1" xfId="0" applyNumberFormat="1" applyFont="1" applyFill="1" applyAlignment="1">
      <alignment vertical="top"/>
    </xf>
    <xf numFmtId="0" fontId="13" fillId="2" borderId="1" xfId="0" applyFont="1" applyFill="1" applyAlignment="1">
      <alignment vertical="top"/>
    </xf>
    <xf numFmtId="9" fontId="13" fillId="2" borderId="1" xfId="0" applyNumberFormat="1" applyFont="1" applyFill="1" applyAlignment="1">
      <alignment vertical="top"/>
    </xf>
    <xf numFmtId="9" fontId="12" fillId="5" borderId="3" xfId="0" applyNumberFormat="1" applyFont="1" applyFill="1" applyBorder="1" applyAlignment="1">
      <alignment vertical="top"/>
    </xf>
    <xf numFmtId="0" fontId="14" fillId="5" borderId="3" xfId="0" applyFont="1" applyFill="1" applyBorder="1" applyAlignment="1">
      <alignment vertical="top"/>
    </xf>
    <xf numFmtId="0" fontId="12" fillId="4" borderId="1" xfId="0" applyFont="1" applyFill="1" applyAlignment="1">
      <alignment vertical="top"/>
    </xf>
    <xf numFmtId="0" fontId="11" fillId="7" borderId="1" xfId="0" applyFont="1" applyFill="1"/>
    <xf numFmtId="9" fontId="12" fillId="3" borderId="1" xfId="0" applyNumberFormat="1" applyFont="1" applyFill="1"/>
    <xf numFmtId="0" fontId="12" fillId="3" borderId="1" xfId="0" applyFont="1" applyFill="1"/>
    <xf numFmtId="0" fontId="11" fillId="0" borderId="1" xfId="0" applyFont="1"/>
    <xf numFmtId="0" fontId="11" fillId="4" borderId="1" xfId="0" applyFont="1" applyFill="1"/>
    <xf numFmtId="0" fontId="12" fillId="4" borderId="1" xfId="0" applyFont="1" applyFill="1"/>
    <xf numFmtId="0" fontId="3" fillId="2" borderId="1" xfId="0" applyFont="1" applyFill="1" applyAlignment="1">
      <alignment vertical="top"/>
    </xf>
    <xf numFmtId="3" fontId="6" fillId="4" borderId="1" xfId="0" applyNumberFormat="1" applyFont="1" applyFill="1" applyAlignment="1">
      <alignment vertical="top"/>
    </xf>
    <xf numFmtId="3" fontId="6" fillId="0" borderId="1" xfId="0" applyNumberFormat="1" applyFont="1" applyAlignment="1">
      <alignment vertical="top"/>
    </xf>
    <xf numFmtId="0" fontId="7" fillId="4" borderId="4" xfId="0" applyFont="1" applyFill="1" applyBorder="1" applyAlignment="1">
      <alignment vertical="top"/>
    </xf>
    <xf numFmtId="3" fontId="8" fillId="4" borderId="4" xfId="0" applyNumberFormat="1" applyFont="1" applyFill="1" applyBorder="1" applyAlignment="1">
      <alignment vertical="top"/>
    </xf>
    <xf numFmtId="3" fontId="9" fillId="0" borderId="1" xfId="0" applyNumberFormat="1" applyFont="1" applyAlignment="1">
      <alignment vertical="top"/>
    </xf>
    <xf numFmtId="3" fontId="9" fillId="4" borderId="1" xfId="0" applyNumberFormat="1" applyFont="1" applyFill="1" applyAlignment="1">
      <alignment vertical="top"/>
    </xf>
    <xf numFmtId="0" fontId="7" fillId="0" borderId="5" xfId="0" applyFont="1" applyBorder="1" applyAlignment="1">
      <alignment vertical="top"/>
    </xf>
    <xf numFmtId="3" fontId="8" fillId="0" borderId="5" xfId="0" applyNumberFormat="1" applyFont="1" applyBorder="1" applyAlignment="1">
      <alignment vertical="top"/>
    </xf>
    <xf numFmtId="0" fontId="15" fillId="0" borderId="1" xfId="0" applyFont="1"/>
    <xf numFmtId="0" fontId="13" fillId="2" borderId="1" xfId="0" applyFont="1" applyFill="1"/>
    <xf numFmtId="0" fontId="16" fillId="5" borderId="3" xfId="0" applyFont="1" applyFill="1" applyBorder="1"/>
    <xf numFmtId="0" fontId="17" fillId="5" borderId="3" xfId="0" applyFont="1" applyFill="1" applyBorder="1"/>
    <xf numFmtId="0" fontId="16" fillId="4" borderId="1" xfId="0" applyFont="1" applyFill="1"/>
    <xf numFmtId="3" fontId="18" fillId="4" borderId="1" xfId="0" applyNumberFormat="1" applyFont="1" applyFill="1"/>
    <xf numFmtId="3" fontId="17" fillId="4" borderId="4" xfId="0" applyNumberFormat="1" applyFont="1" applyFill="1" applyBorder="1"/>
    <xf numFmtId="0" fontId="19" fillId="0" borderId="1" xfId="0" applyFont="1"/>
    <xf numFmtId="0" fontId="20" fillId="0" borderId="1" xfId="0" applyFont="1"/>
    <xf numFmtId="0" fontId="16" fillId="0" borderId="1" xfId="0" applyFont="1" applyAlignment="1">
      <alignment horizontal="left" indent="1"/>
    </xf>
    <xf numFmtId="3" fontId="16" fillId="0" borderId="1" xfId="0" applyNumberFormat="1" applyFont="1"/>
    <xf numFmtId="3" fontId="0" fillId="0" borderId="1" xfId="0" applyNumberFormat="1"/>
    <xf numFmtId="0" fontId="16" fillId="4" borderId="1" xfId="0" applyFont="1" applyFill="1" applyAlignment="1">
      <alignment horizontal="left" indent="1"/>
    </xf>
    <xf numFmtId="3" fontId="16" fillId="4" borderId="1" xfId="0" applyNumberFormat="1" applyFont="1" applyFill="1"/>
    <xf numFmtId="0" fontId="17" fillId="4" borderId="6" xfId="0" applyFont="1" applyFill="1" applyBorder="1"/>
    <xf numFmtId="3" fontId="17" fillId="4" borderId="6" xfId="0" applyNumberFormat="1" applyFont="1" applyFill="1" applyBorder="1"/>
    <xf numFmtId="3" fontId="17" fillId="4" borderId="1" xfId="0" applyNumberFormat="1" applyFont="1" applyFill="1"/>
    <xf numFmtId="0" fontId="17" fillId="4" borderId="4" xfId="0" applyFont="1" applyFill="1" applyBorder="1"/>
    <xf numFmtId="0" fontId="16" fillId="0" borderId="1" xfId="0" applyFont="1"/>
    <xf numFmtId="3" fontId="18" fillId="0" borderId="1" xfId="0" applyNumberFormat="1" applyFont="1"/>
    <xf numFmtId="3" fontId="17" fillId="0" borderId="6" xfId="0" applyNumberFormat="1" applyFont="1" applyBorder="1"/>
    <xf numFmtId="0" fontId="17" fillId="0" borderId="1" xfId="0" applyFont="1"/>
    <xf numFmtId="3" fontId="17" fillId="0" borderId="1" xfId="0" applyNumberFormat="1" applyFont="1"/>
    <xf numFmtId="0" fontId="7" fillId="6" borderId="1" xfId="0" applyFont="1" applyFill="1" applyAlignment="1">
      <alignment vertical="top"/>
    </xf>
    <xf numFmtId="164" fontId="10" fillId="6" borderId="1" xfId="0" applyNumberFormat="1" applyFont="1" applyFill="1" applyAlignment="1">
      <alignment vertical="top"/>
    </xf>
    <xf numFmtId="164" fontId="6" fillId="4" borderId="1" xfId="0" applyNumberFormat="1" applyFont="1" applyFill="1" applyAlignment="1">
      <alignment vertical="top"/>
    </xf>
    <xf numFmtId="164" fontId="6" fillId="0" borderId="1" xfId="0" applyNumberFormat="1" applyFont="1" applyAlignment="1">
      <alignment vertical="top"/>
    </xf>
    <xf numFmtId="164" fontId="10" fillId="0" borderId="5" xfId="0" applyNumberFormat="1" applyFont="1" applyBorder="1" applyAlignment="1">
      <alignment vertical="top"/>
    </xf>
    <xf numFmtId="164" fontId="8" fillId="6" borderId="1" xfId="0" applyNumberFormat="1" applyFont="1" applyFill="1" applyAlignment="1">
      <alignment vertical="top"/>
    </xf>
    <xf numFmtId="0" fontId="7" fillId="0" borderId="1" xfId="0" applyFont="1" applyAlignment="1">
      <alignment vertical="top"/>
    </xf>
    <xf numFmtId="165" fontId="8" fillId="0" borderId="1" xfId="0" applyNumberFormat="1" applyFont="1" applyAlignment="1">
      <alignment vertical="top"/>
    </xf>
    <xf numFmtId="10" fontId="6" fillId="0" borderId="1" xfId="0" applyNumberFormat="1" applyFont="1" applyAlignment="1">
      <alignment vertical="top"/>
    </xf>
    <xf numFmtId="165" fontId="8" fillId="6" borderId="1" xfId="0" applyNumberFormat="1" applyFont="1" applyFill="1" applyAlignment="1">
      <alignment vertical="top"/>
    </xf>
    <xf numFmtId="164" fontId="8" fillId="0" borderId="1" xfId="0" applyNumberFormat="1" applyFont="1" applyAlignment="1">
      <alignment vertical="top"/>
    </xf>
    <xf numFmtId="0" fontId="6" fillId="4" borderId="1" xfId="0" applyFont="1" applyFill="1" applyAlignment="1">
      <alignment vertical="top"/>
    </xf>
    <xf numFmtId="0" fontId="6" fillId="0" borderId="1" xfId="0" applyFont="1" applyAlignment="1">
      <alignment vertical="top"/>
    </xf>
    <xf numFmtId="164" fontId="9" fillId="4" borderId="1" xfId="0" applyNumberFormat="1" applyFont="1" applyFill="1" applyAlignment="1">
      <alignment vertical="top"/>
    </xf>
    <xf numFmtId="0" fontId="18" fillId="4" borderId="1" xfId="0" applyFont="1" applyFill="1"/>
    <xf numFmtId="0" fontId="17" fillId="4" borderId="1" xfId="0" applyFont="1" applyFill="1"/>
    <xf numFmtId="165" fontId="0" fillId="0" borderId="1" xfId="0" applyNumberFormat="1"/>
    <xf numFmtId="165" fontId="16" fillId="4" borderId="1" xfId="0" applyNumberFormat="1" applyFont="1" applyFill="1"/>
    <xf numFmtId="0" fontId="17" fillId="0" borderId="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80AC38-7068-FFC8-3E98-6E685C2F2B92}">
  <dimension ref="B2:E44"/>
  <sheetViews>
    <sheetView showGridLines="0" tabSelected="1" topLeftCell="B1" workbookViewId="0">
      <selection activeCell="D12" sqref="D12"/>
    </sheetView>
  </sheetViews>
  <sheetFormatPr defaultColWidth="7.796875" defaultRowHeight="15" customHeight="1" x14ac:dyDescent="0.3"/>
  <cols>
    <col min="1" max="1" width="1.5" customWidth="1"/>
    <col min="2" max="2" width="35" customWidth="1"/>
    <col min="3" max="3" width="17.5" customWidth="1"/>
    <col min="4" max="4" width="12.5" customWidth="1"/>
    <col min="5" max="5" width="17.5" customWidth="1"/>
  </cols>
  <sheetData>
    <row r="2" spans="2:5" ht="21" customHeight="1" x14ac:dyDescent="0.3">
      <c r="B2" s="1" t="s">
        <v>0</v>
      </c>
    </row>
    <row r="3" spans="2:5" ht="15" customHeight="1" x14ac:dyDescent="0.3">
      <c r="B3" s="2" t="s">
        <v>1</v>
      </c>
    </row>
    <row r="5" spans="2:5" ht="15" customHeight="1" x14ac:dyDescent="0.3">
      <c r="B5" s="3" t="s">
        <v>2</v>
      </c>
      <c r="C5" s="3"/>
      <c r="D5" s="3"/>
      <c r="E5" s="3"/>
    </row>
    <row r="6" spans="2:5" ht="15" customHeight="1" x14ac:dyDescent="0.3">
      <c r="B6" s="4" t="s">
        <v>3</v>
      </c>
      <c r="C6" s="5">
        <v>75000000</v>
      </c>
      <c r="D6" s="4"/>
      <c r="E6" s="4"/>
    </row>
    <row r="7" spans="2:5" ht="15" customHeight="1" x14ac:dyDescent="0.3">
      <c r="B7" s="6" t="s">
        <v>4</v>
      </c>
      <c r="C7" s="7">
        <v>1</v>
      </c>
      <c r="D7" s="6"/>
      <c r="E7" s="6"/>
    </row>
    <row r="8" spans="2:5" ht="15" customHeight="1" x14ac:dyDescent="0.3">
      <c r="B8" s="4" t="s">
        <v>5</v>
      </c>
      <c r="C8" s="8">
        <v>130</v>
      </c>
      <c r="D8" s="4"/>
      <c r="E8" s="4"/>
    </row>
    <row r="9" spans="2:5" ht="15" customHeight="1" x14ac:dyDescent="0.3">
      <c r="B9" s="4"/>
      <c r="C9" s="4"/>
      <c r="D9" s="4"/>
      <c r="E9" s="4"/>
    </row>
    <row r="10" spans="2:5" ht="15" customHeight="1" x14ac:dyDescent="0.3">
      <c r="B10" s="3" t="s">
        <v>6</v>
      </c>
      <c r="C10" s="3"/>
      <c r="D10" s="3"/>
      <c r="E10" s="3"/>
    </row>
    <row r="11" spans="2:5" ht="15" customHeight="1" x14ac:dyDescent="0.3">
      <c r="B11" s="4"/>
      <c r="C11" s="9" t="s">
        <v>7</v>
      </c>
      <c r="D11" s="9" t="s">
        <v>8</v>
      </c>
      <c r="E11" s="9" t="s">
        <v>9</v>
      </c>
    </row>
    <row r="12" spans="2:5" ht="15" customHeight="1" x14ac:dyDescent="0.3">
      <c r="B12" s="6" t="s">
        <v>10</v>
      </c>
      <c r="C12" s="7">
        <v>12</v>
      </c>
      <c r="D12" s="7">
        <v>80</v>
      </c>
      <c r="E12" s="10">
        <v>12000000</v>
      </c>
    </row>
    <row r="13" spans="2:5" ht="15" customHeight="1" x14ac:dyDescent="0.3">
      <c r="B13" s="4" t="s">
        <v>11</v>
      </c>
      <c r="C13" s="8">
        <v>24</v>
      </c>
      <c r="D13" s="8">
        <v>100</v>
      </c>
      <c r="E13" s="5">
        <v>15000000</v>
      </c>
    </row>
    <row r="14" spans="2:5" ht="15" customHeight="1" x14ac:dyDescent="0.3">
      <c r="B14" s="6" t="s">
        <v>12</v>
      </c>
      <c r="C14" s="7">
        <v>3</v>
      </c>
      <c r="D14" s="6"/>
      <c r="E14" s="6"/>
    </row>
    <row r="15" spans="2:5" ht="15" customHeight="1" x14ac:dyDescent="0.3">
      <c r="B15" s="4"/>
      <c r="C15" s="4"/>
      <c r="D15" s="4"/>
      <c r="E15" s="4"/>
    </row>
    <row r="16" spans="2:5" ht="15" customHeight="1" x14ac:dyDescent="0.3">
      <c r="B16" s="3" t="s">
        <v>13</v>
      </c>
      <c r="C16" s="3"/>
      <c r="D16" s="3"/>
      <c r="E16" s="3"/>
    </row>
    <row r="17" spans="2:5" ht="15" customHeight="1" x14ac:dyDescent="0.3">
      <c r="B17" s="4" t="s">
        <v>14</v>
      </c>
      <c r="C17" s="11">
        <v>0.1215</v>
      </c>
      <c r="D17" s="4"/>
      <c r="E17" s="4"/>
    </row>
    <row r="18" spans="2:5" ht="15" customHeight="1" x14ac:dyDescent="0.3">
      <c r="B18" s="6" t="s">
        <v>15</v>
      </c>
      <c r="C18" s="7">
        <v>550</v>
      </c>
      <c r="D18" s="6"/>
      <c r="E18" s="6"/>
    </row>
    <row r="19" spans="2:5" ht="15" customHeight="1" x14ac:dyDescent="0.3">
      <c r="B19" s="4"/>
      <c r="C19" s="4"/>
      <c r="D19" s="4"/>
      <c r="E19" s="4"/>
    </row>
    <row r="20" spans="2:5" ht="15" customHeight="1" x14ac:dyDescent="0.3">
      <c r="B20" s="3" t="s">
        <v>16</v>
      </c>
      <c r="C20" s="3"/>
      <c r="D20" s="3"/>
      <c r="E20" s="3"/>
    </row>
    <row r="21" spans="2:5" ht="15" customHeight="1" x14ac:dyDescent="0.3">
      <c r="B21" s="4" t="s">
        <v>17</v>
      </c>
      <c r="C21" s="12">
        <v>0.04</v>
      </c>
      <c r="D21" s="4"/>
      <c r="E21" s="4"/>
    </row>
    <row r="22" spans="2:5" ht="15" customHeight="1" x14ac:dyDescent="0.3">
      <c r="B22" s="6" t="s">
        <v>18</v>
      </c>
      <c r="C22" s="13">
        <v>0.15</v>
      </c>
      <c r="D22" s="6"/>
      <c r="E22" s="6"/>
    </row>
    <row r="23" spans="2:5" ht="15" customHeight="1" x14ac:dyDescent="0.3">
      <c r="B23" s="4" t="s">
        <v>19</v>
      </c>
      <c r="C23" s="12">
        <v>0.03</v>
      </c>
      <c r="D23" s="4"/>
      <c r="E23" s="4"/>
    </row>
    <row r="24" spans="2:5" ht="15" customHeight="1" x14ac:dyDescent="0.3">
      <c r="B24" s="4"/>
      <c r="C24" s="4"/>
      <c r="D24" s="4"/>
      <c r="E24" s="4"/>
    </row>
    <row r="25" spans="2:5" ht="15" customHeight="1" x14ac:dyDescent="0.3">
      <c r="B25" s="3" t="s">
        <v>20</v>
      </c>
      <c r="C25" s="3"/>
      <c r="D25" s="3"/>
      <c r="E25" s="3"/>
    </row>
    <row r="26" spans="2:5" ht="15" customHeight="1" x14ac:dyDescent="0.3">
      <c r="B26" s="14" t="s">
        <v>21</v>
      </c>
      <c r="C26" s="15">
        <v>0.25</v>
      </c>
      <c r="D26" s="6"/>
      <c r="E26" s="6"/>
    </row>
    <row r="27" spans="2:5" ht="15" customHeight="1" x14ac:dyDescent="0.3">
      <c r="B27" s="16" t="s">
        <v>22</v>
      </c>
      <c r="C27" s="17">
        <v>0.75</v>
      </c>
      <c r="D27" s="4"/>
      <c r="E27" s="4"/>
    </row>
    <row r="28" spans="2:5" ht="15" customHeight="1" x14ac:dyDescent="0.3">
      <c r="B28" s="6"/>
      <c r="C28" s="13"/>
      <c r="D28" s="6"/>
      <c r="E28" s="6"/>
    </row>
    <row r="29" spans="2:5" ht="15" customHeight="1" x14ac:dyDescent="0.3">
      <c r="B29" s="18" t="s">
        <v>23</v>
      </c>
      <c r="C29" s="19"/>
      <c r="D29" s="18"/>
      <c r="E29" s="18"/>
    </row>
    <row r="30" spans="2:5" ht="15" customHeight="1" x14ac:dyDescent="0.3">
      <c r="B30" s="6"/>
      <c r="C30" s="20" t="s">
        <v>24</v>
      </c>
      <c r="D30" s="21" t="s">
        <v>25</v>
      </c>
      <c r="E30" s="21" t="s">
        <v>26</v>
      </c>
    </row>
    <row r="31" spans="2:5" ht="15" customHeight="1" x14ac:dyDescent="0.3">
      <c r="B31" s="14" t="s">
        <v>27</v>
      </c>
      <c r="C31" s="15">
        <v>-0.1</v>
      </c>
      <c r="D31" s="22">
        <v>5</v>
      </c>
      <c r="E31" s="22">
        <v>6</v>
      </c>
    </row>
    <row r="32" spans="2:5" ht="15" customHeight="1" x14ac:dyDescent="0.3">
      <c r="B32" s="23" t="s">
        <v>28</v>
      </c>
      <c r="C32" s="24">
        <v>0</v>
      </c>
      <c r="D32" s="25">
        <v>7</v>
      </c>
      <c r="E32" s="25">
        <v>9</v>
      </c>
    </row>
    <row r="33" spans="2:5" ht="15" customHeight="1" x14ac:dyDescent="0.3">
      <c r="B33" s="14" t="s">
        <v>29</v>
      </c>
      <c r="C33" s="15">
        <v>0.05</v>
      </c>
      <c r="D33" s="22">
        <v>10</v>
      </c>
      <c r="E33" s="22">
        <v>15</v>
      </c>
    </row>
    <row r="34" spans="2:5" ht="15" customHeight="1" x14ac:dyDescent="0.3">
      <c r="B34" s="26"/>
    </row>
    <row r="35" spans="2:5" ht="15" customHeight="1" x14ac:dyDescent="0.3">
      <c r="B35" s="18" t="s">
        <v>30</v>
      </c>
      <c r="C35" s="18"/>
      <c r="D35" s="18"/>
      <c r="E35" s="18"/>
    </row>
    <row r="36" spans="2:5" ht="15" customHeight="1" x14ac:dyDescent="0.3">
      <c r="B36" s="14" t="s">
        <v>31</v>
      </c>
      <c r="C36" s="15">
        <v>0.35</v>
      </c>
      <c r="D36" s="6"/>
      <c r="E36" s="6"/>
    </row>
    <row r="37" spans="2:5" ht="15" customHeight="1" x14ac:dyDescent="0.3">
      <c r="B37" s="26"/>
    </row>
    <row r="38" spans="2:5" ht="15" customHeight="1" x14ac:dyDescent="0.3">
      <c r="B38" s="18" t="s">
        <v>32</v>
      </c>
      <c r="C38" s="18"/>
      <c r="D38" s="18"/>
      <c r="E38" s="18"/>
    </row>
    <row r="39" spans="2:5" ht="16.5" customHeight="1" x14ac:dyDescent="0.3">
      <c r="B39" s="26" t="s">
        <v>33</v>
      </c>
      <c r="C39" s="25">
        <v>21</v>
      </c>
    </row>
    <row r="40" spans="2:5" ht="16.5" customHeight="1" x14ac:dyDescent="0.3">
      <c r="B40" s="27" t="s">
        <v>34</v>
      </c>
      <c r="C40" s="28">
        <v>6</v>
      </c>
    </row>
    <row r="41" spans="2:5" ht="16.5" customHeight="1" x14ac:dyDescent="0.3">
      <c r="B41" s="26" t="s">
        <v>35</v>
      </c>
      <c r="C41" s="25">
        <v>10</v>
      </c>
    </row>
    <row r="42" spans="2:5" ht="16.5" customHeight="1" x14ac:dyDescent="0.3">
      <c r="B42" s="27" t="s">
        <v>36</v>
      </c>
      <c r="C42" s="28">
        <v>21</v>
      </c>
    </row>
    <row r="43" spans="2:5" ht="16.5" customHeight="1" x14ac:dyDescent="0.3">
      <c r="B43" s="26" t="s">
        <v>37</v>
      </c>
      <c r="C43" s="25">
        <v>5</v>
      </c>
    </row>
    <row r="44" spans="2:5" ht="16.5" customHeight="1" x14ac:dyDescent="0.3">
      <c r="B44" s="27" t="s">
        <v>38</v>
      </c>
      <c r="C44" s="28">
        <v>15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694C8-F3F8-18F8-A748-5B768564FC8E}">
  <dimension ref="B2:C30"/>
  <sheetViews>
    <sheetView showGridLines="0" workbookViewId="0"/>
  </sheetViews>
  <sheetFormatPr defaultColWidth="7.796875" defaultRowHeight="15" customHeight="1" x14ac:dyDescent="0.3"/>
  <cols>
    <col min="1" max="1" width="1.5" customWidth="1"/>
    <col min="2" max="2" width="35" customWidth="1"/>
    <col min="3" max="3" width="20" customWidth="1"/>
  </cols>
  <sheetData>
    <row r="2" spans="2:3" ht="21" customHeight="1" x14ac:dyDescent="0.3">
      <c r="B2" s="1" t="s">
        <v>39</v>
      </c>
    </row>
    <row r="4" spans="2:3" ht="15" customHeight="1" x14ac:dyDescent="0.3">
      <c r="B4" s="29" t="s">
        <v>40</v>
      </c>
      <c r="C4" s="29"/>
    </row>
    <row r="5" spans="2:3" ht="15" customHeight="1" x14ac:dyDescent="0.3">
      <c r="B5" s="6" t="s">
        <v>41</v>
      </c>
      <c r="C5" s="30">
        <f>Assumptions!C12*Assumptions!D12</f>
        <v>960</v>
      </c>
    </row>
    <row r="6" spans="2:3" ht="15" customHeight="1" x14ac:dyDescent="0.3">
      <c r="B6" s="4" t="s">
        <v>42</v>
      </c>
      <c r="C6" s="31">
        <f>Assumptions!C13*Assumptions!D13</f>
        <v>2400</v>
      </c>
    </row>
    <row r="7" spans="2:3" ht="15" customHeight="1" x14ac:dyDescent="0.3">
      <c r="B7" s="32" t="s">
        <v>43</v>
      </c>
      <c r="C7" s="33">
        <f t="shared" ref="C7:C14" si="0">C5+C6</f>
        <v>3360</v>
      </c>
    </row>
    <row r="8" spans="2:3" ht="15" customHeight="1" x14ac:dyDescent="0.3">
      <c r="B8" s="4" t="s">
        <v>44</v>
      </c>
      <c r="C8" s="31">
        <f>C7*Assumptions!C17</f>
        <v>408.24</v>
      </c>
    </row>
    <row r="9" spans="2:3" ht="15" customHeight="1" x14ac:dyDescent="0.3">
      <c r="B9" s="32" t="s">
        <v>45</v>
      </c>
      <c r="C9" s="33">
        <f t="shared" si="0"/>
        <v>3768.24</v>
      </c>
    </row>
    <row r="10" spans="2:3" ht="15" customHeight="1" x14ac:dyDescent="0.3">
      <c r="B10" s="4"/>
      <c r="C10" s="4"/>
    </row>
    <row r="11" spans="2:3" ht="15" customHeight="1" x14ac:dyDescent="0.3">
      <c r="B11" s="29" t="s">
        <v>46</v>
      </c>
      <c r="C11" s="29"/>
    </row>
    <row r="12" spans="2:3" ht="15" customHeight="1" x14ac:dyDescent="0.3">
      <c r="B12" s="6" t="s">
        <v>47</v>
      </c>
      <c r="C12" s="30">
        <f>Assumptions!C12*Assumptions!E12</f>
        <v>144000000</v>
      </c>
    </row>
    <row r="13" spans="2:3" ht="15" customHeight="1" x14ac:dyDescent="0.3">
      <c r="B13" s="4" t="s">
        <v>48</v>
      </c>
      <c r="C13" s="31">
        <f>Assumptions!C13*Assumptions!E13</f>
        <v>360000000</v>
      </c>
    </row>
    <row r="14" spans="2:3" ht="15" customHeight="1" x14ac:dyDescent="0.3">
      <c r="B14" s="32" t="s">
        <v>49</v>
      </c>
      <c r="C14" s="33">
        <f t="shared" si="0"/>
        <v>504000000</v>
      </c>
    </row>
    <row r="15" spans="2:3" ht="15" customHeight="1" x14ac:dyDescent="0.3">
      <c r="B15" s="4"/>
      <c r="C15" s="4"/>
    </row>
    <row r="16" spans="2:3" ht="15" customHeight="1" x14ac:dyDescent="0.3">
      <c r="B16" s="29" t="s">
        <v>50</v>
      </c>
      <c r="C16" s="29"/>
    </row>
    <row r="17" spans="2:3" ht="15" customHeight="1" x14ac:dyDescent="0.3">
      <c r="B17" s="6" t="s">
        <v>51</v>
      </c>
      <c r="C17" s="30">
        <f>C9*Assumptions!C18</f>
        <v>2072531.9999999998</v>
      </c>
    </row>
    <row r="18" spans="2:3" ht="15" customHeight="1" x14ac:dyDescent="0.3">
      <c r="B18" s="4" t="s">
        <v>52</v>
      </c>
      <c r="C18" s="31">
        <f>C17*Assumptions!C8</f>
        <v>269429159.99999994</v>
      </c>
    </row>
    <row r="19" spans="2:3" ht="15" customHeight="1" x14ac:dyDescent="0.3">
      <c r="B19" s="6" t="s">
        <v>53</v>
      </c>
      <c r="C19" s="30">
        <f>Assumptions!C6*Assumptions!C21</f>
        <v>3000000</v>
      </c>
    </row>
    <row r="20" spans="2:3" ht="15" customHeight="1" x14ac:dyDescent="0.3">
      <c r="B20" s="4" t="s">
        <v>54</v>
      </c>
      <c r="C20" s="31">
        <f>C18*Assumptions!C22</f>
        <v>40414373.999999993</v>
      </c>
    </row>
    <row r="21" spans="2:3" ht="15" customHeight="1" x14ac:dyDescent="0.3">
      <c r="B21" s="6" t="s">
        <v>55</v>
      </c>
      <c r="C21" s="30">
        <f>C14*Assumptions!C23</f>
        <v>15120000</v>
      </c>
    </row>
    <row r="22" spans="2:3" ht="15" customHeight="1" x14ac:dyDescent="0.3">
      <c r="B22" s="4"/>
      <c r="C22" s="4"/>
    </row>
    <row r="23" spans="2:3" ht="15" customHeight="1" x14ac:dyDescent="0.3">
      <c r="B23" s="29" t="s">
        <v>56</v>
      </c>
      <c r="C23" s="29"/>
    </row>
    <row r="24" spans="2:3" ht="15" customHeight="1" x14ac:dyDescent="0.3">
      <c r="B24" s="6" t="s">
        <v>3</v>
      </c>
      <c r="C24" s="30" cm="1">
        <f t="array" ref="C24">Assumptions!C6</f>
        <v>75000000</v>
      </c>
    </row>
    <row r="25" spans="2:3" ht="15" customHeight="1" x14ac:dyDescent="0.3">
      <c r="B25" s="4" t="s">
        <v>17</v>
      </c>
      <c r="C25" s="34" cm="1">
        <f t="array" ref="C25">C19</f>
        <v>3000000</v>
      </c>
    </row>
    <row r="26" spans="2:3" ht="15" customHeight="1" x14ac:dyDescent="0.3">
      <c r="B26" s="6" t="s">
        <v>52</v>
      </c>
      <c r="C26" s="35" cm="1">
        <f t="array" ref="C26">C18</f>
        <v>269429159.99999994</v>
      </c>
    </row>
    <row r="27" spans="2:3" ht="15" customHeight="1" x14ac:dyDescent="0.3">
      <c r="B27" s="4" t="s">
        <v>57</v>
      </c>
      <c r="C27" s="34" cm="1">
        <f t="array" ref="C27">C20</f>
        <v>40414373.999999993</v>
      </c>
    </row>
    <row r="28" spans="2:3" ht="15" customHeight="1" x14ac:dyDescent="0.3">
      <c r="B28" s="6" t="s">
        <v>19</v>
      </c>
      <c r="C28" s="35" cm="1">
        <f t="array" ref="C28">C21</f>
        <v>15120000</v>
      </c>
    </row>
    <row r="29" spans="2:3" ht="15" customHeight="1" x14ac:dyDescent="0.3">
      <c r="B29" s="36" t="s">
        <v>58</v>
      </c>
      <c r="C29" s="37">
        <f>SUM(C24:C28)</f>
        <v>402963533.99999994</v>
      </c>
    </row>
    <row r="30" spans="2:3" ht="15" customHeight="1" x14ac:dyDescent="0.3">
      <c r="B30" s="4"/>
      <c r="C30" s="4"/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9C89F4-E7DF-2188-C0B8-04439CDDBC98}">
  <dimension ref="B2:X44"/>
  <sheetViews>
    <sheetView showGridLines="0" workbookViewId="0"/>
  </sheetViews>
  <sheetFormatPr defaultColWidth="7.796875" defaultRowHeight="15" customHeight="1" x14ac:dyDescent="0.3"/>
  <cols>
    <col min="1" max="1" width="1.5" customWidth="1"/>
    <col min="2" max="2" width="25" customWidth="1"/>
    <col min="3" max="23" width="10" customWidth="1"/>
    <col min="24" max="24" width="12.5" customWidth="1"/>
  </cols>
  <sheetData>
    <row r="2" spans="2:24" ht="21" customHeight="1" x14ac:dyDescent="0.4">
      <c r="B2" s="38" t="s">
        <v>59</v>
      </c>
    </row>
    <row r="4" spans="2:24" ht="15" customHeight="1" x14ac:dyDescent="0.3">
      <c r="B4" s="39" t="s">
        <v>60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</row>
    <row r="5" spans="2:24" ht="15" customHeight="1" x14ac:dyDescent="0.3">
      <c r="B5" s="40" t="s">
        <v>61</v>
      </c>
      <c r="C5" s="40">
        <v>1</v>
      </c>
      <c r="D5" s="40">
        <v>2</v>
      </c>
      <c r="E5" s="40">
        <v>3</v>
      </c>
      <c r="F5" s="40">
        <v>4</v>
      </c>
      <c r="G5" s="40">
        <v>5</v>
      </c>
      <c r="H5" s="40">
        <v>6</v>
      </c>
      <c r="I5" s="40">
        <v>7</v>
      </c>
      <c r="J5" s="40">
        <v>8</v>
      </c>
      <c r="K5" s="40">
        <v>9</v>
      </c>
      <c r="L5" s="40">
        <v>10</v>
      </c>
      <c r="M5" s="40">
        <v>11</v>
      </c>
      <c r="N5" s="40">
        <v>12</v>
      </c>
      <c r="O5" s="40">
        <v>13</v>
      </c>
      <c r="P5" s="40">
        <v>14</v>
      </c>
      <c r="Q5" s="40">
        <v>15</v>
      </c>
      <c r="R5" s="40">
        <v>16</v>
      </c>
      <c r="S5" s="40">
        <v>17</v>
      </c>
      <c r="T5" s="40">
        <v>18</v>
      </c>
      <c r="U5" s="40">
        <v>19</v>
      </c>
      <c r="V5" s="40">
        <v>20</v>
      </c>
      <c r="W5" s="40">
        <v>21</v>
      </c>
      <c r="X5" s="41" t="s">
        <v>62</v>
      </c>
    </row>
    <row r="6" spans="2:24" ht="15" customHeight="1" x14ac:dyDescent="0.3">
      <c r="B6" s="42" t="s">
        <v>63</v>
      </c>
      <c r="C6" s="43">
        <f>IF(AND(1&gt;=Assumptions!D31,1&lt;=Assumptions!E31),(1+Assumptions!C31)*'Area-Cost-Calcs'!C14/((Assumptions!E31-Assumptions!D31+1)*(1+Assumptions!C31)+(Assumptions!E32-Assumptions!D32+1)*(1+Assumptions!C32)+(Assumptions!E33-Assumptions!D33+1)*(1+Assumptions!C33)),IF(AND(1&gt;=Assumptions!D32,1&lt;=Assumptions!E32),(1+Assumptions!C32)*'Area-Cost-Calcs'!C14/((Assumptions!E31-Assumptions!D31+1)*(1+Assumptions!C31)+(Assumptions!E32-Assumptions!D32+1)*(1+Assumptions!C32)+(Assumptions!E33-Assumptions!D33+1)*(1+Assumptions!C33)),IF(AND(1&gt;=Assumptions!D33,1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D6" s="43">
        <f>IF(AND(2&gt;=Assumptions!D31,2&lt;=Assumptions!E31),(1+Assumptions!C31)*'Area-Cost-Calcs'!C14/((Assumptions!E31-Assumptions!D31+1)*(1+Assumptions!C31)+(Assumptions!E32-Assumptions!D32+1)*(1+Assumptions!C32)+(Assumptions!E33-Assumptions!D33+1)*(1+Assumptions!C33)),IF(AND(2&gt;=Assumptions!D32,2&lt;=Assumptions!E32),(1+Assumptions!C32)*'Area-Cost-Calcs'!C14/((Assumptions!E31-Assumptions!D31+1)*(1+Assumptions!C31)+(Assumptions!E32-Assumptions!D32+1)*(1+Assumptions!C32)+(Assumptions!E33-Assumptions!D33+1)*(1+Assumptions!C33)),IF(AND(2&gt;=Assumptions!D33,2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E6" s="43">
        <f>IF(AND(3&gt;=Assumptions!D31,3&lt;=Assumptions!E31),(1+Assumptions!C31)*'Area-Cost-Calcs'!C14/((Assumptions!E31-Assumptions!D31+1)*(1+Assumptions!C31)+(Assumptions!E32-Assumptions!D32+1)*(1+Assumptions!C32)+(Assumptions!E33-Assumptions!D33+1)*(1+Assumptions!C33)),IF(AND(3&gt;=Assumptions!D32,3&lt;=Assumptions!E32),(1+Assumptions!C32)*'Area-Cost-Calcs'!C14/((Assumptions!E31-Assumptions!D31+1)*(1+Assumptions!C31)+(Assumptions!E32-Assumptions!D32+1)*(1+Assumptions!C32)+(Assumptions!E33-Assumptions!D33+1)*(1+Assumptions!C33)),IF(AND(3&gt;=Assumptions!D33,3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F6" s="43">
        <f>IF(AND(4&gt;=Assumptions!D31,4&lt;=Assumptions!E31),(1+Assumptions!C31)*'Area-Cost-Calcs'!C14/((Assumptions!E31-Assumptions!D31+1)*(1+Assumptions!C31)+(Assumptions!E32-Assumptions!D32+1)*(1+Assumptions!C32)+(Assumptions!E33-Assumptions!D33+1)*(1+Assumptions!C33)),IF(AND(4&gt;=Assumptions!D32,4&lt;=Assumptions!E32),(1+Assumptions!C32)*'Area-Cost-Calcs'!C14/((Assumptions!E31-Assumptions!D31+1)*(1+Assumptions!C31)+(Assumptions!E32-Assumptions!D32+1)*(1+Assumptions!C32)+(Assumptions!E33-Assumptions!D33+1)*(1+Assumptions!C33)),IF(AND(4&gt;=Assumptions!D33,4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G6" s="43">
        <f>IF(AND(5&gt;=Assumptions!D31,5&lt;=Assumptions!E31),(1+Assumptions!C31)*'Area-Cost-Calcs'!C14/((Assumptions!E31-Assumptions!D31+1)*(1+Assumptions!C31)+(Assumptions!E32-Assumptions!D32+1)*(1+Assumptions!C32)+(Assumptions!E33-Assumptions!D33+1)*(1+Assumptions!C33)),IF(AND(5&gt;=Assumptions!D32,5&lt;=Assumptions!E32),(1+Assumptions!C32)*'Area-Cost-Calcs'!C14/((Assumptions!E31-Assumptions!D31+1)*(1+Assumptions!C31)+(Assumptions!E32-Assumptions!D32+1)*(1+Assumptions!C32)+(Assumptions!E33-Assumptions!D33+1)*(1+Assumptions!C33)),IF(AND(5&gt;=Assumptions!D33,5&lt;=Assumptions!E33),(1+Assumptions!C33)*'Area-Cost-Calcs'!C14/((Assumptions!E31-Assumptions!D31+1)*(1+Assumptions!C31)+(Assumptions!E32-Assumptions!D32+1)*(1+Assumptions!C32)+(Assumptions!E33-Assumptions!D33+1)*(1+Assumptions!C33)),0)))</f>
        <v>40864864.864864856</v>
      </c>
      <c r="H6" s="43">
        <f>IF(AND(6&gt;=Assumptions!D31,6&lt;=Assumptions!E31),(1+Assumptions!C31)*'Area-Cost-Calcs'!C14/((Assumptions!E31-Assumptions!D31+1)*(1+Assumptions!C31)+(Assumptions!E32-Assumptions!D32+1)*(1+Assumptions!C32)+(Assumptions!E33-Assumptions!D33+1)*(1+Assumptions!C33)),IF(AND(6&gt;=Assumptions!D32,6&lt;=Assumptions!E32),(1+Assumptions!C32)*'Area-Cost-Calcs'!C14/((Assumptions!E31-Assumptions!D31+1)*(1+Assumptions!C31)+(Assumptions!E32-Assumptions!D32+1)*(1+Assumptions!C32)+(Assumptions!E33-Assumptions!D33+1)*(1+Assumptions!C33)),IF(AND(6&gt;=Assumptions!D33,6&lt;=Assumptions!E33),(1+Assumptions!C33)*'Area-Cost-Calcs'!C14/((Assumptions!E31-Assumptions!D31+1)*(1+Assumptions!C31)+(Assumptions!E32-Assumptions!D32+1)*(1+Assumptions!C32)+(Assumptions!E33-Assumptions!D33+1)*(1+Assumptions!C33)),0)))</f>
        <v>40864864.864864856</v>
      </c>
      <c r="I6" s="43">
        <f>IF(AND(7&gt;=Assumptions!D31,7&lt;=Assumptions!E31),(1+Assumptions!C31)*'Area-Cost-Calcs'!C14/((Assumptions!E31-Assumptions!D31+1)*(1+Assumptions!C31)+(Assumptions!E32-Assumptions!D32+1)*(1+Assumptions!C32)+(Assumptions!E33-Assumptions!D33+1)*(1+Assumptions!C33)),IF(AND(7&gt;=Assumptions!D32,7&lt;=Assumptions!E32),(1+Assumptions!C32)*'Area-Cost-Calcs'!C14/((Assumptions!E31-Assumptions!D31+1)*(1+Assumptions!C31)+(Assumptions!E32-Assumptions!D32+1)*(1+Assumptions!C32)+(Assumptions!E33-Assumptions!D33+1)*(1+Assumptions!C33)),IF(AND(7&gt;=Assumptions!D33,7&lt;=Assumptions!E33),(1+Assumptions!C33)*'Area-Cost-Calcs'!C14/((Assumptions!E31-Assumptions!D31+1)*(1+Assumptions!C31)+(Assumptions!E32-Assumptions!D32+1)*(1+Assumptions!C32)+(Assumptions!E33-Assumptions!D33+1)*(1+Assumptions!C33)),0)))</f>
        <v>45405405.405405402</v>
      </c>
      <c r="J6" s="43">
        <f>IF(AND(8&gt;=Assumptions!D31,8&lt;=Assumptions!E31),(1+Assumptions!C31)*'Area-Cost-Calcs'!C14/((Assumptions!E31-Assumptions!D31+1)*(1+Assumptions!C31)+(Assumptions!E32-Assumptions!D32+1)*(1+Assumptions!C32)+(Assumptions!E33-Assumptions!D33+1)*(1+Assumptions!C33)),IF(AND(8&gt;=Assumptions!D32,8&lt;=Assumptions!E32),(1+Assumptions!C32)*'Area-Cost-Calcs'!C14/((Assumptions!E31-Assumptions!D31+1)*(1+Assumptions!C31)+(Assumptions!E32-Assumptions!D32+1)*(1+Assumptions!C32)+(Assumptions!E33-Assumptions!D33+1)*(1+Assumptions!C33)),IF(AND(8&gt;=Assumptions!D33,8&lt;=Assumptions!E33),(1+Assumptions!C33)*'Area-Cost-Calcs'!C14/((Assumptions!E31-Assumptions!D31+1)*(1+Assumptions!C31)+(Assumptions!E32-Assumptions!D32+1)*(1+Assumptions!C32)+(Assumptions!E33-Assumptions!D33+1)*(1+Assumptions!C33)),0)))</f>
        <v>45405405.405405402</v>
      </c>
      <c r="K6" s="43">
        <f>IF(AND(9&gt;=Assumptions!D31,9&lt;=Assumptions!E31),(1+Assumptions!C31)*'Area-Cost-Calcs'!C14/((Assumptions!E31-Assumptions!D31+1)*(1+Assumptions!C31)+(Assumptions!E32-Assumptions!D32+1)*(1+Assumptions!C32)+(Assumptions!E33-Assumptions!D33+1)*(1+Assumptions!C33)),IF(AND(9&gt;=Assumptions!D32,9&lt;=Assumptions!E32),(1+Assumptions!C32)*'Area-Cost-Calcs'!C14/((Assumptions!E31-Assumptions!D31+1)*(1+Assumptions!C31)+(Assumptions!E32-Assumptions!D32+1)*(1+Assumptions!C32)+(Assumptions!E33-Assumptions!D33+1)*(1+Assumptions!C33)),IF(AND(9&gt;=Assumptions!D33,9&lt;=Assumptions!E33),(1+Assumptions!C33)*'Area-Cost-Calcs'!C14/((Assumptions!E31-Assumptions!D31+1)*(1+Assumptions!C31)+(Assumptions!E32-Assumptions!D32+1)*(1+Assumptions!C32)+(Assumptions!E33-Assumptions!D33+1)*(1+Assumptions!C33)),0)))</f>
        <v>45405405.405405402</v>
      </c>
      <c r="L6" s="43">
        <f>IF(AND(10&gt;=Assumptions!D31,10&lt;=Assumptions!E31),(1+Assumptions!C31)*'Area-Cost-Calcs'!C14/((Assumptions!E31-Assumptions!D31+1)*(1+Assumptions!C31)+(Assumptions!E32-Assumptions!D32+1)*(1+Assumptions!C32)+(Assumptions!E33-Assumptions!D33+1)*(1+Assumptions!C33)),IF(AND(10&gt;=Assumptions!D32,10&lt;=Assumptions!E32),(1+Assumptions!C32)*'Area-Cost-Calcs'!C14/((Assumptions!E31-Assumptions!D31+1)*(1+Assumptions!C31)+(Assumptions!E32-Assumptions!D32+1)*(1+Assumptions!C32)+(Assumptions!E33-Assumptions!D33+1)*(1+Assumptions!C33)),IF(AND(10&gt;=Assumptions!D33,10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M6" s="43">
        <f>IF(AND(11&gt;=Assumptions!D31,11&lt;=Assumptions!E31),(1+Assumptions!C31)*'Area-Cost-Calcs'!C14/((Assumptions!E31-Assumptions!D31+1)*(1+Assumptions!C31)+(Assumptions!E32-Assumptions!D32+1)*(1+Assumptions!C32)+(Assumptions!E33-Assumptions!D33+1)*(1+Assumptions!C33)),IF(AND(11&gt;=Assumptions!D32,11&lt;=Assumptions!E32),(1+Assumptions!C32)*'Area-Cost-Calcs'!C14/((Assumptions!E31-Assumptions!D31+1)*(1+Assumptions!C31)+(Assumptions!E32-Assumptions!D32+1)*(1+Assumptions!C32)+(Assumptions!E33-Assumptions!D33+1)*(1+Assumptions!C33)),IF(AND(11&gt;=Assumptions!D33,11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N6" s="43">
        <f>IF(AND(12&gt;=Assumptions!D31,12&lt;=Assumptions!E31),(1+Assumptions!C31)*'Area-Cost-Calcs'!C14/((Assumptions!E31-Assumptions!D31+1)*(1+Assumptions!C31)+(Assumptions!E32-Assumptions!D32+1)*(1+Assumptions!C32)+(Assumptions!E33-Assumptions!D33+1)*(1+Assumptions!C33)),IF(AND(12&gt;=Assumptions!D32,12&lt;=Assumptions!E32),(1+Assumptions!C32)*'Area-Cost-Calcs'!C14/((Assumptions!E31-Assumptions!D31+1)*(1+Assumptions!C31)+(Assumptions!E32-Assumptions!D32+1)*(1+Assumptions!C32)+(Assumptions!E33-Assumptions!D33+1)*(1+Assumptions!C33)),IF(AND(12&gt;=Assumptions!D33,12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O6" s="43">
        <f>IF(AND(13&gt;=Assumptions!D31,13&lt;=Assumptions!E31),(1+Assumptions!C31)*'Area-Cost-Calcs'!C14/((Assumptions!E31-Assumptions!D31+1)*(1+Assumptions!C31)+(Assumptions!E32-Assumptions!D32+1)*(1+Assumptions!C32)+(Assumptions!E33-Assumptions!D33+1)*(1+Assumptions!C33)),IF(AND(13&gt;=Assumptions!D32,13&lt;=Assumptions!E32),(1+Assumptions!C32)*'Area-Cost-Calcs'!C14/((Assumptions!E31-Assumptions!D31+1)*(1+Assumptions!C31)+(Assumptions!E32-Assumptions!D32+1)*(1+Assumptions!C32)+(Assumptions!E33-Assumptions!D33+1)*(1+Assumptions!C33)),IF(AND(13&gt;=Assumptions!D33,13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P6" s="43">
        <f>IF(AND(14&gt;=Assumptions!D31,14&lt;=Assumptions!E31),(1+Assumptions!C31)*'Area-Cost-Calcs'!C14/((Assumptions!E31-Assumptions!D31+1)*(1+Assumptions!C31)+(Assumptions!E32-Assumptions!D32+1)*(1+Assumptions!C32)+(Assumptions!E33-Assumptions!D33+1)*(1+Assumptions!C33)),IF(AND(14&gt;=Assumptions!D32,14&lt;=Assumptions!E32),(1+Assumptions!C32)*'Area-Cost-Calcs'!C14/((Assumptions!E31-Assumptions!D31+1)*(1+Assumptions!C31)+(Assumptions!E32-Assumptions!D32+1)*(1+Assumptions!C32)+(Assumptions!E33-Assumptions!D33+1)*(1+Assumptions!C33)),IF(AND(14&gt;=Assumptions!D33,14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Q6" s="43">
        <f>IF(AND(15&gt;=Assumptions!D31,15&lt;=Assumptions!E31),(1+Assumptions!C31)*'Area-Cost-Calcs'!C14/((Assumptions!E31-Assumptions!D31+1)*(1+Assumptions!C31)+(Assumptions!E32-Assumptions!D32+1)*(1+Assumptions!C32)+(Assumptions!E33-Assumptions!D33+1)*(1+Assumptions!C33)),IF(AND(15&gt;=Assumptions!D32,15&lt;=Assumptions!E32),(1+Assumptions!C32)*'Area-Cost-Calcs'!C14/((Assumptions!E31-Assumptions!D31+1)*(1+Assumptions!C31)+(Assumptions!E32-Assumptions!D32+1)*(1+Assumptions!C32)+(Assumptions!E33-Assumptions!D33+1)*(1+Assumptions!C33)),IF(AND(15&gt;=Assumptions!D33,15&lt;=Assumptions!E33),(1+Assumptions!C33)*'Area-Cost-Calcs'!C14/((Assumptions!E31-Assumptions!D31+1)*(1+Assumptions!C31)+(Assumptions!E32-Assumptions!D32+1)*(1+Assumptions!C32)+(Assumptions!E33-Assumptions!D33+1)*(1+Assumptions!C33)),0)))</f>
        <v>47675675.675675668</v>
      </c>
      <c r="R6" s="43">
        <f>IF(AND(16&gt;=Assumptions!D31,16&lt;=Assumptions!E31),(1+Assumptions!C31)*'Area-Cost-Calcs'!C14/((Assumptions!E31-Assumptions!D31+1)*(1+Assumptions!C31)+(Assumptions!E32-Assumptions!D32+1)*(1+Assumptions!C32)+(Assumptions!E33-Assumptions!D33+1)*(1+Assumptions!C33)),IF(AND(16&gt;=Assumptions!D32,16&lt;=Assumptions!E32),(1+Assumptions!C32)*'Area-Cost-Calcs'!C14/((Assumptions!E31-Assumptions!D31+1)*(1+Assumptions!C31)+(Assumptions!E32-Assumptions!D32+1)*(1+Assumptions!C32)+(Assumptions!E33-Assumptions!D33+1)*(1+Assumptions!C33)),IF(AND(16&gt;=Assumptions!D33,16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S6" s="43">
        <f>IF(AND(17&gt;=Assumptions!D31,17&lt;=Assumptions!E31),(1+Assumptions!C31)*'Area-Cost-Calcs'!C14/((Assumptions!E31-Assumptions!D31+1)*(1+Assumptions!C31)+(Assumptions!E32-Assumptions!D32+1)*(1+Assumptions!C32)+(Assumptions!E33-Assumptions!D33+1)*(1+Assumptions!C33)),IF(AND(17&gt;=Assumptions!D32,17&lt;=Assumptions!E32),(1+Assumptions!C32)*'Area-Cost-Calcs'!C14/((Assumptions!E31-Assumptions!D31+1)*(1+Assumptions!C31)+(Assumptions!E32-Assumptions!D32+1)*(1+Assumptions!C32)+(Assumptions!E33-Assumptions!D33+1)*(1+Assumptions!C33)),IF(AND(17&gt;=Assumptions!D33,17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T6" s="43">
        <f>IF(AND(18&gt;=Assumptions!D31,18&lt;=Assumptions!E31),(1+Assumptions!C31)*'Area-Cost-Calcs'!C14/((Assumptions!E31-Assumptions!D31+1)*(1+Assumptions!C31)+(Assumptions!E32-Assumptions!D32+1)*(1+Assumptions!C32)+(Assumptions!E33-Assumptions!D33+1)*(1+Assumptions!C33)),IF(AND(18&gt;=Assumptions!D32,18&lt;=Assumptions!E32),(1+Assumptions!C32)*'Area-Cost-Calcs'!C14/((Assumptions!E31-Assumptions!D31+1)*(1+Assumptions!C31)+(Assumptions!E32-Assumptions!D32+1)*(1+Assumptions!C32)+(Assumptions!E33-Assumptions!D33+1)*(1+Assumptions!C33)),IF(AND(18&gt;=Assumptions!D33,18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U6" s="43">
        <f>IF(AND(19&gt;=Assumptions!D31,19&lt;=Assumptions!E31),(1+Assumptions!C31)*'Area-Cost-Calcs'!C14/((Assumptions!E31-Assumptions!D31+1)*(1+Assumptions!C31)+(Assumptions!E32-Assumptions!D32+1)*(1+Assumptions!C32)+(Assumptions!E33-Assumptions!D33+1)*(1+Assumptions!C33)),IF(AND(19&gt;=Assumptions!D32,19&lt;=Assumptions!E32),(1+Assumptions!C32)*'Area-Cost-Calcs'!C14/((Assumptions!E31-Assumptions!D31+1)*(1+Assumptions!C31)+(Assumptions!E32-Assumptions!D32+1)*(1+Assumptions!C32)+(Assumptions!E33-Assumptions!D33+1)*(1+Assumptions!C33)),IF(AND(19&gt;=Assumptions!D33,19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V6" s="43">
        <f>IF(AND(20&gt;=Assumptions!D31,20&lt;=Assumptions!E31),(1+Assumptions!C31)*'Area-Cost-Calcs'!C14/((Assumptions!E31-Assumptions!D31+1)*(1+Assumptions!C31)+(Assumptions!E32-Assumptions!D32+1)*(1+Assumptions!C32)+(Assumptions!E33-Assumptions!D33+1)*(1+Assumptions!C33)),IF(AND(20&gt;=Assumptions!D32,20&lt;=Assumptions!E32),(1+Assumptions!C32)*'Area-Cost-Calcs'!C14/((Assumptions!E31-Assumptions!D31+1)*(1+Assumptions!C31)+(Assumptions!E32-Assumptions!D32+1)*(1+Assumptions!C32)+(Assumptions!E33-Assumptions!D33+1)*(1+Assumptions!C33)),IF(AND(20&gt;=Assumptions!D33,20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W6" s="43">
        <f>IF(AND(21&gt;=Assumptions!D31,21&lt;=Assumptions!E31),(1+Assumptions!C31)*'Area-Cost-Calcs'!C14/((Assumptions!E31-Assumptions!D31+1)*(1+Assumptions!C31)+(Assumptions!E32-Assumptions!D32+1)*(1+Assumptions!C32)+(Assumptions!E33-Assumptions!D33+1)*(1+Assumptions!C33)),IF(AND(21&gt;=Assumptions!D32,21&lt;=Assumptions!E32),(1+Assumptions!C32)*'Area-Cost-Calcs'!C14/((Assumptions!E31-Assumptions!D31+1)*(1+Assumptions!C31)+(Assumptions!E32-Assumptions!D32+1)*(1+Assumptions!C32)+(Assumptions!E33-Assumptions!D33+1)*(1+Assumptions!C33)),IF(AND(21&gt;=Assumptions!D33,21&lt;=Assumptions!E33),(1+Assumptions!C33)*'Area-Cost-Calcs'!C14/((Assumptions!E31-Assumptions!D31+1)*(1+Assumptions!C31)+(Assumptions!E32-Assumptions!D32+1)*(1+Assumptions!C32)+(Assumptions!E33-Assumptions!D33+1)*(1+Assumptions!C33)),0)))</f>
        <v>0</v>
      </c>
      <c r="X6" s="44">
        <f t="shared" ref="X6:X44" si="0">SUM(C6:W6)</f>
        <v>504000000</v>
      </c>
    </row>
    <row r="8" spans="2:24" ht="15" customHeight="1" x14ac:dyDescent="0.3">
      <c r="B8" s="39" t="s">
        <v>64</v>
      </c>
      <c r="C8" s="39"/>
      <c r="D8" s="39"/>
      <c r="E8" s="39"/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39"/>
      <c r="R8" s="39"/>
      <c r="S8" s="39"/>
      <c r="T8" s="39"/>
      <c r="U8" s="39"/>
      <c r="V8" s="39"/>
      <c r="W8" s="39"/>
      <c r="X8" s="39"/>
    </row>
    <row r="9" spans="2:24" ht="15" customHeight="1" x14ac:dyDescent="0.3">
      <c r="B9" s="45" t="s">
        <v>65</v>
      </c>
    </row>
    <row r="10" spans="2:24" ht="15" customHeight="1" x14ac:dyDescent="0.3">
      <c r="B10" s="46" t="s">
        <v>66</v>
      </c>
    </row>
    <row r="11" spans="2:24" ht="16.5" customHeight="1" x14ac:dyDescent="0.3">
      <c r="B11" s="47" t="s">
        <v>67</v>
      </c>
      <c r="C11" s="48">
        <f>IF(1=5,G6*Assumptions!C26,0)</f>
        <v>0</v>
      </c>
      <c r="D11" s="48">
        <f>IF(2=5,G6*Assumptions!C26,0)</f>
        <v>0</v>
      </c>
      <c r="E11" s="48">
        <f>IF(3=5,G6*Assumptions!C26,0)</f>
        <v>0</v>
      </c>
      <c r="F11" s="48">
        <f>IF(4=5,G6*Assumptions!C26,0)</f>
        <v>0</v>
      </c>
      <c r="G11" s="48">
        <f>IF(5=5,G6*Assumptions!C26,0)</f>
        <v>10216216.216216214</v>
      </c>
      <c r="H11" s="48">
        <f>IF(6=5,G6*Assumptions!C26,0)</f>
        <v>0</v>
      </c>
      <c r="I11" s="48">
        <f>IF(7=5,G6*Assumptions!C26,0)</f>
        <v>0</v>
      </c>
      <c r="J11" s="48">
        <f>IF(8=5,G6*Assumptions!C26,0)</f>
        <v>0</v>
      </c>
      <c r="K11" s="48">
        <f>IF(9=5,G6*Assumptions!C26,0)</f>
        <v>0</v>
      </c>
      <c r="L11" s="48">
        <f>IF(10=5,G6*Assumptions!C26,0)</f>
        <v>0</v>
      </c>
      <c r="M11" s="48">
        <f>IF(11=5,G6*Assumptions!C26,0)</f>
        <v>0</v>
      </c>
      <c r="N11" s="48">
        <f>IF(12=5,G6*Assumptions!C26,0)</f>
        <v>0</v>
      </c>
      <c r="O11" s="48">
        <f>IF(13=5,G6*Assumptions!C26,0)</f>
        <v>0</v>
      </c>
      <c r="P11" s="48">
        <f>IF(14=5,G6*Assumptions!C26,0)</f>
        <v>0</v>
      </c>
      <c r="Q11" s="48">
        <f>IF(15=5,G6*Assumptions!C26,0)</f>
        <v>0</v>
      </c>
      <c r="R11" s="48">
        <f>IF(16=5,G6*Assumptions!C26,0)</f>
        <v>0</v>
      </c>
      <c r="S11" s="48">
        <f>IF(17=5,G6*Assumptions!C26,0)</f>
        <v>0</v>
      </c>
      <c r="T11" s="48">
        <f>IF(18=5,G6*Assumptions!C26,0)</f>
        <v>0</v>
      </c>
      <c r="U11" s="48">
        <f>IF(19=5,G6*Assumptions!C26,0)</f>
        <v>0</v>
      </c>
      <c r="V11" s="48">
        <f>IF(20=5,G6*Assumptions!C26,0)</f>
        <v>0</v>
      </c>
      <c r="W11" s="48">
        <f>IF(21=5,G6*Assumptions!C26,0)</f>
        <v>0</v>
      </c>
      <c r="X11" s="49">
        <f t="shared" si="0"/>
        <v>10216216.216216214</v>
      </c>
    </row>
    <row r="12" spans="2:24" ht="16.5" customHeight="1" x14ac:dyDescent="0.3">
      <c r="B12" s="50" t="s">
        <v>68</v>
      </c>
      <c r="C12" s="51">
        <f>IF(AND(1&gt;5,1&lt;=Assumptions!C39),G6*Assumptions!C27/(Assumptions!C39-5),0)</f>
        <v>0</v>
      </c>
      <c r="D12" s="51">
        <f>IF(AND(2&gt;5,2&lt;=Assumptions!C39),G6*Assumptions!C27/(Assumptions!C39-5),0)</f>
        <v>0</v>
      </c>
      <c r="E12" s="51">
        <f>IF(AND(3&gt;5,3&lt;=Assumptions!C39),G6*Assumptions!C27/(Assumptions!C39-5),0)</f>
        <v>0</v>
      </c>
      <c r="F12" s="51">
        <f>IF(AND(4&gt;5,4&lt;=Assumptions!C39),G6*Assumptions!C27/(Assumptions!C39-5),0)</f>
        <v>0</v>
      </c>
      <c r="G12" s="51">
        <f>IF(AND(5&gt;5,5&lt;=Assumptions!C39),G6*Assumptions!C27/(Assumptions!C39-5),0)</f>
        <v>0</v>
      </c>
      <c r="H12" s="51">
        <f>IF(AND(6&gt;5,6&lt;=Assumptions!C39),G6*Assumptions!C27/(Assumptions!C39-5),0)</f>
        <v>1915540.5405405401</v>
      </c>
      <c r="I12" s="51">
        <f>IF(AND(7&gt;5,7&lt;=Assumptions!C39),G6*Assumptions!C27/(Assumptions!C39-5),0)</f>
        <v>1915540.5405405401</v>
      </c>
      <c r="J12" s="51">
        <f>IF(AND(8&gt;5,8&lt;=Assumptions!C39),G6*Assumptions!C27/(Assumptions!C39-5),0)</f>
        <v>1915540.5405405401</v>
      </c>
      <c r="K12" s="51">
        <f>IF(AND(9&gt;5,9&lt;=Assumptions!C39),G6*Assumptions!C27/(Assumptions!C39-5),0)</f>
        <v>1915540.5405405401</v>
      </c>
      <c r="L12" s="51">
        <f>IF(AND(10&gt;5,10&lt;=Assumptions!C39),G6*Assumptions!C27/(Assumptions!C39-5),0)</f>
        <v>1915540.5405405401</v>
      </c>
      <c r="M12" s="51">
        <f>IF(AND(11&gt;5,11&lt;=Assumptions!C39),G6*Assumptions!C27/(Assumptions!C39-5),0)</f>
        <v>1915540.5405405401</v>
      </c>
      <c r="N12" s="51">
        <f>IF(AND(12&gt;5,12&lt;=Assumptions!C39),G6*Assumptions!C27/(Assumptions!C39-5),0)</f>
        <v>1915540.5405405401</v>
      </c>
      <c r="O12" s="51">
        <f>IF(AND(13&gt;5,13&lt;=Assumptions!C39),G6*Assumptions!C27/(Assumptions!C39-5),0)</f>
        <v>1915540.5405405401</v>
      </c>
      <c r="P12" s="51">
        <f>IF(AND(14&gt;5,14&lt;=Assumptions!C39),G6*Assumptions!C27/(Assumptions!C39-5),0)</f>
        <v>1915540.5405405401</v>
      </c>
      <c r="Q12" s="51">
        <f>IF(AND(15&gt;5,15&lt;=Assumptions!C39),G6*Assumptions!C27/(Assumptions!C39-5),0)</f>
        <v>1915540.5405405401</v>
      </c>
      <c r="R12" s="51">
        <f>IF(AND(16&gt;5,16&lt;=Assumptions!C39),G6*Assumptions!C27/(Assumptions!C39-5),0)</f>
        <v>1915540.5405405401</v>
      </c>
      <c r="S12" s="51">
        <f>IF(AND(17&gt;5,17&lt;=Assumptions!C39),G6*Assumptions!C27/(Assumptions!C39-5),0)</f>
        <v>1915540.5405405401</v>
      </c>
      <c r="T12" s="51">
        <f>IF(AND(18&gt;5,18&lt;=Assumptions!C39),G6*Assumptions!C27/(Assumptions!C39-5),0)</f>
        <v>1915540.5405405401</v>
      </c>
      <c r="U12" s="51">
        <f>IF(AND(19&gt;5,19&lt;=Assumptions!C39),G6*Assumptions!C27/(Assumptions!C39-5),0)</f>
        <v>1915540.5405405401</v>
      </c>
      <c r="V12" s="51">
        <f>IF(AND(20&gt;5,20&lt;=Assumptions!C39),G6*Assumptions!C27/(Assumptions!C39-5),0)</f>
        <v>1915540.5405405401</v>
      </c>
      <c r="W12" s="51">
        <f>IF(AND(21&gt;5,21&lt;=Assumptions!C39),G6*Assumptions!C27/(Assumptions!C39-5),0)</f>
        <v>1915540.5405405401</v>
      </c>
      <c r="X12" s="49">
        <f t="shared" si="0"/>
        <v>30648648.648648635</v>
      </c>
    </row>
    <row r="13" spans="2:24" ht="15" customHeight="1" x14ac:dyDescent="0.3">
      <c r="B13" s="46" t="s">
        <v>69</v>
      </c>
    </row>
    <row r="14" spans="2:24" ht="16.5" customHeight="1" x14ac:dyDescent="0.3">
      <c r="B14" s="47" t="s">
        <v>67</v>
      </c>
      <c r="C14" s="48">
        <f>IF(1=6,H6*Assumptions!C26,0)</f>
        <v>0</v>
      </c>
      <c r="D14" s="48">
        <f>IF(2=6,H6*Assumptions!C26,0)</f>
        <v>0</v>
      </c>
      <c r="E14" s="48">
        <f>IF(3=6,H6*Assumptions!C26,0)</f>
        <v>0</v>
      </c>
      <c r="F14" s="48">
        <f>IF(4=6,H6*Assumptions!C26,0)</f>
        <v>0</v>
      </c>
      <c r="G14" s="48">
        <f>IF(5=6,H6*Assumptions!C26,0)</f>
        <v>0</v>
      </c>
      <c r="H14" s="48">
        <f>IF(6=6,H6*Assumptions!C26,0)</f>
        <v>10216216.216216214</v>
      </c>
      <c r="I14" s="48">
        <f>IF(7=6,H6*Assumptions!C26,0)</f>
        <v>0</v>
      </c>
      <c r="J14" s="48">
        <f>IF(8=6,H6*Assumptions!C26,0)</f>
        <v>0</v>
      </c>
      <c r="K14" s="48">
        <f>IF(9=6,H6*Assumptions!C26,0)</f>
        <v>0</v>
      </c>
      <c r="L14" s="48">
        <f>IF(10=6,H6*Assumptions!C26,0)</f>
        <v>0</v>
      </c>
      <c r="M14" s="48">
        <f>IF(11=6,H6*Assumptions!C26,0)</f>
        <v>0</v>
      </c>
      <c r="N14" s="48">
        <f>IF(12=6,H6*Assumptions!C26,0)</f>
        <v>0</v>
      </c>
      <c r="O14" s="48">
        <f>IF(13=6,H6*Assumptions!C26,0)</f>
        <v>0</v>
      </c>
      <c r="P14" s="48">
        <f>IF(14=6,H6*Assumptions!C26,0)</f>
        <v>0</v>
      </c>
      <c r="Q14" s="48">
        <f>IF(15=6,H6*Assumptions!C26,0)</f>
        <v>0</v>
      </c>
      <c r="R14" s="48">
        <f>IF(16=6,H6*Assumptions!C26,0)</f>
        <v>0</v>
      </c>
      <c r="S14" s="48">
        <f>IF(17=6,H6*Assumptions!C26,0)</f>
        <v>0</v>
      </c>
      <c r="T14" s="48">
        <f>IF(18=6,H6*Assumptions!C26,0)</f>
        <v>0</v>
      </c>
      <c r="U14" s="48">
        <f>IF(19=6,H6*Assumptions!C26,0)</f>
        <v>0</v>
      </c>
      <c r="V14" s="48">
        <f>IF(20=6,H6*Assumptions!C26,0)</f>
        <v>0</v>
      </c>
      <c r="W14" s="48">
        <f>IF(21=6,H6*Assumptions!C26,0)</f>
        <v>0</v>
      </c>
      <c r="X14" s="49">
        <f t="shared" si="0"/>
        <v>10216216.216216214</v>
      </c>
    </row>
    <row r="15" spans="2:24" ht="16.5" customHeight="1" x14ac:dyDescent="0.3">
      <c r="B15" s="50" t="s">
        <v>68</v>
      </c>
      <c r="C15" s="51">
        <f>IF(AND(1&gt;6,1&lt;=Assumptions!C39),H6*Assumptions!C27/(Assumptions!C39-6),0)</f>
        <v>0</v>
      </c>
      <c r="D15" s="51">
        <f>IF(AND(2&gt;6,2&lt;=Assumptions!C39),H6*Assumptions!C27/(Assumptions!C39-6),0)</f>
        <v>0</v>
      </c>
      <c r="E15" s="51">
        <f>IF(AND(3&gt;6,3&lt;=Assumptions!C39),H6*Assumptions!C27/(Assumptions!C39-6),0)</f>
        <v>0</v>
      </c>
      <c r="F15" s="51">
        <f>IF(AND(4&gt;6,4&lt;=Assumptions!C39),H6*Assumptions!C27/(Assumptions!C39-6),0)</f>
        <v>0</v>
      </c>
      <c r="G15" s="51">
        <f>IF(AND(5&gt;6,5&lt;=Assumptions!C39),H6*Assumptions!C27/(Assumptions!C39-6),0)</f>
        <v>0</v>
      </c>
      <c r="H15" s="51">
        <f>IF(AND(6&gt;6,6&lt;=Assumptions!C39),H6*Assumptions!C27/(Assumptions!C39-6),0)</f>
        <v>0</v>
      </c>
      <c r="I15" s="51">
        <f>IF(AND(7&gt;6,7&lt;=Assumptions!C39),H6*Assumptions!C27/(Assumptions!C39-6),0)</f>
        <v>2043243.2432432428</v>
      </c>
      <c r="J15" s="51">
        <f>IF(AND(8&gt;6,8&lt;=Assumptions!C39),H6*Assumptions!C27/(Assumptions!C39-6),0)</f>
        <v>2043243.2432432428</v>
      </c>
      <c r="K15" s="51">
        <f>IF(AND(9&gt;6,9&lt;=Assumptions!C39),H6*Assumptions!C27/(Assumptions!C39-6),0)</f>
        <v>2043243.2432432428</v>
      </c>
      <c r="L15" s="51">
        <f>IF(AND(10&gt;6,10&lt;=Assumptions!C39),H6*Assumptions!C27/(Assumptions!C39-6),0)</f>
        <v>2043243.2432432428</v>
      </c>
      <c r="M15" s="51">
        <f>IF(AND(11&gt;6,11&lt;=Assumptions!C39),H6*Assumptions!C27/(Assumptions!C39-6),0)</f>
        <v>2043243.2432432428</v>
      </c>
      <c r="N15" s="51">
        <f>IF(AND(12&gt;6,12&lt;=Assumptions!C39),H6*Assumptions!C27/(Assumptions!C39-6),0)</f>
        <v>2043243.2432432428</v>
      </c>
      <c r="O15" s="51">
        <f>IF(AND(13&gt;6,13&lt;=Assumptions!C39),H6*Assumptions!C27/(Assumptions!C39-6),0)</f>
        <v>2043243.2432432428</v>
      </c>
      <c r="P15" s="51">
        <f>IF(AND(14&gt;6,14&lt;=Assumptions!C39),H6*Assumptions!C27/(Assumptions!C39-6),0)</f>
        <v>2043243.2432432428</v>
      </c>
      <c r="Q15" s="51">
        <f>IF(AND(15&gt;6,15&lt;=Assumptions!C39),H6*Assumptions!C27/(Assumptions!C39-6),0)</f>
        <v>2043243.2432432428</v>
      </c>
      <c r="R15" s="51">
        <f>IF(AND(16&gt;6,16&lt;=Assumptions!C39),H6*Assumptions!C27/(Assumptions!C39-6),0)</f>
        <v>2043243.2432432428</v>
      </c>
      <c r="S15" s="51">
        <f>IF(AND(17&gt;6,17&lt;=Assumptions!C39),H6*Assumptions!C27/(Assumptions!C39-6),0)</f>
        <v>2043243.2432432428</v>
      </c>
      <c r="T15" s="51">
        <f>IF(AND(18&gt;6,18&lt;=Assumptions!C39),H6*Assumptions!C27/(Assumptions!C39-6),0)</f>
        <v>2043243.2432432428</v>
      </c>
      <c r="U15" s="51">
        <f>IF(AND(19&gt;6,19&lt;=Assumptions!C39),H6*Assumptions!C27/(Assumptions!C39-6),0)</f>
        <v>2043243.2432432428</v>
      </c>
      <c r="V15" s="51">
        <f>IF(AND(20&gt;6,20&lt;=Assumptions!C39),H6*Assumptions!C27/(Assumptions!C39-6),0)</f>
        <v>2043243.2432432428</v>
      </c>
      <c r="W15" s="51">
        <f>IF(AND(21&gt;6,21&lt;=Assumptions!C39),H6*Assumptions!C27/(Assumptions!C39-6),0)</f>
        <v>2043243.2432432428</v>
      </c>
      <c r="X15" s="49">
        <f t="shared" si="0"/>
        <v>30648648.648648649</v>
      </c>
    </row>
    <row r="16" spans="2:24" ht="15" customHeight="1" x14ac:dyDescent="0.3">
      <c r="B16" s="46" t="s">
        <v>70</v>
      </c>
    </row>
    <row r="17" spans="2:24" ht="16.5" customHeight="1" x14ac:dyDescent="0.3">
      <c r="B17" s="47" t="s">
        <v>67</v>
      </c>
      <c r="C17" s="48">
        <f>IF(1=7,I6*Assumptions!C26,0)</f>
        <v>0</v>
      </c>
      <c r="D17" s="48">
        <f>IF(2=7,I6*Assumptions!C26,0)</f>
        <v>0</v>
      </c>
      <c r="E17" s="48">
        <f>IF(3=7,I6*Assumptions!C26,0)</f>
        <v>0</v>
      </c>
      <c r="F17" s="48">
        <f>IF(4=7,I6*Assumptions!C26,0)</f>
        <v>0</v>
      </c>
      <c r="G17" s="48">
        <f>IF(5=7,I6*Assumptions!C26,0)</f>
        <v>0</v>
      </c>
      <c r="H17" s="48">
        <f>IF(6=7,I6*Assumptions!C26,0)</f>
        <v>0</v>
      </c>
      <c r="I17" s="48">
        <f>IF(7=7,I6*Assumptions!C26,0)</f>
        <v>11351351.351351351</v>
      </c>
      <c r="J17" s="48">
        <f>IF(8=7,I6*Assumptions!C26,0)</f>
        <v>0</v>
      </c>
      <c r="K17" s="48">
        <f>IF(9=7,I6*Assumptions!C26,0)</f>
        <v>0</v>
      </c>
      <c r="L17" s="48">
        <f>IF(10=7,I6*Assumptions!C26,0)</f>
        <v>0</v>
      </c>
      <c r="M17" s="48">
        <f>IF(11=7,I6*Assumptions!C26,0)</f>
        <v>0</v>
      </c>
      <c r="N17" s="48">
        <f>IF(12=7,I6*Assumptions!C26,0)</f>
        <v>0</v>
      </c>
      <c r="O17" s="48">
        <f>IF(13=7,I6*Assumptions!C26,0)</f>
        <v>0</v>
      </c>
      <c r="P17" s="48">
        <f>IF(14=7,I6*Assumptions!C26,0)</f>
        <v>0</v>
      </c>
      <c r="Q17" s="48">
        <f>IF(15=7,I6*Assumptions!C26,0)</f>
        <v>0</v>
      </c>
      <c r="R17" s="48">
        <f>IF(16=7,I6*Assumptions!C26,0)</f>
        <v>0</v>
      </c>
      <c r="S17" s="48">
        <f>IF(17=7,I6*Assumptions!C26,0)</f>
        <v>0</v>
      </c>
      <c r="T17" s="48">
        <f>IF(18=7,I6*Assumptions!C26,0)</f>
        <v>0</v>
      </c>
      <c r="U17" s="48">
        <f>IF(19=7,I6*Assumptions!C26,0)</f>
        <v>0</v>
      </c>
      <c r="V17" s="48">
        <f>IF(20=7,I6*Assumptions!C26,0)</f>
        <v>0</v>
      </c>
      <c r="W17" s="48">
        <f>IF(21=7,I6*Assumptions!C26,0)</f>
        <v>0</v>
      </c>
      <c r="X17" s="49">
        <f t="shared" si="0"/>
        <v>11351351.351351351</v>
      </c>
    </row>
    <row r="18" spans="2:24" ht="16.5" customHeight="1" x14ac:dyDescent="0.3">
      <c r="B18" s="50" t="s">
        <v>68</v>
      </c>
      <c r="C18" s="51">
        <f>IF(AND(1&gt;7,1&lt;=Assumptions!C39),I6*Assumptions!C27/(Assumptions!C39-7),0)</f>
        <v>0</v>
      </c>
      <c r="D18" s="51">
        <f>IF(AND(2&gt;7,2&lt;=Assumptions!C39),I6*Assumptions!C27/(Assumptions!C39-7),0)</f>
        <v>0</v>
      </c>
      <c r="E18" s="51">
        <f>IF(AND(3&gt;7,3&lt;=Assumptions!C39),I6*Assumptions!C27/(Assumptions!C39-7),0)</f>
        <v>0</v>
      </c>
      <c r="F18" s="51">
        <f>IF(AND(4&gt;7,4&lt;=Assumptions!C39),I6*Assumptions!C27/(Assumptions!C39-7),0)</f>
        <v>0</v>
      </c>
      <c r="G18" s="51">
        <f>IF(AND(5&gt;7,5&lt;=Assumptions!C39),I6*Assumptions!C27/(Assumptions!C39-7),0)</f>
        <v>0</v>
      </c>
      <c r="H18" s="51">
        <f>IF(AND(6&gt;7,6&lt;=Assumptions!C39),I6*Assumptions!C27/(Assumptions!C39-7),0)</f>
        <v>0</v>
      </c>
      <c r="I18" s="51">
        <f>IF(AND(7&gt;7,7&lt;=Assumptions!C39),I6*Assumptions!C27/(Assumptions!C39-7),0)</f>
        <v>0</v>
      </c>
      <c r="J18" s="51">
        <f>IF(AND(8&gt;7,8&lt;=Assumptions!C39),I6*Assumptions!C27/(Assumptions!C39-7),0)</f>
        <v>2432432.4324324322</v>
      </c>
      <c r="K18" s="51">
        <f>IF(AND(9&gt;7,9&lt;=Assumptions!C39),I6*Assumptions!C27/(Assumptions!C39-7),0)</f>
        <v>2432432.4324324322</v>
      </c>
      <c r="L18" s="51">
        <f>IF(AND(10&gt;7,10&lt;=Assumptions!C39),I6*Assumptions!C27/(Assumptions!C39-7),0)</f>
        <v>2432432.4324324322</v>
      </c>
      <c r="M18" s="51">
        <f>IF(AND(11&gt;7,11&lt;=Assumptions!C39),I6*Assumptions!C27/(Assumptions!C39-7),0)</f>
        <v>2432432.4324324322</v>
      </c>
      <c r="N18" s="51">
        <f>IF(AND(12&gt;7,12&lt;=Assumptions!C39),I6*Assumptions!C27/(Assumptions!C39-7),0)</f>
        <v>2432432.4324324322</v>
      </c>
      <c r="O18" s="51">
        <f>IF(AND(13&gt;7,13&lt;=Assumptions!C39),I6*Assumptions!C27/(Assumptions!C39-7),0)</f>
        <v>2432432.4324324322</v>
      </c>
      <c r="P18" s="51">
        <f>IF(AND(14&gt;7,14&lt;=Assumptions!C39),I6*Assumptions!C27/(Assumptions!C39-7),0)</f>
        <v>2432432.4324324322</v>
      </c>
      <c r="Q18" s="51">
        <f>IF(AND(15&gt;7,15&lt;=Assumptions!C39),I6*Assumptions!C27/(Assumptions!C39-7),0)</f>
        <v>2432432.4324324322</v>
      </c>
      <c r="R18" s="51">
        <f>IF(AND(16&gt;7,16&lt;=Assumptions!C39),I6*Assumptions!C27/(Assumptions!C39-7),0)</f>
        <v>2432432.4324324322</v>
      </c>
      <c r="S18" s="51">
        <f>IF(AND(17&gt;7,17&lt;=Assumptions!C39),I6*Assumptions!C27/(Assumptions!C39-7),0)</f>
        <v>2432432.4324324322</v>
      </c>
      <c r="T18" s="51">
        <f>IF(AND(18&gt;7,18&lt;=Assumptions!C39),I6*Assumptions!C27/(Assumptions!C39-7),0)</f>
        <v>2432432.4324324322</v>
      </c>
      <c r="U18" s="51">
        <f>IF(AND(19&gt;7,19&lt;=Assumptions!C39),I6*Assumptions!C27/(Assumptions!C39-7),0)</f>
        <v>2432432.4324324322</v>
      </c>
      <c r="V18" s="51">
        <f>IF(AND(20&gt;7,20&lt;=Assumptions!C39),I6*Assumptions!C27/(Assumptions!C39-7),0)</f>
        <v>2432432.4324324322</v>
      </c>
      <c r="W18" s="51">
        <f>IF(AND(21&gt;7,21&lt;=Assumptions!C39),I6*Assumptions!C27/(Assumptions!C39-7),0)</f>
        <v>2432432.4324324322</v>
      </c>
      <c r="X18" s="49">
        <f t="shared" si="0"/>
        <v>34054054.054054052</v>
      </c>
    </row>
    <row r="19" spans="2:24" ht="15" customHeight="1" x14ac:dyDescent="0.3">
      <c r="B19" s="46" t="s">
        <v>71</v>
      </c>
    </row>
    <row r="20" spans="2:24" ht="16.5" customHeight="1" x14ac:dyDescent="0.3">
      <c r="B20" s="47" t="s">
        <v>67</v>
      </c>
      <c r="C20" s="48">
        <f>IF(1=8,J6*Assumptions!C26,0)</f>
        <v>0</v>
      </c>
      <c r="D20" s="48">
        <f>IF(2=8,J6*Assumptions!C26,0)</f>
        <v>0</v>
      </c>
      <c r="E20" s="48">
        <f>IF(3=8,J6*Assumptions!C26,0)</f>
        <v>0</v>
      </c>
      <c r="F20" s="48">
        <f>IF(4=8,J6*Assumptions!C26,0)</f>
        <v>0</v>
      </c>
      <c r="G20" s="48">
        <f>IF(5=8,J6*Assumptions!C26,0)</f>
        <v>0</v>
      </c>
      <c r="H20" s="48">
        <f>IF(6=8,J6*Assumptions!C26,0)</f>
        <v>0</v>
      </c>
      <c r="I20" s="48">
        <f>IF(7=8,J6*Assumptions!C26,0)</f>
        <v>0</v>
      </c>
      <c r="J20" s="48">
        <f>IF(8=8,J6*Assumptions!C26,0)</f>
        <v>11351351.351351351</v>
      </c>
      <c r="K20" s="48">
        <f>IF(9=8,J6*Assumptions!C26,0)</f>
        <v>0</v>
      </c>
      <c r="L20" s="48">
        <f>IF(10=8,J6*Assumptions!C26,0)</f>
        <v>0</v>
      </c>
      <c r="M20" s="48">
        <f>IF(11=8,J6*Assumptions!C26,0)</f>
        <v>0</v>
      </c>
      <c r="N20" s="48">
        <f>IF(12=8,J6*Assumptions!C26,0)</f>
        <v>0</v>
      </c>
      <c r="O20" s="48">
        <f>IF(13=8,J6*Assumptions!C26,0)</f>
        <v>0</v>
      </c>
      <c r="P20" s="48">
        <f>IF(14=8,J6*Assumptions!C26,0)</f>
        <v>0</v>
      </c>
      <c r="Q20" s="48">
        <f>IF(15=8,J6*Assumptions!C26,0)</f>
        <v>0</v>
      </c>
      <c r="R20" s="48">
        <f>IF(16=8,J6*Assumptions!C26,0)</f>
        <v>0</v>
      </c>
      <c r="S20" s="48">
        <f>IF(17=8,J6*Assumptions!C26,0)</f>
        <v>0</v>
      </c>
      <c r="T20" s="48">
        <f>IF(18=8,J6*Assumptions!C26,0)</f>
        <v>0</v>
      </c>
      <c r="U20" s="48">
        <f>IF(19=8,J6*Assumptions!C26,0)</f>
        <v>0</v>
      </c>
      <c r="V20" s="48">
        <f>IF(20=8,J6*Assumptions!C26,0)</f>
        <v>0</v>
      </c>
      <c r="W20" s="48">
        <f>IF(21=8,J6*Assumptions!C26,0)</f>
        <v>0</v>
      </c>
      <c r="X20" s="49">
        <f t="shared" si="0"/>
        <v>11351351.351351351</v>
      </c>
    </row>
    <row r="21" spans="2:24" ht="16.5" customHeight="1" x14ac:dyDescent="0.3">
      <c r="B21" s="50" t="s">
        <v>68</v>
      </c>
      <c r="C21" s="51">
        <f>IF(AND(1&gt;8,1&lt;=Assumptions!C39),J6*Assumptions!C27/(Assumptions!C39-8),0)</f>
        <v>0</v>
      </c>
      <c r="D21" s="51">
        <f>IF(AND(2&gt;8,2&lt;=Assumptions!C39),J6*Assumptions!C27/(Assumptions!C39-8),0)</f>
        <v>0</v>
      </c>
      <c r="E21" s="51">
        <f>IF(AND(3&gt;8,3&lt;=Assumptions!C39),J6*Assumptions!C27/(Assumptions!C39-8),0)</f>
        <v>0</v>
      </c>
      <c r="F21" s="51">
        <f>IF(AND(4&gt;8,4&lt;=Assumptions!C39),J6*Assumptions!C27/(Assumptions!C39-8),0)</f>
        <v>0</v>
      </c>
      <c r="G21" s="51">
        <f>IF(AND(5&gt;8,5&lt;=Assumptions!C39),J6*Assumptions!C27/(Assumptions!C39-8),0)</f>
        <v>0</v>
      </c>
      <c r="H21" s="51">
        <f>IF(AND(6&gt;8,6&lt;=Assumptions!C39),J6*Assumptions!C27/(Assumptions!C39-8),0)</f>
        <v>0</v>
      </c>
      <c r="I21" s="51">
        <f>IF(AND(7&gt;8,7&lt;=Assumptions!C39),J6*Assumptions!C27/(Assumptions!C39-8),0)</f>
        <v>0</v>
      </c>
      <c r="J21" s="51">
        <f>IF(AND(8&gt;8,8&lt;=Assumptions!C39),J6*Assumptions!C27/(Assumptions!C39-8),0)</f>
        <v>0</v>
      </c>
      <c r="K21" s="51">
        <f>IF(AND(9&gt;8,9&lt;=Assumptions!C39),J6*Assumptions!C27/(Assumptions!C39-8),0)</f>
        <v>2619542.6195426192</v>
      </c>
      <c r="L21" s="51">
        <f>IF(AND(10&gt;8,10&lt;=Assumptions!C39),J6*Assumptions!C27/(Assumptions!C39-8),0)</f>
        <v>2619542.6195426192</v>
      </c>
      <c r="M21" s="51">
        <f>IF(AND(11&gt;8,11&lt;=Assumptions!C39),J6*Assumptions!C27/(Assumptions!C39-8),0)</f>
        <v>2619542.6195426192</v>
      </c>
      <c r="N21" s="51">
        <f>IF(AND(12&gt;8,12&lt;=Assumptions!C39),J6*Assumptions!C27/(Assumptions!C39-8),0)</f>
        <v>2619542.6195426192</v>
      </c>
      <c r="O21" s="51">
        <f>IF(AND(13&gt;8,13&lt;=Assumptions!C39),J6*Assumptions!C27/(Assumptions!C39-8),0)</f>
        <v>2619542.6195426192</v>
      </c>
      <c r="P21" s="51">
        <f>IF(AND(14&gt;8,14&lt;=Assumptions!C39),J6*Assumptions!C27/(Assumptions!C39-8),0)</f>
        <v>2619542.6195426192</v>
      </c>
      <c r="Q21" s="51">
        <f>IF(AND(15&gt;8,15&lt;=Assumptions!C39),J6*Assumptions!C27/(Assumptions!C39-8),0)</f>
        <v>2619542.6195426192</v>
      </c>
      <c r="R21" s="51">
        <f>IF(AND(16&gt;8,16&lt;=Assumptions!C39),J6*Assumptions!C27/(Assumptions!C39-8),0)</f>
        <v>2619542.6195426192</v>
      </c>
      <c r="S21" s="51">
        <f>IF(AND(17&gt;8,17&lt;=Assumptions!C39),J6*Assumptions!C27/(Assumptions!C39-8),0)</f>
        <v>2619542.6195426192</v>
      </c>
      <c r="T21" s="51">
        <f>IF(AND(18&gt;8,18&lt;=Assumptions!C39),J6*Assumptions!C27/(Assumptions!C39-8),0)</f>
        <v>2619542.6195426192</v>
      </c>
      <c r="U21" s="51">
        <f>IF(AND(19&gt;8,19&lt;=Assumptions!C39),J6*Assumptions!C27/(Assumptions!C39-8),0)</f>
        <v>2619542.6195426192</v>
      </c>
      <c r="V21" s="51">
        <f>IF(AND(20&gt;8,20&lt;=Assumptions!C39),J6*Assumptions!C27/(Assumptions!C39-8),0)</f>
        <v>2619542.6195426192</v>
      </c>
      <c r="W21" s="51">
        <f>IF(AND(21&gt;8,21&lt;=Assumptions!C39),J6*Assumptions!C27/(Assumptions!C39-8),0)</f>
        <v>2619542.6195426192</v>
      </c>
      <c r="X21" s="49">
        <f t="shared" si="0"/>
        <v>34054054.054054059</v>
      </c>
    </row>
    <row r="22" spans="2:24" ht="15" customHeight="1" x14ac:dyDescent="0.3">
      <c r="B22" s="46" t="s">
        <v>72</v>
      </c>
    </row>
    <row r="23" spans="2:24" ht="16.5" customHeight="1" x14ac:dyDescent="0.3">
      <c r="B23" s="47" t="s">
        <v>67</v>
      </c>
      <c r="C23" s="48">
        <f>IF(1=9,K6*Assumptions!C26,0)</f>
        <v>0</v>
      </c>
      <c r="D23" s="48">
        <f>IF(2=9,K6*Assumptions!C26,0)</f>
        <v>0</v>
      </c>
      <c r="E23" s="48">
        <f>IF(3=9,K6*Assumptions!C26,0)</f>
        <v>0</v>
      </c>
      <c r="F23" s="48">
        <f>IF(4=9,K6*Assumptions!C26,0)</f>
        <v>0</v>
      </c>
      <c r="G23" s="48">
        <f>IF(5=9,K6*Assumptions!C26,0)</f>
        <v>0</v>
      </c>
      <c r="H23" s="48">
        <f>IF(6=9,K6*Assumptions!C26,0)</f>
        <v>0</v>
      </c>
      <c r="I23" s="48">
        <f>IF(7=9,K6*Assumptions!C26,0)</f>
        <v>0</v>
      </c>
      <c r="J23" s="48">
        <f>IF(8=9,K6*Assumptions!C26,0)</f>
        <v>0</v>
      </c>
      <c r="K23" s="48">
        <f>IF(9=9,K6*Assumptions!C26,0)</f>
        <v>11351351.351351351</v>
      </c>
      <c r="L23" s="48">
        <f>IF(10=9,K6*Assumptions!C26,0)</f>
        <v>0</v>
      </c>
      <c r="M23" s="48">
        <f>IF(11=9,K6*Assumptions!C26,0)</f>
        <v>0</v>
      </c>
      <c r="N23" s="48">
        <f>IF(12=9,K6*Assumptions!C26,0)</f>
        <v>0</v>
      </c>
      <c r="O23" s="48">
        <f>IF(13=9,K6*Assumptions!C26,0)</f>
        <v>0</v>
      </c>
      <c r="P23" s="48">
        <f>IF(14=9,K6*Assumptions!C26,0)</f>
        <v>0</v>
      </c>
      <c r="Q23" s="48">
        <f>IF(15=9,K6*Assumptions!C26,0)</f>
        <v>0</v>
      </c>
      <c r="R23" s="48">
        <f>IF(16=9,K6*Assumptions!C26,0)</f>
        <v>0</v>
      </c>
      <c r="S23" s="48">
        <f>IF(17=9,K6*Assumptions!C26,0)</f>
        <v>0</v>
      </c>
      <c r="T23" s="48">
        <f>IF(18=9,K6*Assumptions!C26,0)</f>
        <v>0</v>
      </c>
      <c r="U23" s="48">
        <f>IF(19=9,K6*Assumptions!C26,0)</f>
        <v>0</v>
      </c>
      <c r="V23" s="48">
        <f>IF(20=9,K6*Assumptions!C26,0)</f>
        <v>0</v>
      </c>
      <c r="W23" s="48">
        <f>IF(21=9,K6*Assumptions!C26,0)</f>
        <v>0</v>
      </c>
      <c r="X23" s="49">
        <f t="shared" si="0"/>
        <v>11351351.351351351</v>
      </c>
    </row>
    <row r="24" spans="2:24" ht="16.5" customHeight="1" x14ac:dyDescent="0.3">
      <c r="B24" s="50" t="s">
        <v>68</v>
      </c>
      <c r="C24" s="51">
        <f>IF(AND(1&gt;9,1&lt;=Assumptions!C39),K6*Assumptions!C27/(Assumptions!C39-9),0)</f>
        <v>0</v>
      </c>
      <c r="D24" s="51">
        <f>IF(AND(2&gt;9,2&lt;=Assumptions!C39),K6*Assumptions!C27/(Assumptions!C39-9),0)</f>
        <v>0</v>
      </c>
      <c r="E24" s="51">
        <f>IF(AND(3&gt;9,3&lt;=Assumptions!C39),K6*Assumptions!C27/(Assumptions!C39-9),0)</f>
        <v>0</v>
      </c>
      <c r="F24" s="51">
        <f>IF(AND(4&gt;9,4&lt;=Assumptions!C39),K6*Assumptions!C27/(Assumptions!C39-9),0)</f>
        <v>0</v>
      </c>
      <c r="G24" s="51">
        <f>IF(AND(5&gt;9,5&lt;=Assumptions!C39),K6*Assumptions!C27/(Assumptions!C39-9),0)</f>
        <v>0</v>
      </c>
      <c r="H24" s="51">
        <f>IF(AND(6&gt;9,6&lt;=Assumptions!C39),K6*Assumptions!C27/(Assumptions!C39-9),0)</f>
        <v>0</v>
      </c>
      <c r="I24" s="51">
        <f>IF(AND(7&gt;9,7&lt;=Assumptions!C39),K6*Assumptions!C27/(Assumptions!C39-9),0)</f>
        <v>0</v>
      </c>
      <c r="J24" s="51">
        <f>IF(AND(8&gt;9,8&lt;=Assumptions!C39),K6*Assumptions!C27/(Assumptions!C39-9),0)</f>
        <v>0</v>
      </c>
      <c r="K24" s="51">
        <f>IF(AND(9&gt;9,9&lt;=Assumptions!C39),K6*Assumptions!C27/(Assumptions!C39-9),0)</f>
        <v>0</v>
      </c>
      <c r="L24" s="51">
        <f>IF(AND(10&gt;9,10&lt;=Assumptions!C39),K6*Assumptions!C27/(Assumptions!C39-9),0)</f>
        <v>2837837.8378378376</v>
      </c>
      <c r="M24" s="51">
        <f>IF(AND(11&gt;9,11&lt;=Assumptions!C39),K6*Assumptions!C27/(Assumptions!C39-9),0)</f>
        <v>2837837.8378378376</v>
      </c>
      <c r="N24" s="51">
        <f>IF(AND(12&gt;9,12&lt;=Assumptions!C39),K6*Assumptions!C27/(Assumptions!C39-9),0)</f>
        <v>2837837.8378378376</v>
      </c>
      <c r="O24" s="51">
        <f>IF(AND(13&gt;9,13&lt;=Assumptions!C39),K6*Assumptions!C27/(Assumptions!C39-9),0)</f>
        <v>2837837.8378378376</v>
      </c>
      <c r="P24" s="51">
        <f>IF(AND(14&gt;9,14&lt;=Assumptions!C39),K6*Assumptions!C27/(Assumptions!C39-9),0)</f>
        <v>2837837.8378378376</v>
      </c>
      <c r="Q24" s="51">
        <f>IF(AND(15&gt;9,15&lt;=Assumptions!C39),K6*Assumptions!C27/(Assumptions!C39-9),0)</f>
        <v>2837837.8378378376</v>
      </c>
      <c r="R24" s="51">
        <f>IF(AND(16&gt;9,16&lt;=Assumptions!C39),K6*Assumptions!C27/(Assumptions!C39-9),0)</f>
        <v>2837837.8378378376</v>
      </c>
      <c r="S24" s="51">
        <f>IF(AND(17&gt;9,17&lt;=Assumptions!C39),K6*Assumptions!C27/(Assumptions!C39-9),0)</f>
        <v>2837837.8378378376</v>
      </c>
      <c r="T24" s="51">
        <f>IF(AND(18&gt;9,18&lt;=Assumptions!C39),K6*Assumptions!C27/(Assumptions!C39-9),0)</f>
        <v>2837837.8378378376</v>
      </c>
      <c r="U24" s="51">
        <f>IF(AND(19&gt;9,19&lt;=Assumptions!C39),K6*Assumptions!C27/(Assumptions!C39-9),0)</f>
        <v>2837837.8378378376</v>
      </c>
      <c r="V24" s="51">
        <f>IF(AND(20&gt;9,20&lt;=Assumptions!C39),K6*Assumptions!C27/(Assumptions!C39-9),0)</f>
        <v>2837837.8378378376</v>
      </c>
      <c r="W24" s="51">
        <f>IF(AND(21&gt;9,21&lt;=Assumptions!C39),K6*Assumptions!C27/(Assumptions!C39-9),0)</f>
        <v>2837837.8378378376</v>
      </c>
      <c r="X24" s="49">
        <f t="shared" si="0"/>
        <v>34054054.054054052</v>
      </c>
    </row>
    <row r="25" spans="2:24" ht="15" customHeight="1" x14ac:dyDescent="0.3">
      <c r="B25" s="46" t="s">
        <v>73</v>
      </c>
    </row>
    <row r="26" spans="2:24" ht="16.5" customHeight="1" x14ac:dyDescent="0.3">
      <c r="B26" s="47" t="s">
        <v>67</v>
      </c>
      <c r="C26" s="48">
        <f>IF(1=10,L6*Assumptions!C26,0)</f>
        <v>0</v>
      </c>
      <c r="D26" s="48">
        <f>IF(2=10,L6*Assumptions!C26,0)</f>
        <v>0</v>
      </c>
      <c r="E26" s="48">
        <f>IF(3=10,L6*Assumptions!C26,0)</f>
        <v>0</v>
      </c>
      <c r="F26" s="48">
        <f>IF(4=10,L6*Assumptions!C26,0)</f>
        <v>0</v>
      </c>
      <c r="G26" s="48">
        <f>IF(5=10,L6*Assumptions!C26,0)</f>
        <v>0</v>
      </c>
      <c r="H26" s="48">
        <f>IF(6=10,L6*Assumptions!C26,0)</f>
        <v>0</v>
      </c>
      <c r="I26" s="48">
        <f>IF(7=10,L6*Assumptions!C26,0)</f>
        <v>0</v>
      </c>
      <c r="J26" s="48">
        <f>IF(8=10,L6*Assumptions!C26,0)</f>
        <v>0</v>
      </c>
      <c r="K26" s="48">
        <f>IF(9=10,L6*Assumptions!C26,0)</f>
        <v>0</v>
      </c>
      <c r="L26" s="48">
        <f>IF(10=10,L6*Assumptions!C26,0)</f>
        <v>11918918.918918917</v>
      </c>
      <c r="M26" s="48">
        <f>IF(11=10,L6*Assumptions!C26,0)</f>
        <v>0</v>
      </c>
      <c r="N26" s="48">
        <f>IF(12=10,L6*Assumptions!C26,0)</f>
        <v>0</v>
      </c>
      <c r="O26" s="48">
        <f>IF(13=10,L6*Assumptions!C26,0)</f>
        <v>0</v>
      </c>
      <c r="P26" s="48">
        <f>IF(14=10,L6*Assumptions!C26,0)</f>
        <v>0</v>
      </c>
      <c r="Q26" s="48">
        <f>IF(15=10,L6*Assumptions!C26,0)</f>
        <v>0</v>
      </c>
      <c r="R26" s="48">
        <f>IF(16=10,L6*Assumptions!C26,0)</f>
        <v>0</v>
      </c>
      <c r="S26" s="48">
        <f>IF(17=10,L6*Assumptions!C26,0)</f>
        <v>0</v>
      </c>
      <c r="T26" s="48">
        <f>IF(18=10,L6*Assumptions!C26,0)</f>
        <v>0</v>
      </c>
      <c r="U26" s="48">
        <f>IF(19=10,L6*Assumptions!C26,0)</f>
        <v>0</v>
      </c>
      <c r="V26" s="48">
        <f>IF(20=10,L6*Assumptions!C26,0)</f>
        <v>0</v>
      </c>
      <c r="W26" s="48">
        <f>IF(21=10,L6*Assumptions!C26,0)</f>
        <v>0</v>
      </c>
      <c r="X26" s="49">
        <f t="shared" si="0"/>
        <v>11918918.918918917</v>
      </c>
    </row>
    <row r="27" spans="2:24" ht="16.5" customHeight="1" x14ac:dyDescent="0.3">
      <c r="B27" s="50" t="s">
        <v>68</v>
      </c>
      <c r="C27" s="51">
        <f>IF(AND(1&gt;10,1&lt;=Assumptions!C39),L6*Assumptions!C27/(Assumptions!C39-10),0)</f>
        <v>0</v>
      </c>
      <c r="D27" s="51">
        <f>IF(AND(2&gt;10,2&lt;=Assumptions!C39),L6*Assumptions!C27/(Assumptions!C39-10),0)</f>
        <v>0</v>
      </c>
      <c r="E27" s="51">
        <f>IF(AND(3&gt;10,3&lt;=Assumptions!C39),L6*Assumptions!C27/(Assumptions!C39-10),0)</f>
        <v>0</v>
      </c>
      <c r="F27" s="51">
        <f>IF(AND(4&gt;10,4&lt;=Assumptions!C39),L6*Assumptions!C27/(Assumptions!C39-10),0)</f>
        <v>0</v>
      </c>
      <c r="G27" s="51">
        <f>IF(AND(5&gt;10,5&lt;=Assumptions!C39),L6*Assumptions!C27/(Assumptions!C39-10),0)</f>
        <v>0</v>
      </c>
      <c r="H27" s="51">
        <f>IF(AND(6&gt;10,6&lt;=Assumptions!C39),L6*Assumptions!C27/(Assumptions!C39-10),0)</f>
        <v>0</v>
      </c>
      <c r="I27" s="51">
        <f>IF(AND(7&gt;10,7&lt;=Assumptions!C39),L6*Assumptions!C27/(Assumptions!C39-10),0)</f>
        <v>0</v>
      </c>
      <c r="J27" s="51">
        <f>IF(AND(8&gt;10,8&lt;=Assumptions!C39),L6*Assumptions!C27/(Assumptions!C39-10),0)</f>
        <v>0</v>
      </c>
      <c r="K27" s="51">
        <f>IF(AND(9&gt;10,9&lt;=Assumptions!C39),L6*Assumptions!C27/(Assumptions!C39-10),0)</f>
        <v>0</v>
      </c>
      <c r="L27" s="51">
        <f>IF(AND(10&gt;10,10&lt;=Assumptions!C39),L6*Assumptions!C27/(Assumptions!C39-10),0)</f>
        <v>0</v>
      </c>
      <c r="M27" s="51">
        <f>IF(AND(11&gt;10,11&lt;=Assumptions!C39),L6*Assumptions!C27/(Assumptions!C39-10),0)</f>
        <v>3250614.2506142501</v>
      </c>
      <c r="N27" s="51">
        <f>IF(AND(12&gt;10,12&lt;=Assumptions!C39),L6*Assumptions!C27/(Assumptions!C39-10),0)</f>
        <v>3250614.2506142501</v>
      </c>
      <c r="O27" s="51">
        <f>IF(AND(13&gt;10,13&lt;=Assumptions!C39),L6*Assumptions!C27/(Assumptions!C39-10),0)</f>
        <v>3250614.2506142501</v>
      </c>
      <c r="P27" s="51">
        <f>IF(AND(14&gt;10,14&lt;=Assumptions!C39),L6*Assumptions!C27/(Assumptions!C39-10),0)</f>
        <v>3250614.2506142501</v>
      </c>
      <c r="Q27" s="51">
        <f>IF(AND(15&gt;10,15&lt;=Assumptions!C39),L6*Assumptions!C27/(Assumptions!C39-10),0)</f>
        <v>3250614.2506142501</v>
      </c>
      <c r="R27" s="51">
        <f>IF(AND(16&gt;10,16&lt;=Assumptions!C39),L6*Assumptions!C27/(Assumptions!C39-10),0)</f>
        <v>3250614.2506142501</v>
      </c>
      <c r="S27" s="51">
        <f>IF(AND(17&gt;10,17&lt;=Assumptions!C39),L6*Assumptions!C27/(Assumptions!C39-10),0)</f>
        <v>3250614.2506142501</v>
      </c>
      <c r="T27" s="51">
        <f>IF(AND(18&gt;10,18&lt;=Assumptions!C39),L6*Assumptions!C27/(Assumptions!C39-10),0)</f>
        <v>3250614.2506142501</v>
      </c>
      <c r="U27" s="51">
        <f>IF(AND(19&gt;10,19&lt;=Assumptions!C39),L6*Assumptions!C27/(Assumptions!C39-10),0)</f>
        <v>3250614.2506142501</v>
      </c>
      <c r="V27" s="51">
        <f>IF(AND(20&gt;10,20&lt;=Assumptions!C39),L6*Assumptions!C27/(Assumptions!C39-10),0)</f>
        <v>3250614.2506142501</v>
      </c>
      <c r="W27" s="51">
        <f>IF(AND(21&gt;10,21&lt;=Assumptions!C39),L6*Assumptions!C27/(Assumptions!C39-10),0)</f>
        <v>3250614.2506142501</v>
      </c>
      <c r="X27" s="49">
        <f t="shared" si="0"/>
        <v>35756756.756756745</v>
      </c>
    </row>
    <row r="28" spans="2:24" ht="15" customHeight="1" x14ac:dyDescent="0.3">
      <c r="B28" s="46" t="s">
        <v>74</v>
      </c>
    </row>
    <row r="29" spans="2:24" ht="16.5" customHeight="1" x14ac:dyDescent="0.3">
      <c r="B29" s="47" t="s">
        <v>67</v>
      </c>
      <c r="C29" s="48">
        <f>IF(1=11,M6*Assumptions!C26,0)</f>
        <v>0</v>
      </c>
      <c r="D29" s="48">
        <f>IF(2=11,M6*Assumptions!C26,0)</f>
        <v>0</v>
      </c>
      <c r="E29" s="48">
        <f>IF(3=11,M6*Assumptions!C26,0)</f>
        <v>0</v>
      </c>
      <c r="F29" s="48">
        <f>IF(4=11,M6*Assumptions!C26,0)</f>
        <v>0</v>
      </c>
      <c r="G29" s="48">
        <f>IF(5=11,M6*Assumptions!C26,0)</f>
        <v>0</v>
      </c>
      <c r="H29" s="48">
        <f>IF(6=11,M6*Assumptions!C26,0)</f>
        <v>0</v>
      </c>
      <c r="I29" s="48">
        <f>IF(7=11,M6*Assumptions!C26,0)</f>
        <v>0</v>
      </c>
      <c r="J29" s="48">
        <f>IF(8=11,M6*Assumptions!C26,0)</f>
        <v>0</v>
      </c>
      <c r="K29" s="48">
        <f>IF(9=11,M6*Assumptions!C26,0)</f>
        <v>0</v>
      </c>
      <c r="L29" s="48">
        <f>IF(10=11,M6*Assumptions!C26,0)</f>
        <v>0</v>
      </c>
      <c r="M29" s="48">
        <f>IF(11=11,M6*Assumptions!C26,0)</f>
        <v>11918918.918918917</v>
      </c>
      <c r="N29" s="48">
        <f>IF(12=11,M6*Assumptions!C26,0)</f>
        <v>0</v>
      </c>
      <c r="O29" s="48">
        <f>IF(13=11,M6*Assumptions!C26,0)</f>
        <v>0</v>
      </c>
      <c r="P29" s="48">
        <f>IF(14=11,M6*Assumptions!C26,0)</f>
        <v>0</v>
      </c>
      <c r="Q29" s="48">
        <f>IF(15=11,M6*Assumptions!C26,0)</f>
        <v>0</v>
      </c>
      <c r="R29" s="48">
        <f>IF(16=11,M6*Assumptions!C26,0)</f>
        <v>0</v>
      </c>
      <c r="S29" s="48">
        <f>IF(17=11,M6*Assumptions!C26,0)</f>
        <v>0</v>
      </c>
      <c r="T29" s="48">
        <f>IF(18=11,M6*Assumptions!C26,0)</f>
        <v>0</v>
      </c>
      <c r="U29" s="48">
        <f>IF(19=11,M6*Assumptions!C26,0)</f>
        <v>0</v>
      </c>
      <c r="V29" s="48">
        <f>IF(20=11,M6*Assumptions!C26,0)</f>
        <v>0</v>
      </c>
      <c r="W29" s="48">
        <f>IF(21=11,M6*Assumptions!C26,0)</f>
        <v>0</v>
      </c>
      <c r="X29" s="49">
        <f t="shared" si="0"/>
        <v>11918918.918918917</v>
      </c>
    </row>
    <row r="30" spans="2:24" ht="16.5" customHeight="1" x14ac:dyDescent="0.3">
      <c r="B30" s="50" t="s">
        <v>68</v>
      </c>
      <c r="C30" s="51">
        <f>IF(AND(1&gt;11,1&lt;=Assumptions!C39),M6*Assumptions!C27/(Assumptions!C39-11),0)</f>
        <v>0</v>
      </c>
      <c r="D30" s="51">
        <f>IF(AND(2&gt;11,2&lt;=Assumptions!C39),M6*Assumptions!C27/(Assumptions!C39-11),0)</f>
        <v>0</v>
      </c>
      <c r="E30" s="51">
        <f>IF(AND(3&gt;11,3&lt;=Assumptions!C39),M6*Assumptions!C27/(Assumptions!C39-11),0)</f>
        <v>0</v>
      </c>
      <c r="F30" s="51">
        <f>IF(AND(4&gt;11,4&lt;=Assumptions!C39),M6*Assumptions!C27/(Assumptions!C39-11),0)</f>
        <v>0</v>
      </c>
      <c r="G30" s="51">
        <f>IF(AND(5&gt;11,5&lt;=Assumptions!C39),M6*Assumptions!C27/(Assumptions!C39-11),0)</f>
        <v>0</v>
      </c>
      <c r="H30" s="51">
        <f>IF(AND(6&gt;11,6&lt;=Assumptions!C39),M6*Assumptions!C27/(Assumptions!C39-11),0)</f>
        <v>0</v>
      </c>
      <c r="I30" s="51">
        <f>IF(AND(7&gt;11,7&lt;=Assumptions!C39),M6*Assumptions!C27/(Assumptions!C39-11),0)</f>
        <v>0</v>
      </c>
      <c r="J30" s="51">
        <f>IF(AND(8&gt;11,8&lt;=Assumptions!C39),M6*Assumptions!C27/(Assumptions!C39-11),0)</f>
        <v>0</v>
      </c>
      <c r="K30" s="51">
        <f>IF(AND(9&gt;11,9&lt;=Assumptions!C39),M6*Assumptions!C27/(Assumptions!C39-11),0)</f>
        <v>0</v>
      </c>
      <c r="L30" s="51">
        <f>IF(AND(10&gt;11,10&lt;=Assumptions!C39),M6*Assumptions!C27/(Assumptions!C39-11),0)</f>
        <v>0</v>
      </c>
      <c r="M30" s="51">
        <f>IF(AND(11&gt;11,11&lt;=Assumptions!C39),M6*Assumptions!C27/(Assumptions!C39-11),0)</f>
        <v>0</v>
      </c>
      <c r="N30" s="51">
        <f>IF(AND(12&gt;11,12&lt;=Assumptions!C39),M6*Assumptions!C27/(Assumptions!C39-11),0)</f>
        <v>3575675.6756756753</v>
      </c>
      <c r="O30" s="51">
        <f>IF(AND(13&gt;11,13&lt;=Assumptions!C39),M6*Assumptions!C27/(Assumptions!C39-11),0)</f>
        <v>3575675.6756756753</v>
      </c>
      <c r="P30" s="51">
        <f>IF(AND(14&gt;11,14&lt;=Assumptions!C39),M6*Assumptions!C27/(Assumptions!C39-11),0)</f>
        <v>3575675.6756756753</v>
      </c>
      <c r="Q30" s="51">
        <f>IF(AND(15&gt;11,15&lt;=Assumptions!C39),M6*Assumptions!C27/(Assumptions!C39-11),0)</f>
        <v>3575675.6756756753</v>
      </c>
      <c r="R30" s="51">
        <f>IF(AND(16&gt;11,16&lt;=Assumptions!C39),M6*Assumptions!C27/(Assumptions!C39-11),0)</f>
        <v>3575675.6756756753</v>
      </c>
      <c r="S30" s="51">
        <f>IF(AND(17&gt;11,17&lt;=Assumptions!C39),M6*Assumptions!C27/(Assumptions!C39-11),0)</f>
        <v>3575675.6756756753</v>
      </c>
      <c r="T30" s="51">
        <f>IF(AND(18&gt;11,18&lt;=Assumptions!C39),M6*Assumptions!C27/(Assumptions!C39-11),0)</f>
        <v>3575675.6756756753</v>
      </c>
      <c r="U30" s="51">
        <f>IF(AND(19&gt;11,19&lt;=Assumptions!C39),M6*Assumptions!C27/(Assumptions!C39-11),0)</f>
        <v>3575675.6756756753</v>
      </c>
      <c r="V30" s="51">
        <f>IF(AND(20&gt;11,20&lt;=Assumptions!C39),M6*Assumptions!C27/(Assumptions!C39-11),0)</f>
        <v>3575675.6756756753</v>
      </c>
      <c r="W30" s="51">
        <f>IF(AND(21&gt;11,21&lt;=Assumptions!C39),M6*Assumptions!C27/(Assumptions!C39-11),0)</f>
        <v>3575675.6756756753</v>
      </c>
      <c r="X30" s="49">
        <f t="shared" si="0"/>
        <v>35756756.756756753</v>
      </c>
    </row>
    <row r="31" spans="2:24" ht="15" customHeight="1" x14ac:dyDescent="0.3">
      <c r="B31" s="46" t="s">
        <v>75</v>
      </c>
    </row>
    <row r="32" spans="2:24" ht="16.5" customHeight="1" x14ac:dyDescent="0.3">
      <c r="B32" s="47" t="s">
        <v>67</v>
      </c>
      <c r="C32" s="48">
        <f>IF(1=12,N6*Assumptions!C26,0)</f>
        <v>0</v>
      </c>
      <c r="D32" s="48">
        <f>IF(2=12,N6*Assumptions!C26,0)</f>
        <v>0</v>
      </c>
      <c r="E32" s="48">
        <f>IF(3=12,N6*Assumptions!C26,0)</f>
        <v>0</v>
      </c>
      <c r="F32" s="48">
        <f>IF(4=12,N6*Assumptions!C26,0)</f>
        <v>0</v>
      </c>
      <c r="G32" s="48">
        <f>IF(5=12,N6*Assumptions!C26,0)</f>
        <v>0</v>
      </c>
      <c r="H32" s="48">
        <f>IF(6=12,N6*Assumptions!C26,0)</f>
        <v>0</v>
      </c>
      <c r="I32" s="48">
        <f>IF(7=12,N6*Assumptions!C26,0)</f>
        <v>0</v>
      </c>
      <c r="J32" s="48">
        <f>IF(8=12,N6*Assumptions!C26,0)</f>
        <v>0</v>
      </c>
      <c r="K32" s="48">
        <f>IF(9=12,N6*Assumptions!C26,0)</f>
        <v>0</v>
      </c>
      <c r="L32" s="48">
        <f>IF(10=12,N6*Assumptions!C26,0)</f>
        <v>0</v>
      </c>
      <c r="M32" s="48">
        <f>IF(11=12,N6*Assumptions!C26,0)</f>
        <v>0</v>
      </c>
      <c r="N32" s="48">
        <f>IF(12=12,N6*Assumptions!C26,0)</f>
        <v>11918918.918918917</v>
      </c>
      <c r="O32" s="48">
        <f>IF(13=12,N6*Assumptions!C26,0)</f>
        <v>0</v>
      </c>
      <c r="P32" s="48">
        <f>IF(14=12,N6*Assumptions!C26,0)</f>
        <v>0</v>
      </c>
      <c r="Q32" s="48">
        <f>IF(15=12,N6*Assumptions!C26,0)</f>
        <v>0</v>
      </c>
      <c r="R32" s="48">
        <f>IF(16=12,N6*Assumptions!C26,0)</f>
        <v>0</v>
      </c>
      <c r="S32" s="48">
        <f>IF(17=12,N6*Assumptions!C26,0)</f>
        <v>0</v>
      </c>
      <c r="T32" s="48">
        <f>IF(18=12,N6*Assumptions!C26,0)</f>
        <v>0</v>
      </c>
      <c r="U32" s="48">
        <f>IF(19=12,N6*Assumptions!C26,0)</f>
        <v>0</v>
      </c>
      <c r="V32" s="48">
        <f>IF(20=12,N6*Assumptions!C26,0)</f>
        <v>0</v>
      </c>
      <c r="W32" s="48">
        <f>IF(21=12,N6*Assumptions!C26,0)</f>
        <v>0</v>
      </c>
      <c r="X32" s="49">
        <f t="shared" si="0"/>
        <v>11918918.918918917</v>
      </c>
    </row>
    <row r="33" spans="2:24" ht="16.5" customHeight="1" x14ac:dyDescent="0.3">
      <c r="B33" s="50" t="s">
        <v>68</v>
      </c>
      <c r="C33" s="51">
        <f>IF(AND(1&gt;12,1&lt;=Assumptions!C39),N6*Assumptions!C27/(Assumptions!C39-12),0)</f>
        <v>0</v>
      </c>
      <c r="D33" s="51">
        <f>IF(AND(2&gt;12,2&lt;=Assumptions!C39),N6*Assumptions!C27/(Assumptions!C39-12),0)</f>
        <v>0</v>
      </c>
      <c r="E33" s="51">
        <f>IF(AND(3&gt;12,3&lt;=Assumptions!C39),N6*Assumptions!C27/(Assumptions!C39-12),0)</f>
        <v>0</v>
      </c>
      <c r="F33" s="51">
        <f>IF(AND(4&gt;12,4&lt;=Assumptions!C39),N6*Assumptions!C27/(Assumptions!C39-12),0)</f>
        <v>0</v>
      </c>
      <c r="G33" s="51">
        <f>IF(AND(5&gt;12,5&lt;=Assumptions!C39),N6*Assumptions!C27/(Assumptions!C39-12),0)</f>
        <v>0</v>
      </c>
      <c r="H33" s="51">
        <f>IF(AND(6&gt;12,6&lt;=Assumptions!C39),N6*Assumptions!C27/(Assumptions!C39-12),0)</f>
        <v>0</v>
      </c>
      <c r="I33" s="51">
        <f>IF(AND(7&gt;12,7&lt;=Assumptions!C39),N6*Assumptions!C27/(Assumptions!C39-12),0)</f>
        <v>0</v>
      </c>
      <c r="J33" s="51">
        <f>IF(AND(8&gt;12,8&lt;=Assumptions!C39),N6*Assumptions!C27/(Assumptions!C39-12),0)</f>
        <v>0</v>
      </c>
      <c r="K33" s="51">
        <f>IF(AND(9&gt;12,9&lt;=Assumptions!C39),N6*Assumptions!C27/(Assumptions!C39-12),0)</f>
        <v>0</v>
      </c>
      <c r="L33" s="51">
        <f>IF(AND(10&gt;12,10&lt;=Assumptions!C39),N6*Assumptions!C27/(Assumptions!C39-12),0)</f>
        <v>0</v>
      </c>
      <c r="M33" s="51">
        <f>IF(AND(11&gt;12,11&lt;=Assumptions!C39),N6*Assumptions!C27/(Assumptions!C39-12),0)</f>
        <v>0</v>
      </c>
      <c r="N33" s="51">
        <f>IF(AND(12&gt;12,12&lt;=Assumptions!C39),N6*Assumptions!C27/(Assumptions!C39-12),0)</f>
        <v>0</v>
      </c>
      <c r="O33" s="51">
        <f>IF(AND(13&gt;12,13&lt;=Assumptions!C39),N6*Assumptions!C27/(Assumptions!C39-12),0)</f>
        <v>3972972.9729729723</v>
      </c>
      <c r="P33" s="51">
        <f>IF(AND(14&gt;12,14&lt;=Assumptions!C39),N6*Assumptions!C27/(Assumptions!C39-12),0)</f>
        <v>3972972.9729729723</v>
      </c>
      <c r="Q33" s="51">
        <f>IF(AND(15&gt;12,15&lt;=Assumptions!C39),N6*Assumptions!C27/(Assumptions!C39-12),0)</f>
        <v>3972972.9729729723</v>
      </c>
      <c r="R33" s="51">
        <f>IF(AND(16&gt;12,16&lt;=Assumptions!C39),N6*Assumptions!C27/(Assumptions!C39-12),0)</f>
        <v>3972972.9729729723</v>
      </c>
      <c r="S33" s="51">
        <f>IF(AND(17&gt;12,17&lt;=Assumptions!C39),N6*Assumptions!C27/(Assumptions!C39-12),0)</f>
        <v>3972972.9729729723</v>
      </c>
      <c r="T33" s="51">
        <f>IF(AND(18&gt;12,18&lt;=Assumptions!C39),N6*Assumptions!C27/(Assumptions!C39-12),0)</f>
        <v>3972972.9729729723</v>
      </c>
      <c r="U33" s="51">
        <f>IF(AND(19&gt;12,19&lt;=Assumptions!C39),N6*Assumptions!C27/(Assumptions!C39-12),0)</f>
        <v>3972972.9729729723</v>
      </c>
      <c r="V33" s="51">
        <f>IF(AND(20&gt;12,20&lt;=Assumptions!C39),N6*Assumptions!C27/(Assumptions!C39-12),0)</f>
        <v>3972972.9729729723</v>
      </c>
      <c r="W33" s="51">
        <f>IF(AND(21&gt;12,21&lt;=Assumptions!C39),N6*Assumptions!C27/(Assumptions!C39-12),0)</f>
        <v>3972972.9729729723</v>
      </c>
      <c r="X33" s="49">
        <f t="shared" si="0"/>
        <v>35756756.75675676</v>
      </c>
    </row>
    <row r="34" spans="2:24" ht="15" customHeight="1" x14ac:dyDescent="0.3">
      <c r="B34" s="46" t="s">
        <v>76</v>
      </c>
    </row>
    <row r="35" spans="2:24" ht="16.5" customHeight="1" x14ac:dyDescent="0.3">
      <c r="B35" s="47" t="s">
        <v>67</v>
      </c>
      <c r="C35" s="48">
        <f>IF(1=13,O6*Assumptions!C26,0)</f>
        <v>0</v>
      </c>
      <c r="D35" s="48">
        <f>IF(2=13,O6*Assumptions!C26,0)</f>
        <v>0</v>
      </c>
      <c r="E35" s="48">
        <f>IF(3=13,O6*Assumptions!C26,0)</f>
        <v>0</v>
      </c>
      <c r="F35" s="48">
        <f>IF(4=13,O6*Assumptions!C26,0)</f>
        <v>0</v>
      </c>
      <c r="G35" s="48">
        <f>IF(5=13,O6*Assumptions!C26,0)</f>
        <v>0</v>
      </c>
      <c r="H35" s="48">
        <f>IF(6=13,O6*Assumptions!C26,0)</f>
        <v>0</v>
      </c>
      <c r="I35" s="48">
        <f>IF(7=13,O6*Assumptions!C26,0)</f>
        <v>0</v>
      </c>
      <c r="J35" s="48">
        <f>IF(8=13,O6*Assumptions!C26,0)</f>
        <v>0</v>
      </c>
      <c r="K35" s="48">
        <f>IF(9=13,O6*Assumptions!C26,0)</f>
        <v>0</v>
      </c>
      <c r="L35" s="48">
        <f>IF(10=13,O6*Assumptions!C26,0)</f>
        <v>0</v>
      </c>
      <c r="M35" s="48">
        <f>IF(11=13,O6*Assumptions!C26,0)</f>
        <v>0</v>
      </c>
      <c r="N35" s="48">
        <f>IF(12=13,O6*Assumptions!C26,0)</f>
        <v>0</v>
      </c>
      <c r="O35" s="48">
        <f>IF(13=13,O6*Assumptions!C26,0)</f>
        <v>11918918.918918917</v>
      </c>
      <c r="P35" s="48">
        <f>IF(14=13,O6*Assumptions!C26,0)</f>
        <v>0</v>
      </c>
      <c r="Q35" s="48">
        <f>IF(15=13,O6*Assumptions!C26,0)</f>
        <v>0</v>
      </c>
      <c r="R35" s="48">
        <f>IF(16=13,O6*Assumptions!C26,0)</f>
        <v>0</v>
      </c>
      <c r="S35" s="48">
        <f>IF(17=13,O6*Assumptions!C26,0)</f>
        <v>0</v>
      </c>
      <c r="T35" s="48">
        <f>IF(18=13,O6*Assumptions!C26,0)</f>
        <v>0</v>
      </c>
      <c r="U35" s="48">
        <f>IF(19=13,O6*Assumptions!C26,0)</f>
        <v>0</v>
      </c>
      <c r="V35" s="48">
        <f>IF(20=13,O6*Assumptions!C26,0)</f>
        <v>0</v>
      </c>
      <c r="W35" s="48">
        <f>IF(21=13,O6*Assumptions!C26,0)</f>
        <v>0</v>
      </c>
      <c r="X35" s="49">
        <f t="shared" si="0"/>
        <v>11918918.918918917</v>
      </c>
    </row>
    <row r="36" spans="2:24" ht="16.5" customHeight="1" x14ac:dyDescent="0.3">
      <c r="B36" s="50" t="s">
        <v>68</v>
      </c>
      <c r="C36" s="51">
        <f>IF(AND(1&gt;13,1&lt;=Assumptions!C39),O6*Assumptions!C27/(Assumptions!C39-13),0)</f>
        <v>0</v>
      </c>
      <c r="D36" s="51">
        <f>IF(AND(2&gt;13,2&lt;=Assumptions!C39),O6*Assumptions!C27/(Assumptions!C39-13),0)</f>
        <v>0</v>
      </c>
      <c r="E36" s="51">
        <f>IF(AND(3&gt;13,3&lt;=Assumptions!C39),O6*Assumptions!C27/(Assumptions!C39-13),0)</f>
        <v>0</v>
      </c>
      <c r="F36" s="51">
        <f>IF(AND(4&gt;13,4&lt;=Assumptions!C39),O6*Assumptions!C27/(Assumptions!C39-13),0)</f>
        <v>0</v>
      </c>
      <c r="G36" s="51">
        <f>IF(AND(5&gt;13,5&lt;=Assumptions!C39),O6*Assumptions!C27/(Assumptions!C39-13),0)</f>
        <v>0</v>
      </c>
      <c r="H36" s="51">
        <f>IF(AND(6&gt;13,6&lt;=Assumptions!C39),O6*Assumptions!C27/(Assumptions!C39-13),0)</f>
        <v>0</v>
      </c>
      <c r="I36" s="51">
        <f>IF(AND(7&gt;13,7&lt;=Assumptions!C39),O6*Assumptions!C27/(Assumptions!C39-13),0)</f>
        <v>0</v>
      </c>
      <c r="J36" s="51">
        <f>IF(AND(8&gt;13,8&lt;=Assumptions!C39),O6*Assumptions!C27/(Assumptions!C39-13),0)</f>
        <v>0</v>
      </c>
      <c r="K36" s="51">
        <f>IF(AND(9&gt;13,9&lt;=Assumptions!C39),O6*Assumptions!C27/(Assumptions!C39-13),0)</f>
        <v>0</v>
      </c>
      <c r="L36" s="51">
        <f>IF(AND(10&gt;13,10&lt;=Assumptions!C39),O6*Assumptions!C27/(Assumptions!C39-13),0)</f>
        <v>0</v>
      </c>
      <c r="M36" s="51">
        <f>IF(AND(11&gt;13,11&lt;=Assumptions!C39),O6*Assumptions!C27/(Assumptions!C39-13),0)</f>
        <v>0</v>
      </c>
      <c r="N36" s="51">
        <f>IF(AND(12&gt;13,12&lt;=Assumptions!C39),O6*Assumptions!C27/(Assumptions!C39-13),0)</f>
        <v>0</v>
      </c>
      <c r="O36" s="51">
        <f>IF(AND(13&gt;13,13&lt;=Assumptions!C39),O6*Assumptions!C27/(Assumptions!C39-13),0)</f>
        <v>0</v>
      </c>
      <c r="P36" s="51">
        <f>IF(AND(14&gt;13,14&lt;=Assumptions!C39),O6*Assumptions!C27/(Assumptions!C39-13),0)</f>
        <v>4469594.5945945941</v>
      </c>
      <c r="Q36" s="51">
        <f>IF(AND(15&gt;13,15&lt;=Assumptions!C39),O6*Assumptions!C27/(Assumptions!C39-13),0)</f>
        <v>4469594.5945945941</v>
      </c>
      <c r="R36" s="51">
        <f>IF(AND(16&gt;13,16&lt;=Assumptions!C39),O6*Assumptions!C27/(Assumptions!C39-13),0)</f>
        <v>4469594.5945945941</v>
      </c>
      <c r="S36" s="51">
        <f>IF(AND(17&gt;13,17&lt;=Assumptions!C39),O6*Assumptions!C27/(Assumptions!C39-13),0)</f>
        <v>4469594.5945945941</v>
      </c>
      <c r="T36" s="51">
        <f>IF(AND(18&gt;13,18&lt;=Assumptions!C39),O6*Assumptions!C27/(Assumptions!C39-13),0)</f>
        <v>4469594.5945945941</v>
      </c>
      <c r="U36" s="51">
        <f>IF(AND(19&gt;13,19&lt;=Assumptions!C39),O6*Assumptions!C27/(Assumptions!C39-13),0)</f>
        <v>4469594.5945945941</v>
      </c>
      <c r="V36" s="51">
        <f>IF(AND(20&gt;13,20&lt;=Assumptions!C39),O6*Assumptions!C27/(Assumptions!C39-13),0)</f>
        <v>4469594.5945945941</v>
      </c>
      <c r="W36" s="51">
        <f>IF(AND(21&gt;13,21&lt;=Assumptions!C39),O6*Assumptions!C27/(Assumptions!C39-13),0)</f>
        <v>4469594.5945945941</v>
      </c>
      <c r="X36" s="49">
        <f t="shared" si="0"/>
        <v>35756756.756756753</v>
      </c>
    </row>
    <row r="37" spans="2:24" ht="15" customHeight="1" x14ac:dyDescent="0.3">
      <c r="B37" s="46" t="s">
        <v>77</v>
      </c>
    </row>
    <row r="38" spans="2:24" ht="16.5" customHeight="1" x14ac:dyDescent="0.3">
      <c r="B38" s="47" t="s">
        <v>67</v>
      </c>
      <c r="C38" s="48">
        <f>IF(1=14,P6*Assumptions!C26,0)</f>
        <v>0</v>
      </c>
      <c r="D38" s="48">
        <f>IF(2=14,P6*Assumptions!C26,0)</f>
        <v>0</v>
      </c>
      <c r="E38" s="48">
        <f>IF(3=14,P6*Assumptions!C26,0)</f>
        <v>0</v>
      </c>
      <c r="F38" s="48">
        <f>IF(4=14,P6*Assumptions!C26,0)</f>
        <v>0</v>
      </c>
      <c r="G38" s="48">
        <f>IF(5=14,P6*Assumptions!C26,0)</f>
        <v>0</v>
      </c>
      <c r="H38" s="48">
        <f>IF(6=14,P6*Assumptions!C26,0)</f>
        <v>0</v>
      </c>
      <c r="I38" s="48">
        <f>IF(7=14,P6*Assumptions!C26,0)</f>
        <v>0</v>
      </c>
      <c r="J38" s="48">
        <f>IF(8=14,P6*Assumptions!C26,0)</f>
        <v>0</v>
      </c>
      <c r="K38" s="48">
        <f>IF(9=14,P6*Assumptions!C26,0)</f>
        <v>0</v>
      </c>
      <c r="L38" s="48">
        <f>IF(10=14,P6*Assumptions!C26,0)</f>
        <v>0</v>
      </c>
      <c r="M38" s="48">
        <f>IF(11=14,P6*Assumptions!C26,0)</f>
        <v>0</v>
      </c>
      <c r="N38" s="48">
        <f>IF(12=14,P6*Assumptions!C26,0)</f>
        <v>0</v>
      </c>
      <c r="O38" s="48">
        <f>IF(13=14,P6*Assumptions!C26,0)</f>
        <v>0</v>
      </c>
      <c r="P38" s="48">
        <f>IF(14=14,P6*Assumptions!C26,0)</f>
        <v>11918918.918918917</v>
      </c>
      <c r="Q38" s="48">
        <f>IF(15=14,P6*Assumptions!C26,0)</f>
        <v>0</v>
      </c>
      <c r="R38" s="48">
        <f>IF(16=14,P6*Assumptions!C26,0)</f>
        <v>0</v>
      </c>
      <c r="S38" s="48">
        <f>IF(17=14,P6*Assumptions!C26,0)</f>
        <v>0</v>
      </c>
      <c r="T38" s="48">
        <f>IF(18=14,P6*Assumptions!C26,0)</f>
        <v>0</v>
      </c>
      <c r="U38" s="48">
        <f>IF(19=14,P6*Assumptions!C26,0)</f>
        <v>0</v>
      </c>
      <c r="V38" s="48">
        <f>IF(20=14,P6*Assumptions!C26,0)</f>
        <v>0</v>
      </c>
      <c r="W38" s="48">
        <f>IF(21=14,P6*Assumptions!C26,0)</f>
        <v>0</v>
      </c>
      <c r="X38" s="49">
        <f t="shared" si="0"/>
        <v>11918918.918918917</v>
      </c>
    </row>
    <row r="39" spans="2:24" ht="16.5" customHeight="1" x14ac:dyDescent="0.3">
      <c r="B39" s="50" t="s">
        <v>68</v>
      </c>
      <c r="C39" s="51">
        <f>IF(AND(1&gt;14,1&lt;=Assumptions!C39),P6*Assumptions!C27/(Assumptions!C39-14),0)</f>
        <v>0</v>
      </c>
      <c r="D39" s="51">
        <f>IF(AND(2&gt;14,2&lt;=Assumptions!C39),P6*Assumptions!C27/(Assumptions!C39-14),0)</f>
        <v>0</v>
      </c>
      <c r="E39" s="51">
        <f>IF(AND(3&gt;14,3&lt;=Assumptions!C39),P6*Assumptions!C27/(Assumptions!C39-14),0)</f>
        <v>0</v>
      </c>
      <c r="F39" s="51">
        <f>IF(AND(4&gt;14,4&lt;=Assumptions!C39),P6*Assumptions!C27/(Assumptions!C39-14),0)</f>
        <v>0</v>
      </c>
      <c r="G39" s="51">
        <f>IF(AND(5&gt;14,5&lt;=Assumptions!C39),P6*Assumptions!C27/(Assumptions!C39-14),0)</f>
        <v>0</v>
      </c>
      <c r="H39" s="51">
        <f>IF(AND(6&gt;14,6&lt;=Assumptions!C39),P6*Assumptions!C27/(Assumptions!C39-14),0)</f>
        <v>0</v>
      </c>
      <c r="I39" s="51">
        <f>IF(AND(7&gt;14,7&lt;=Assumptions!C39),P6*Assumptions!C27/(Assumptions!C39-14),0)</f>
        <v>0</v>
      </c>
      <c r="J39" s="51">
        <f>IF(AND(8&gt;14,8&lt;=Assumptions!C39),P6*Assumptions!C27/(Assumptions!C39-14),0)</f>
        <v>0</v>
      </c>
      <c r="K39" s="51">
        <f>IF(AND(9&gt;14,9&lt;=Assumptions!C39),P6*Assumptions!C27/(Assumptions!C39-14),0)</f>
        <v>0</v>
      </c>
      <c r="L39" s="51">
        <f>IF(AND(10&gt;14,10&lt;=Assumptions!C39),P6*Assumptions!C27/(Assumptions!C39-14),0)</f>
        <v>0</v>
      </c>
      <c r="M39" s="51">
        <f>IF(AND(11&gt;14,11&lt;=Assumptions!C39),P6*Assumptions!C27/(Assumptions!C39-14),0)</f>
        <v>0</v>
      </c>
      <c r="N39" s="51">
        <f>IF(AND(12&gt;14,12&lt;=Assumptions!C39),P6*Assumptions!C27/(Assumptions!C39-14),0)</f>
        <v>0</v>
      </c>
      <c r="O39" s="51">
        <f>IF(AND(13&gt;14,13&lt;=Assumptions!C39),P6*Assumptions!C27/(Assumptions!C39-14),0)</f>
        <v>0</v>
      </c>
      <c r="P39" s="51">
        <f>IF(AND(14&gt;14,14&lt;=Assumptions!C39),P6*Assumptions!C27/(Assumptions!C39-14),0)</f>
        <v>0</v>
      </c>
      <c r="Q39" s="51">
        <f>IF(AND(15&gt;14,15&lt;=Assumptions!C39),P6*Assumptions!C27/(Assumptions!C39-14),0)</f>
        <v>5108108.1081081079</v>
      </c>
      <c r="R39" s="51">
        <f>IF(AND(16&gt;14,16&lt;=Assumptions!C39),P6*Assumptions!C27/(Assumptions!C39-14),0)</f>
        <v>5108108.1081081079</v>
      </c>
      <c r="S39" s="51">
        <f>IF(AND(17&gt;14,17&lt;=Assumptions!C39),P6*Assumptions!C27/(Assumptions!C39-14),0)</f>
        <v>5108108.1081081079</v>
      </c>
      <c r="T39" s="51">
        <f>IF(AND(18&gt;14,18&lt;=Assumptions!C39),P6*Assumptions!C27/(Assumptions!C39-14),0)</f>
        <v>5108108.1081081079</v>
      </c>
      <c r="U39" s="51">
        <f>IF(AND(19&gt;14,19&lt;=Assumptions!C39),P6*Assumptions!C27/(Assumptions!C39-14),0)</f>
        <v>5108108.1081081079</v>
      </c>
      <c r="V39" s="51">
        <f>IF(AND(20&gt;14,20&lt;=Assumptions!C39),P6*Assumptions!C27/(Assumptions!C39-14),0)</f>
        <v>5108108.1081081079</v>
      </c>
      <c r="W39" s="51">
        <f>IF(AND(21&gt;14,21&lt;=Assumptions!C39),P6*Assumptions!C27/(Assumptions!C39-14),0)</f>
        <v>5108108.1081081079</v>
      </c>
      <c r="X39" s="49">
        <f t="shared" si="0"/>
        <v>35756756.756756753</v>
      </c>
    </row>
    <row r="40" spans="2:24" ht="15" customHeight="1" x14ac:dyDescent="0.3">
      <c r="B40" s="46" t="s">
        <v>78</v>
      </c>
    </row>
    <row r="41" spans="2:24" ht="16.5" customHeight="1" x14ac:dyDescent="0.3">
      <c r="B41" s="47" t="s">
        <v>67</v>
      </c>
      <c r="C41" s="48">
        <f>IF(1=15,Q6*Assumptions!C26,0)</f>
        <v>0</v>
      </c>
      <c r="D41" s="48">
        <f>IF(2=15,Q6*Assumptions!C26,0)</f>
        <v>0</v>
      </c>
      <c r="E41" s="48">
        <f>IF(3=15,Q6*Assumptions!C26,0)</f>
        <v>0</v>
      </c>
      <c r="F41" s="48">
        <f>IF(4=15,Q6*Assumptions!C26,0)</f>
        <v>0</v>
      </c>
      <c r="G41" s="48">
        <f>IF(5=15,Q6*Assumptions!C26,0)</f>
        <v>0</v>
      </c>
      <c r="H41" s="48">
        <f>IF(6=15,Q6*Assumptions!C26,0)</f>
        <v>0</v>
      </c>
      <c r="I41" s="48">
        <f>IF(7=15,Q6*Assumptions!C26,0)</f>
        <v>0</v>
      </c>
      <c r="J41" s="48">
        <f>IF(8=15,Q6*Assumptions!C26,0)</f>
        <v>0</v>
      </c>
      <c r="K41" s="48">
        <f>IF(9=15,Q6*Assumptions!C26,0)</f>
        <v>0</v>
      </c>
      <c r="L41" s="48">
        <f>IF(10=15,Q6*Assumptions!C26,0)</f>
        <v>0</v>
      </c>
      <c r="M41" s="48">
        <f>IF(11=15,Q6*Assumptions!C26,0)</f>
        <v>0</v>
      </c>
      <c r="N41" s="48">
        <f>IF(12=15,Q6*Assumptions!C26,0)</f>
        <v>0</v>
      </c>
      <c r="O41" s="48">
        <f>IF(13=15,Q6*Assumptions!C26,0)</f>
        <v>0</v>
      </c>
      <c r="P41" s="48">
        <f>IF(14=15,Q6*Assumptions!C26,0)</f>
        <v>0</v>
      </c>
      <c r="Q41" s="48">
        <f>IF(15=15,Q6*Assumptions!C26,0)</f>
        <v>11918918.918918917</v>
      </c>
      <c r="R41" s="48">
        <f>IF(16=15,Q6*Assumptions!C26,0)</f>
        <v>0</v>
      </c>
      <c r="S41" s="48">
        <f>IF(17=15,Q6*Assumptions!C26,0)</f>
        <v>0</v>
      </c>
      <c r="T41" s="48">
        <f>IF(18=15,Q6*Assumptions!C26,0)</f>
        <v>0</v>
      </c>
      <c r="U41" s="48">
        <f>IF(19=15,Q6*Assumptions!C26,0)</f>
        <v>0</v>
      </c>
      <c r="V41" s="48">
        <f>IF(20=15,Q6*Assumptions!C26,0)</f>
        <v>0</v>
      </c>
      <c r="W41" s="48">
        <f>IF(21=15,Q6*Assumptions!C26,0)</f>
        <v>0</v>
      </c>
      <c r="X41" s="49">
        <f t="shared" si="0"/>
        <v>11918918.918918917</v>
      </c>
    </row>
    <row r="42" spans="2:24" ht="16.5" customHeight="1" x14ac:dyDescent="0.3">
      <c r="B42" s="50" t="s">
        <v>68</v>
      </c>
      <c r="C42" s="51">
        <f>IF(AND(1&gt;15,1&lt;=Assumptions!C39),Q6*Assumptions!C27/(Assumptions!C39-15),0)</f>
        <v>0</v>
      </c>
      <c r="D42" s="51">
        <f>IF(AND(2&gt;15,2&lt;=Assumptions!C39),Q6*Assumptions!C27/(Assumptions!C39-15),0)</f>
        <v>0</v>
      </c>
      <c r="E42" s="51">
        <f>IF(AND(3&gt;15,3&lt;=Assumptions!C39),Q6*Assumptions!C27/(Assumptions!C39-15),0)</f>
        <v>0</v>
      </c>
      <c r="F42" s="51">
        <f>IF(AND(4&gt;15,4&lt;=Assumptions!C39),Q6*Assumptions!C27/(Assumptions!C39-15),0)</f>
        <v>0</v>
      </c>
      <c r="G42" s="51">
        <f>IF(AND(5&gt;15,5&lt;=Assumptions!C39),Q6*Assumptions!C27/(Assumptions!C39-15),0)</f>
        <v>0</v>
      </c>
      <c r="H42" s="51">
        <f>IF(AND(6&gt;15,6&lt;=Assumptions!C39),Q6*Assumptions!C27/(Assumptions!C39-15),0)</f>
        <v>0</v>
      </c>
      <c r="I42" s="51">
        <f>IF(AND(7&gt;15,7&lt;=Assumptions!C39),Q6*Assumptions!C27/(Assumptions!C39-15),0)</f>
        <v>0</v>
      </c>
      <c r="J42" s="51">
        <f>IF(AND(8&gt;15,8&lt;=Assumptions!C39),Q6*Assumptions!C27/(Assumptions!C39-15),0)</f>
        <v>0</v>
      </c>
      <c r="K42" s="51">
        <f>IF(AND(9&gt;15,9&lt;=Assumptions!C39),Q6*Assumptions!C27/(Assumptions!C39-15),0)</f>
        <v>0</v>
      </c>
      <c r="L42" s="51">
        <f>IF(AND(10&gt;15,10&lt;=Assumptions!C39),Q6*Assumptions!C27/(Assumptions!C39-15),0)</f>
        <v>0</v>
      </c>
      <c r="M42" s="51">
        <f>IF(AND(11&gt;15,11&lt;=Assumptions!C39),Q6*Assumptions!C27/(Assumptions!C39-15),0)</f>
        <v>0</v>
      </c>
      <c r="N42" s="51">
        <f>IF(AND(12&gt;15,12&lt;=Assumptions!C39),Q6*Assumptions!C27/(Assumptions!C39-15),0)</f>
        <v>0</v>
      </c>
      <c r="O42" s="51">
        <f>IF(AND(13&gt;15,13&lt;=Assumptions!C39),Q6*Assumptions!C27/(Assumptions!C39-15),0)</f>
        <v>0</v>
      </c>
      <c r="P42" s="51">
        <f>IF(AND(14&gt;15,14&lt;=Assumptions!C39),Q6*Assumptions!C27/(Assumptions!C39-15),0)</f>
        <v>0</v>
      </c>
      <c r="Q42" s="51">
        <f>IF(AND(15&gt;15,15&lt;=Assumptions!C39),Q6*Assumptions!C27/(Assumptions!C39-15),0)</f>
        <v>0</v>
      </c>
      <c r="R42" s="51">
        <f>IF(AND(16&gt;15,16&lt;=Assumptions!C39),Q6*Assumptions!C27/(Assumptions!C39-15),0)</f>
        <v>5959459.4594594585</v>
      </c>
      <c r="S42" s="51">
        <f>IF(AND(17&gt;15,17&lt;=Assumptions!C39),Q6*Assumptions!C27/(Assumptions!C39-15),0)</f>
        <v>5959459.4594594585</v>
      </c>
      <c r="T42" s="51">
        <f>IF(AND(18&gt;15,18&lt;=Assumptions!C39),Q6*Assumptions!C27/(Assumptions!C39-15),0)</f>
        <v>5959459.4594594585</v>
      </c>
      <c r="U42" s="51">
        <f>IF(AND(19&gt;15,19&lt;=Assumptions!C39),Q6*Assumptions!C27/(Assumptions!C39-15),0)</f>
        <v>5959459.4594594585</v>
      </c>
      <c r="V42" s="51">
        <f>IF(AND(20&gt;15,20&lt;=Assumptions!C39),Q6*Assumptions!C27/(Assumptions!C39-15),0)</f>
        <v>5959459.4594594585</v>
      </c>
      <c r="W42" s="51">
        <f>IF(AND(21&gt;15,21&lt;=Assumptions!C39),Q6*Assumptions!C27/(Assumptions!C39-15),0)</f>
        <v>5959459.4594594585</v>
      </c>
      <c r="X42" s="49">
        <f t="shared" si="0"/>
        <v>35756756.756756753</v>
      </c>
    </row>
    <row r="44" spans="2:24" ht="15" customHeight="1" x14ac:dyDescent="0.3">
      <c r="B44" s="52" t="s">
        <v>79</v>
      </c>
      <c r="C44" s="53">
        <f t="shared" ref="C44:W44" si="1">C11+C12+C14+C15+C17+C18+C20+C21+C23+C24+C26+C27+C29+C30+C32+C33+C35+C36+C38+C39+C41+C42</f>
        <v>0</v>
      </c>
      <c r="D44" s="53">
        <f t="shared" si="1"/>
        <v>0</v>
      </c>
      <c r="E44" s="53">
        <f t="shared" si="1"/>
        <v>0</v>
      </c>
      <c r="F44" s="53">
        <f t="shared" si="1"/>
        <v>0</v>
      </c>
      <c r="G44" s="53">
        <f t="shared" si="1"/>
        <v>10216216.216216214</v>
      </c>
      <c r="H44" s="53">
        <f t="shared" si="1"/>
        <v>12131756.756756755</v>
      </c>
      <c r="I44" s="53">
        <f t="shared" si="1"/>
        <v>15310135.135135133</v>
      </c>
      <c r="J44" s="53">
        <f t="shared" si="1"/>
        <v>17742567.567567565</v>
      </c>
      <c r="K44" s="53">
        <f t="shared" si="1"/>
        <v>20362110.187110186</v>
      </c>
      <c r="L44" s="53">
        <f t="shared" si="1"/>
        <v>23767515.592515588</v>
      </c>
      <c r="M44" s="53">
        <f t="shared" si="1"/>
        <v>27018129.84312984</v>
      </c>
      <c r="N44" s="53">
        <f t="shared" si="1"/>
        <v>30593805.518805511</v>
      </c>
      <c r="O44" s="53">
        <f t="shared" si="1"/>
        <v>34566778.491778485</v>
      </c>
      <c r="P44" s="53">
        <f t="shared" si="1"/>
        <v>39036373.086373083</v>
      </c>
      <c r="Q44" s="53">
        <f t="shared" si="1"/>
        <v>44144481.194481187</v>
      </c>
      <c r="R44" s="53">
        <f t="shared" si="1"/>
        <v>38185021.735021733</v>
      </c>
      <c r="S44" s="53">
        <f t="shared" si="1"/>
        <v>38185021.735021733</v>
      </c>
      <c r="T44" s="53">
        <f t="shared" si="1"/>
        <v>38185021.735021733</v>
      </c>
      <c r="U44" s="53">
        <f t="shared" si="1"/>
        <v>38185021.735021733</v>
      </c>
      <c r="V44" s="53">
        <f t="shared" si="1"/>
        <v>38185021.735021733</v>
      </c>
      <c r="W44" s="53">
        <f t="shared" si="1"/>
        <v>38185021.735021733</v>
      </c>
      <c r="X44" s="53">
        <f t="shared" si="0"/>
        <v>503999999.99999982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2B3CB9-4EBA-855C-9458-B5D9117FF17F}">
  <dimension ref="B2:X19"/>
  <sheetViews>
    <sheetView showGridLines="0" topLeftCell="B1" workbookViewId="0"/>
  </sheetViews>
  <sheetFormatPr defaultColWidth="7.796875" defaultRowHeight="15" customHeight="1" x14ac:dyDescent="0.3"/>
  <cols>
    <col min="1" max="1" width="1.5" customWidth="1"/>
    <col min="2" max="2" width="25" customWidth="1"/>
    <col min="3" max="23" width="10" customWidth="1"/>
    <col min="24" max="24" width="12.5" customWidth="1"/>
  </cols>
  <sheetData>
    <row r="2" spans="2:24" ht="21" customHeight="1" x14ac:dyDescent="0.4">
      <c r="B2" s="38" t="s">
        <v>80</v>
      </c>
    </row>
    <row r="4" spans="2:24" ht="15" customHeight="1" x14ac:dyDescent="0.3">
      <c r="B4" s="40" t="s">
        <v>61</v>
      </c>
      <c r="C4" s="40">
        <v>1</v>
      </c>
      <c r="D4" s="40">
        <v>2</v>
      </c>
      <c r="E4" s="40">
        <v>3</v>
      </c>
      <c r="F4" s="40">
        <v>4</v>
      </c>
      <c r="G4" s="40">
        <v>5</v>
      </c>
      <c r="H4" s="40">
        <v>6</v>
      </c>
      <c r="I4" s="40">
        <v>7</v>
      </c>
      <c r="J4" s="40">
        <v>8</v>
      </c>
      <c r="K4" s="40">
        <v>9</v>
      </c>
      <c r="L4" s="40">
        <v>10</v>
      </c>
      <c r="M4" s="40">
        <v>11</v>
      </c>
      <c r="N4" s="40">
        <v>12</v>
      </c>
      <c r="O4" s="40">
        <v>13</v>
      </c>
      <c r="P4" s="40">
        <v>14</v>
      </c>
      <c r="Q4" s="40">
        <v>15</v>
      </c>
      <c r="R4" s="40">
        <v>16</v>
      </c>
      <c r="S4" s="40">
        <v>17</v>
      </c>
      <c r="T4" s="40">
        <v>18</v>
      </c>
      <c r="U4" s="40">
        <v>19</v>
      </c>
      <c r="V4" s="40">
        <v>20</v>
      </c>
      <c r="W4" s="40">
        <v>21</v>
      </c>
      <c r="X4" s="41" t="s">
        <v>62</v>
      </c>
    </row>
    <row r="6" spans="2:24" ht="15" customHeight="1" x14ac:dyDescent="0.3">
      <c r="B6" s="39" t="s">
        <v>81</v>
      </c>
      <c r="C6" s="39"/>
      <c r="D6" s="39"/>
      <c r="E6" s="39"/>
      <c r="F6" s="39"/>
      <c r="G6" s="39"/>
      <c r="H6" s="39"/>
      <c r="I6" s="39"/>
      <c r="J6" s="39"/>
      <c r="K6" s="39"/>
      <c r="L6" s="39"/>
      <c r="M6" s="39"/>
      <c r="N6" s="39"/>
      <c r="O6" s="39"/>
      <c r="P6" s="39"/>
      <c r="Q6" s="39"/>
      <c r="R6" s="39"/>
      <c r="S6" s="39"/>
      <c r="T6" s="39"/>
      <c r="U6" s="39"/>
      <c r="V6" s="39"/>
      <c r="W6" s="39"/>
      <c r="X6" s="39"/>
    </row>
    <row r="7" spans="2:24" ht="15" customHeight="1" x14ac:dyDescent="0.3">
      <c r="B7" s="42" t="s">
        <v>82</v>
      </c>
      <c r="C7" s="43" cm="1">
        <f t="array" ref="C7">'Sales-Schedule'!C44</f>
        <v>0</v>
      </c>
      <c r="D7" s="43" cm="1">
        <f t="array" ref="D7">'Sales-Schedule'!D44</f>
        <v>0</v>
      </c>
      <c r="E7" s="43" cm="1">
        <f t="array" ref="E7">'Sales-Schedule'!E44</f>
        <v>0</v>
      </c>
      <c r="F7" s="43" cm="1">
        <f t="array" ref="F7">'Sales-Schedule'!F44</f>
        <v>0</v>
      </c>
      <c r="G7" s="43" cm="1">
        <f t="array" ref="G7">'Sales-Schedule'!G44</f>
        <v>10216216.216216214</v>
      </c>
      <c r="H7" s="43" cm="1">
        <f t="array" ref="H7">'Sales-Schedule'!H44</f>
        <v>12131756.756756755</v>
      </c>
      <c r="I7" s="43" cm="1">
        <f t="array" ref="I7">'Sales-Schedule'!I44</f>
        <v>15310135.135135133</v>
      </c>
      <c r="J7" s="43" cm="1">
        <f t="array" ref="J7">'Sales-Schedule'!J44</f>
        <v>17742567.567567565</v>
      </c>
      <c r="K7" s="43" cm="1">
        <f t="array" ref="K7">'Sales-Schedule'!K44</f>
        <v>20362110.187110186</v>
      </c>
      <c r="L7" s="43" cm="1">
        <f t="array" ref="L7">'Sales-Schedule'!L44</f>
        <v>23767515.592515588</v>
      </c>
      <c r="M7" s="43" cm="1">
        <f t="array" ref="M7">'Sales-Schedule'!M44</f>
        <v>27018129.84312984</v>
      </c>
      <c r="N7" s="43" cm="1">
        <f t="array" ref="N7">'Sales-Schedule'!N44</f>
        <v>30593805.518805511</v>
      </c>
      <c r="O7" s="43" cm="1">
        <f t="array" ref="O7">'Sales-Schedule'!O44</f>
        <v>34566778.491778485</v>
      </c>
      <c r="P7" s="43" cm="1">
        <f t="array" ref="P7">'Sales-Schedule'!P44</f>
        <v>39036373.086373083</v>
      </c>
      <c r="Q7" s="43" cm="1">
        <f t="array" ref="Q7">'Sales-Schedule'!Q44</f>
        <v>44144481.194481187</v>
      </c>
      <c r="R7" s="43" cm="1">
        <f t="array" ref="R7">'Sales-Schedule'!R44</f>
        <v>38185021.735021733</v>
      </c>
      <c r="S7" s="43" cm="1">
        <f t="array" ref="S7">'Sales-Schedule'!S44</f>
        <v>38185021.735021733</v>
      </c>
      <c r="T7" s="43" cm="1">
        <f t="array" ref="T7">'Sales-Schedule'!T44</f>
        <v>38185021.735021733</v>
      </c>
      <c r="U7" s="43" cm="1">
        <f t="array" ref="U7">'Sales-Schedule'!U44</f>
        <v>38185021.735021733</v>
      </c>
      <c r="V7" s="43" cm="1">
        <f t="array" ref="V7">'Sales-Schedule'!V44</f>
        <v>38185021.735021733</v>
      </c>
      <c r="W7" s="43" cm="1">
        <f t="array" ref="W7">'Sales-Schedule'!W44</f>
        <v>38185021.735021733</v>
      </c>
      <c r="X7" s="54">
        <f t="shared" ref="X7:X18" si="0">SUM(C7:W7)</f>
        <v>503999999.99999982</v>
      </c>
    </row>
    <row r="8" spans="2:24" ht="15" customHeight="1" x14ac:dyDescent="0.3">
      <c r="B8" s="55" t="s">
        <v>83</v>
      </c>
      <c r="C8" s="44" cm="1">
        <f t="array" ref="C8">C7</f>
        <v>0</v>
      </c>
      <c r="D8" s="44" cm="1">
        <f t="array" ref="D8">D7</f>
        <v>0</v>
      </c>
      <c r="E8" s="44" cm="1">
        <f t="array" ref="E8">E7</f>
        <v>0</v>
      </c>
      <c r="F8" s="44" cm="1">
        <f t="array" ref="F8">F7</f>
        <v>0</v>
      </c>
      <c r="G8" s="44" cm="1">
        <f t="array" ref="G8">G7</f>
        <v>10216216.216216214</v>
      </c>
      <c r="H8" s="44" cm="1">
        <f t="array" ref="H8">H7</f>
        <v>12131756.756756755</v>
      </c>
      <c r="I8" s="44" cm="1">
        <f t="array" ref="I8">I7</f>
        <v>15310135.135135133</v>
      </c>
      <c r="J8" s="44" cm="1">
        <f t="array" ref="J8">J7</f>
        <v>17742567.567567565</v>
      </c>
      <c r="K8" s="44" cm="1">
        <f t="array" ref="K8">K7</f>
        <v>20362110.187110186</v>
      </c>
      <c r="L8" s="44" cm="1">
        <f t="array" ref="L8">L7</f>
        <v>23767515.592515588</v>
      </c>
      <c r="M8" s="44" cm="1">
        <f t="array" ref="M8">M7</f>
        <v>27018129.84312984</v>
      </c>
      <c r="N8" s="44" cm="1">
        <f t="array" ref="N8">N7</f>
        <v>30593805.518805511</v>
      </c>
      <c r="O8" s="44" cm="1">
        <f t="array" ref="O8">O7</f>
        <v>34566778.491778485</v>
      </c>
      <c r="P8" s="44" cm="1">
        <f t="array" ref="P8">P7</f>
        <v>39036373.086373083</v>
      </c>
      <c r="Q8" s="44" cm="1">
        <f t="array" ref="Q8">Q7</f>
        <v>44144481.194481187</v>
      </c>
      <c r="R8" s="44" cm="1">
        <f t="array" ref="R8">R7</f>
        <v>38185021.735021733</v>
      </c>
      <c r="S8" s="44" cm="1">
        <f t="array" ref="S8">S7</f>
        <v>38185021.735021733</v>
      </c>
      <c r="T8" s="44" cm="1">
        <f t="array" ref="T8">T7</f>
        <v>38185021.735021733</v>
      </c>
      <c r="U8" s="44" cm="1">
        <f t="array" ref="U8">U7</f>
        <v>38185021.735021733</v>
      </c>
      <c r="V8" s="44" cm="1">
        <f t="array" ref="V8">V7</f>
        <v>38185021.735021733</v>
      </c>
      <c r="W8" s="44" cm="1">
        <f t="array" ref="W8">W7</f>
        <v>38185021.735021733</v>
      </c>
      <c r="X8" s="44">
        <f t="shared" si="0"/>
        <v>503999999.99999982</v>
      </c>
    </row>
    <row r="10" spans="2:24" ht="15" customHeight="1" x14ac:dyDescent="0.3">
      <c r="B10" s="39" t="s">
        <v>84</v>
      </c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</row>
    <row r="11" spans="2:24" ht="16.5" customHeight="1" x14ac:dyDescent="0.3">
      <c r="B11" s="42" t="s">
        <v>3</v>
      </c>
      <c r="C11" s="43" cm="1">
        <f t="array" ref="C11">IF(1=1,Assumptions!C6,0)</f>
        <v>75000000</v>
      </c>
      <c r="D11" s="43">
        <f>IF(2=1,Assumptions!C6,0)</f>
        <v>0</v>
      </c>
      <c r="E11" s="43">
        <f>IF(3=1,Assumptions!C6,0)</f>
        <v>0</v>
      </c>
      <c r="F11" s="43">
        <f>IF(4=1,Assumptions!C6,0)</f>
        <v>0</v>
      </c>
      <c r="G11" s="43">
        <f>IF(5=1,Assumptions!C6,0)</f>
        <v>0</v>
      </c>
      <c r="H11" s="43">
        <f>IF(6=1,Assumptions!C6,0)</f>
        <v>0</v>
      </c>
      <c r="I11" s="43">
        <f>IF(7=1,Assumptions!C6,0)</f>
        <v>0</v>
      </c>
      <c r="J11" s="43">
        <f>IF(8=1,Assumptions!C6,0)</f>
        <v>0</v>
      </c>
      <c r="K11" s="43">
        <f>IF(9=1,Assumptions!C6,0)</f>
        <v>0</v>
      </c>
      <c r="L11" s="43">
        <f>IF(10=1,Assumptions!C6,0)</f>
        <v>0</v>
      </c>
      <c r="M11" s="43">
        <f>IF(11=1,Assumptions!C6,0)</f>
        <v>0</v>
      </c>
      <c r="N11" s="43">
        <f>IF(12=1,Assumptions!C6,0)</f>
        <v>0</v>
      </c>
      <c r="O11" s="43">
        <f>IF(13=1,Assumptions!C6,0)</f>
        <v>0</v>
      </c>
      <c r="P11" s="43">
        <f>IF(14=1,Assumptions!C6,0)</f>
        <v>0</v>
      </c>
      <c r="Q11" s="43">
        <f>IF(15=1,Assumptions!C6,0)</f>
        <v>0</v>
      </c>
      <c r="R11" s="43">
        <f>IF(16=1,Assumptions!C6,0)</f>
        <v>0</v>
      </c>
      <c r="S11" s="43">
        <f>IF(17=1,Assumptions!C6,0)</f>
        <v>0</v>
      </c>
      <c r="T11" s="43">
        <f>IF(18=1,Assumptions!C6,0)</f>
        <v>0</v>
      </c>
      <c r="U11" s="43">
        <f>IF(19=1,Assumptions!C6,0)</f>
        <v>0</v>
      </c>
      <c r="V11" s="43">
        <f>IF(20=1,Assumptions!C6,0)</f>
        <v>0</v>
      </c>
      <c r="W11" s="43">
        <f>IF(21=1,Assumptions!C6,0)</f>
        <v>0</v>
      </c>
      <c r="X11" s="49">
        <f t="shared" si="0"/>
        <v>75000000</v>
      </c>
    </row>
    <row r="12" spans="2:24" ht="16.5" customHeight="1" x14ac:dyDescent="0.3">
      <c r="B12" s="56" t="s">
        <v>17</v>
      </c>
      <c r="C12" s="57" cm="1">
        <f t="array" ref="C12">IF(1=1,'Area-Cost-Calcs'!C19,0)</f>
        <v>3000000</v>
      </c>
      <c r="D12" s="57">
        <f>IF(2=1,'Area-Cost-Calcs'!C19,0)</f>
        <v>0</v>
      </c>
      <c r="E12" s="57">
        <f>IF(3=1,'Area-Cost-Calcs'!C19,0)</f>
        <v>0</v>
      </c>
      <c r="F12" s="57">
        <f>IF(4=1,'Area-Cost-Calcs'!C19,0)</f>
        <v>0</v>
      </c>
      <c r="G12" s="57">
        <f>IF(5=1,'Area-Cost-Calcs'!C19,0)</f>
        <v>0</v>
      </c>
      <c r="H12" s="57">
        <f>IF(6=1,'Area-Cost-Calcs'!C19,0)</f>
        <v>0</v>
      </c>
      <c r="I12" s="57">
        <f>IF(7=1,'Area-Cost-Calcs'!C19,0)</f>
        <v>0</v>
      </c>
      <c r="J12" s="57">
        <f>IF(8=1,'Area-Cost-Calcs'!C19,0)</f>
        <v>0</v>
      </c>
      <c r="K12" s="57">
        <f>IF(9=1,'Area-Cost-Calcs'!C19,0)</f>
        <v>0</v>
      </c>
      <c r="L12" s="57">
        <f>IF(10=1,'Area-Cost-Calcs'!C19,0)</f>
        <v>0</v>
      </c>
      <c r="M12" s="57">
        <f>IF(11=1,'Area-Cost-Calcs'!C19,0)</f>
        <v>0</v>
      </c>
      <c r="N12" s="57">
        <f>IF(12=1,'Area-Cost-Calcs'!C19,0)</f>
        <v>0</v>
      </c>
      <c r="O12" s="57">
        <f>IF(13=1,'Area-Cost-Calcs'!C19,0)</f>
        <v>0</v>
      </c>
      <c r="P12" s="57">
        <f>IF(14=1,'Area-Cost-Calcs'!C19,0)</f>
        <v>0</v>
      </c>
      <c r="Q12" s="57">
        <f>IF(15=1,'Area-Cost-Calcs'!C19,0)</f>
        <v>0</v>
      </c>
      <c r="R12" s="57">
        <f>IF(16=1,'Area-Cost-Calcs'!C19,0)</f>
        <v>0</v>
      </c>
      <c r="S12" s="57">
        <f>IF(17=1,'Area-Cost-Calcs'!C19,0)</f>
        <v>0</v>
      </c>
      <c r="T12" s="57">
        <f>IF(18=1,'Area-Cost-Calcs'!C19,0)</f>
        <v>0</v>
      </c>
      <c r="U12" s="57">
        <f>IF(19=1,'Area-Cost-Calcs'!C19,0)</f>
        <v>0</v>
      </c>
      <c r="V12" s="57">
        <f>IF(20=1,'Area-Cost-Calcs'!C19,0)</f>
        <v>0</v>
      </c>
      <c r="W12" s="57">
        <f>IF(21=1,'Area-Cost-Calcs'!C19,0)</f>
        <v>0</v>
      </c>
      <c r="X12" s="49">
        <f t="shared" si="0"/>
        <v>3000000</v>
      </c>
    </row>
    <row r="13" spans="2:24" ht="16.5" customHeight="1" x14ac:dyDescent="0.3">
      <c r="B13" s="42" t="s">
        <v>57</v>
      </c>
      <c r="C13" s="43">
        <f>IF(1&lt;Assumptions!C41,'Area-Cost-Calcs'!C20*(1-Assumptions!C36)/((Assumptions!C41-1)*(1-Assumptions!C36)+(Assumptions!C42-Assumptions!C41+1)),IF(1&lt;=Assumptions!C42,'Area-Cost-Calcs'!C20/((Assumptions!C41-1)*(1-Assumptions!C36)+(Assumptions!C42-Assumptions!C41+1)),0))</f>
        <v>1471671.882352941</v>
      </c>
      <c r="D13" s="43">
        <f>IF(2&lt;Assumptions!C41,'Area-Cost-Calcs'!C20*(1-Assumptions!C36)/((Assumptions!C41-1)*(1-Assumptions!C36)+(Assumptions!C42-Assumptions!C41+1)),IF(2&lt;=Assumptions!C42,'Area-Cost-Calcs'!C20/((Assumptions!C41-1)*(1-Assumptions!C36)+(Assumptions!C42-Assumptions!C41+1)),0))</f>
        <v>1471671.882352941</v>
      </c>
      <c r="E13" s="43">
        <f>IF(3&lt;Assumptions!C41,'Area-Cost-Calcs'!C20*(1-Assumptions!C36)/((Assumptions!C41-1)*(1-Assumptions!C36)+(Assumptions!C42-Assumptions!C41+1)),IF(3&lt;=Assumptions!C42,'Area-Cost-Calcs'!C20/((Assumptions!C41-1)*(1-Assumptions!C36)+(Assumptions!C42-Assumptions!C41+1)),0))</f>
        <v>1471671.882352941</v>
      </c>
      <c r="F13" s="43">
        <f>IF(4&lt;Assumptions!C41,'Area-Cost-Calcs'!C20*(1-Assumptions!C36)/((Assumptions!C41-1)*(1-Assumptions!C36)+(Assumptions!C42-Assumptions!C41+1)),IF(4&lt;=Assumptions!C42,'Area-Cost-Calcs'!C20/((Assumptions!C41-1)*(1-Assumptions!C36)+(Assumptions!C42-Assumptions!C41+1)),0))</f>
        <v>1471671.882352941</v>
      </c>
      <c r="G13" s="43">
        <f>IF(5&lt;Assumptions!C41,'Area-Cost-Calcs'!C20*(1-Assumptions!C36)/((Assumptions!C41-1)*(1-Assumptions!C36)+(Assumptions!C42-Assumptions!C41+1)),IF(5&lt;=Assumptions!C42,'Area-Cost-Calcs'!C20/((Assumptions!C41-1)*(1-Assumptions!C36)+(Assumptions!C42-Assumptions!C41+1)),0))</f>
        <v>1471671.882352941</v>
      </c>
      <c r="H13" s="43">
        <f>IF(6&lt;Assumptions!C41,'Area-Cost-Calcs'!C20*(1-Assumptions!C36)/((Assumptions!C41-1)*(1-Assumptions!C36)+(Assumptions!C42-Assumptions!C41+1)),IF(6&lt;=Assumptions!C42,'Area-Cost-Calcs'!C20/((Assumptions!C41-1)*(1-Assumptions!C36)+(Assumptions!C42-Assumptions!C41+1)),0))</f>
        <v>1471671.882352941</v>
      </c>
      <c r="I13" s="43">
        <f>IF(7&lt;Assumptions!C41,'Area-Cost-Calcs'!C20*(1-Assumptions!C36)/((Assumptions!C41-1)*(1-Assumptions!C36)+(Assumptions!C42-Assumptions!C41+1)),IF(7&lt;=Assumptions!C42,'Area-Cost-Calcs'!C20/((Assumptions!C41-1)*(1-Assumptions!C36)+(Assumptions!C42-Assumptions!C41+1)),0))</f>
        <v>1471671.882352941</v>
      </c>
      <c r="J13" s="43">
        <f>IF(8&lt;Assumptions!C41,'Area-Cost-Calcs'!C20*(1-Assumptions!C36)/((Assumptions!C41-1)*(1-Assumptions!C36)+(Assumptions!C42-Assumptions!C41+1)),IF(8&lt;=Assumptions!C42,'Area-Cost-Calcs'!C20/((Assumptions!C41-1)*(1-Assumptions!C36)+(Assumptions!C42-Assumptions!C41+1)),0))</f>
        <v>1471671.882352941</v>
      </c>
      <c r="K13" s="43">
        <f>IF(9&lt;Assumptions!C41,'Area-Cost-Calcs'!C20*(1-Assumptions!C36)/((Assumptions!C41-1)*(1-Assumptions!C36)+(Assumptions!C42-Assumptions!C41+1)),IF(9&lt;=Assumptions!C42,'Area-Cost-Calcs'!C20/((Assumptions!C41-1)*(1-Assumptions!C36)+(Assumptions!C42-Assumptions!C41+1)),0))</f>
        <v>1471671.882352941</v>
      </c>
      <c r="L13" s="43">
        <f>IF(10&lt;Assumptions!C41,'Area-Cost-Calcs'!C20*(1-Assumptions!C36)/((Assumptions!C41-1)*(1-Assumptions!C36)+(Assumptions!C42-Assumptions!C41+1)),IF(10&lt;=Assumptions!C42,'Area-Cost-Calcs'!C20/((Assumptions!C41-1)*(1-Assumptions!C36)+(Assumptions!C42-Assumptions!C41+1)),0))</f>
        <v>2264110.5882352935</v>
      </c>
      <c r="M13" s="43">
        <f>IF(11&lt;Assumptions!C41,'Area-Cost-Calcs'!C20*(1-Assumptions!C36)/((Assumptions!C41-1)*(1-Assumptions!C36)+(Assumptions!C42-Assumptions!C41+1)),IF(11&lt;=Assumptions!C42,'Area-Cost-Calcs'!C20/((Assumptions!C41-1)*(1-Assumptions!C36)+(Assumptions!C42-Assumptions!C41+1)),0))</f>
        <v>2264110.5882352935</v>
      </c>
      <c r="N13" s="43">
        <f>IF(12&lt;Assumptions!C41,'Area-Cost-Calcs'!C20*(1-Assumptions!C36)/((Assumptions!C41-1)*(1-Assumptions!C36)+(Assumptions!C42-Assumptions!C41+1)),IF(12&lt;=Assumptions!C42,'Area-Cost-Calcs'!C20/((Assumptions!C41-1)*(1-Assumptions!C36)+(Assumptions!C42-Assumptions!C41+1)),0))</f>
        <v>2264110.5882352935</v>
      </c>
      <c r="O13" s="43">
        <f>IF(13&lt;Assumptions!C41,'Area-Cost-Calcs'!C20*(1-Assumptions!C36)/((Assumptions!C41-1)*(1-Assumptions!C36)+(Assumptions!C42-Assumptions!C41+1)),IF(13&lt;=Assumptions!C42,'Area-Cost-Calcs'!C20/((Assumptions!C41-1)*(1-Assumptions!C36)+(Assumptions!C42-Assumptions!C41+1)),0))</f>
        <v>2264110.5882352935</v>
      </c>
      <c r="P13" s="43">
        <f>IF(14&lt;Assumptions!C41,'Area-Cost-Calcs'!C20*(1-Assumptions!C36)/((Assumptions!C41-1)*(1-Assumptions!C36)+(Assumptions!C42-Assumptions!C41+1)),IF(14&lt;=Assumptions!C42,'Area-Cost-Calcs'!C20/((Assumptions!C41-1)*(1-Assumptions!C36)+(Assumptions!C42-Assumptions!C41+1)),0))</f>
        <v>2264110.5882352935</v>
      </c>
      <c r="Q13" s="43">
        <f>IF(15&lt;Assumptions!C41,'Area-Cost-Calcs'!C20*(1-Assumptions!C36)/((Assumptions!C41-1)*(1-Assumptions!C36)+(Assumptions!C42-Assumptions!C41+1)),IF(15&lt;=Assumptions!C42,'Area-Cost-Calcs'!C20/((Assumptions!C41-1)*(1-Assumptions!C36)+(Assumptions!C42-Assumptions!C41+1)),0))</f>
        <v>2264110.5882352935</v>
      </c>
      <c r="R13" s="43">
        <f>IF(16&lt;Assumptions!C41,'Area-Cost-Calcs'!C20*(1-Assumptions!C36)/((Assumptions!C41-1)*(1-Assumptions!C36)+(Assumptions!C42-Assumptions!C41+1)),IF(16&lt;=Assumptions!C42,'Area-Cost-Calcs'!C20/((Assumptions!C41-1)*(1-Assumptions!C36)+(Assumptions!C42-Assumptions!C41+1)),0))</f>
        <v>2264110.5882352935</v>
      </c>
      <c r="S13" s="43">
        <f>IF(17&lt;Assumptions!C41,'Area-Cost-Calcs'!C20*(1-Assumptions!C36)/((Assumptions!C41-1)*(1-Assumptions!C36)+(Assumptions!C42-Assumptions!C41+1)),IF(17&lt;=Assumptions!C42,'Area-Cost-Calcs'!C20/((Assumptions!C41-1)*(1-Assumptions!C36)+(Assumptions!C42-Assumptions!C41+1)),0))</f>
        <v>2264110.5882352935</v>
      </c>
      <c r="T13" s="43">
        <f>IF(18&lt;Assumptions!C41,'Area-Cost-Calcs'!C20*(1-Assumptions!C36)/((Assumptions!C41-1)*(1-Assumptions!C36)+(Assumptions!C42-Assumptions!C41+1)),IF(18&lt;=Assumptions!C42,'Area-Cost-Calcs'!C20/((Assumptions!C41-1)*(1-Assumptions!C36)+(Assumptions!C42-Assumptions!C41+1)),0))</f>
        <v>2264110.5882352935</v>
      </c>
      <c r="U13" s="43">
        <f>IF(19&lt;Assumptions!C41,'Area-Cost-Calcs'!C20*(1-Assumptions!C36)/((Assumptions!C41-1)*(1-Assumptions!C36)+(Assumptions!C42-Assumptions!C41+1)),IF(19&lt;=Assumptions!C42,'Area-Cost-Calcs'!C20/((Assumptions!C41-1)*(1-Assumptions!C36)+(Assumptions!C42-Assumptions!C41+1)),0))</f>
        <v>2264110.5882352935</v>
      </c>
      <c r="V13" s="43">
        <f>IF(20&lt;Assumptions!C41,'Area-Cost-Calcs'!C20*(1-Assumptions!C36)/((Assumptions!C41-1)*(1-Assumptions!C36)+(Assumptions!C42-Assumptions!C41+1)),IF(20&lt;=Assumptions!C42,'Area-Cost-Calcs'!C20/((Assumptions!C41-1)*(1-Assumptions!C36)+(Assumptions!C42-Assumptions!C41+1)),0))</f>
        <v>2264110.5882352935</v>
      </c>
      <c r="W13" s="43">
        <f>IF(21&lt;Assumptions!C41,'Area-Cost-Calcs'!C20*(1-Assumptions!C36)/((Assumptions!C41-1)*(1-Assumptions!C36)+(Assumptions!C42-Assumptions!C41+1)),IF(21&lt;=Assumptions!C42,'Area-Cost-Calcs'!C20/((Assumptions!C41-1)*(1-Assumptions!C36)+(Assumptions!C42-Assumptions!C41+1)),0))</f>
        <v>2264110.5882352935</v>
      </c>
      <c r="X13" s="49">
        <f t="shared" si="0"/>
        <v>40414373.999999993</v>
      </c>
    </row>
    <row r="14" spans="2:24" ht="16.5" customHeight="1" x14ac:dyDescent="0.3">
      <c r="B14" s="56" t="s">
        <v>85</v>
      </c>
      <c r="C14" s="57">
        <f>IF(AND(1&gt;=Assumptions!C41,1&lt;=Assumptions!C42),'Area-Cost-Calcs'!C18/(Assumptions!C42-Assumptions!C41+1),0)</f>
        <v>0</v>
      </c>
      <c r="D14" s="57">
        <f>IF(AND(2&gt;=Assumptions!C41,2&lt;=Assumptions!C42),'Area-Cost-Calcs'!C18/(Assumptions!C42-Assumptions!C41+1),0)</f>
        <v>0</v>
      </c>
      <c r="E14" s="57">
        <f>IF(AND(3&gt;=Assumptions!C41,3&lt;=Assumptions!C42),'Area-Cost-Calcs'!C18/(Assumptions!C42-Assumptions!C41+1),0)</f>
        <v>0</v>
      </c>
      <c r="F14" s="57">
        <f>IF(AND(4&gt;=Assumptions!C41,4&lt;=Assumptions!C42),'Area-Cost-Calcs'!C18/(Assumptions!C42-Assumptions!C41+1),0)</f>
        <v>0</v>
      </c>
      <c r="G14" s="57">
        <f>IF(AND(5&gt;=Assumptions!C41,5&lt;=Assumptions!C42),'Area-Cost-Calcs'!C18/(Assumptions!C42-Assumptions!C41+1),0)</f>
        <v>0</v>
      </c>
      <c r="H14" s="57">
        <f>IF(AND(6&gt;=Assumptions!C41,6&lt;=Assumptions!C42),'Area-Cost-Calcs'!C18/(Assumptions!C42-Assumptions!C41+1),0)</f>
        <v>0</v>
      </c>
      <c r="I14" s="57">
        <f>IF(AND(7&gt;=Assumptions!C41,7&lt;=Assumptions!C42),'Area-Cost-Calcs'!C18/(Assumptions!C42-Assumptions!C41+1),0)</f>
        <v>0</v>
      </c>
      <c r="J14" s="57">
        <f>IF(AND(8&gt;=Assumptions!C41,8&lt;=Assumptions!C42),'Area-Cost-Calcs'!C18/(Assumptions!C42-Assumptions!C41+1),0)</f>
        <v>0</v>
      </c>
      <c r="K14" s="57">
        <f>IF(AND(9&gt;=Assumptions!C41,9&lt;=Assumptions!C42),'Area-Cost-Calcs'!C18/(Assumptions!C42-Assumptions!C41+1),0)</f>
        <v>0</v>
      </c>
      <c r="L14" s="57">
        <f>IF(AND(10&gt;=Assumptions!C41,10&lt;=Assumptions!C42),'Area-Cost-Calcs'!C18/(Assumptions!C42-Assumptions!C41+1),0)</f>
        <v>22452429.999999996</v>
      </c>
      <c r="M14" s="57">
        <f>IF(AND(11&gt;=Assumptions!C41,11&lt;=Assumptions!C42),'Area-Cost-Calcs'!C18/(Assumptions!C42-Assumptions!C41+1),0)</f>
        <v>22452429.999999996</v>
      </c>
      <c r="N14" s="57">
        <f>IF(AND(12&gt;=Assumptions!C41,12&lt;=Assumptions!C42),'Area-Cost-Calcs'!C18/(Assumptions!C42-Assumptions!C41+1),0)</f>
        <v>22452429.999999996</v>
      </c>
      <c r="O14" s="57">
        <f>IF(AND(13&gt;=Assumptions!C41,13&lt;=Assumptions!C42),'Area-Cost-Calcs'!C18/(Assumptions!C42-Assumptions!C41+1),0)</f>
        <v>22452429.999999996</v>
      </c>
      <c r="P14" s="57">
        <f>IF(AND(14&gt;=Assumptions!C41,14&lt;=Assumptions!C42),'Area-Cost-Calcs'!C18/(Assumptions!C42-Assumptions!C41+1),0)</f>
        <v>22452429.999999996</v>
      </c>
      <c r="Q14" s="57">
        <f>IF(AND(15&gt;=Assumptions!C41,15&lt;=Assumptions!C42),'Area-Cost-Calcs'!C18/(Assumptions!C42-Assumptions!C41+1),0)</f>
        <v>22452429.999999996</v>
      </c>
      <c r="R14" s="57">
        <f>IF(AND(16&gt;=Assumptions!C41,16&lt;=Assumptions!C42),'Area-Cost-Calcs'!C18/(Assumptions!C42-Assumptions!C41+1),0)</f>
        <v>22452429.999999996</v>
      </c>
      <c r="S14" s="57">
        <f>IF(AND(17&gt;=Assumptions!C41,17&lt;=Assumptions!C42),'Area-Cost-Calcs'!C18/(Assumptions!C42-Assumptions!C41+1),0)</f>
        <v>22452429.999999996</v>
      </c>
      <c r="T14" s="57">
        <f>IF(AND(18&gt;=Assumptions!C41,18&lt;=Assumptions!C42),'Area-Cost-Calcs'!C18/(Assumptions!C42-Assumptions!C41+1),0)</f>
        <v>22452429.999999996</v>
      </c>
      <c r="U14" s="57">
        <f>IF(AND(19&gt;=Assumptions!C41,19&lt;=Assumptions!C42),'Area-Cost-Calcs'!C18/(Assumptions!C42-Assumptions!C41+1),0)</f>
        <v>22452429.999999996</v>
      </c>
      <c r="V14" s="57">
        <f>IF(AND(20&gt;=Assumptions!C41,20&lt;=Assumptions!C42),'Area-Cost-Calcs'!C18/(Assumptions!C42-Assumptions!C41+1),0)</f>
        <v>22452429.999999996</v>
      </c>
      <c r="W14" s="57">
        <f>IF(AND(21&gt;=Assumptions!C41,21&lt;=Assumptions!C42),'Area-Cost-Calcs'!C18/(Assumptions!C42-Assumptions!C41+1),0)</f>
        <v>22452429.999999996</v>
      </c>
      <c r="X14" s="49">
        <f t="shared" si="0"/>
        <v>269429159.99999994</v>
      </c>
    </row>
    <row r="15" spans="2:24" ht="16.5" customHeight="1" x14ac:dyDescent="0.3">
      <c r="B15" s="42" t="s">
        <v>19</v>
      </c>
      <c r="C15" s="43">
        <f>'Sales-Schedule'!C6*Assumptions!C23</f>
        <v>0</v>
      </c>
      <c r="D15" s="43">
        <f>'Sales-Schedule'!D6*Assumptions!C23</f>
        <v>0</v>
      </c>
      <c r="E15" s="43">
        <f>'Sales-Schedule'!E6*Assumptions!C23</f>
        <v>0</v>
      </c>
      <c r="F15" s="43">
        <f>'Sales-Schedule'!F6*Assumptions!C23</f>
        <v>0</v>
      </c>
      <c r="G15" s="43">
        <f>'Sales-Schedule'!G6*Assumptions!C23</f>
        <v>1225945.9459459456</v>
      </c>
      <c r="H15" s="43">
        <f>'Sales-Schedule'!H6*Assumptions!C23</f>
        <v>1225945.9459459456</v>
      </c>
      <c r="I15" s="43">
        <f>'Sales-Schedule'!I6*Assumptions!C23</f>
        <v>1362162.1621621621</v>
      </c>
      <c r="J15" s="43">
        <f>'Sales-Schedule'!J6*Assumptions!C23</f>
        <v>1362162.1621621621</v>
      </c>
      <c r="K15" s="43">
        <f>'Sales-Schedule'!K6*Assumptions!C23</f>
        <v>1362162.1621621621</v>
      </c>
      <c r="L15" s="43">
        <f>'Sales-Schedule'!L6*Assumptions!C23</f>
        <v>1430270.2702702701</v>
      </c>
      <c r="M15" s="43">
        <f>'Sales-Schedule'!M6*Assumptions!C23</f>
        <v>1430270.2702702701</v>
      </c>
      <c r="N15" s="43">
        <f>'Sales-Schedule'!N6*Assumptions!C23</f>
        <v>1430270.2702702701</v>
      </c>
      <c r="O15" s="43">
        <f>'Sales-Schedule'!O6*Assumptions!C23</f>
        <v>1430270.2702702701</v>
      </c>
      <c r="P15" s="43">
        <f>'Sales-Schedule'!P6*Assumptions!C23</f>
        <v>1430270.2702702701</v>
      </c>
      <c r="Q15" s="43">
        <f>'Sales-Schedule'!Q6*Assumptions!C23</f>
        <v>1430270.2702702701</v>
      </c>
      <c r="R15" s="43">
        <f>'Sales-Schedule'!R6*Assumptions!C23</f>
        <v>0</v>
      </c>
      <c r="S15" s="43">
        <f>'Sales-Schedule'!S6*Assumptions!C23</f>
        <v>0</v>
      </c>
      <c r="T15" s="43">
        <f>'Sales-Schedule'!T6*Assumptions!C23</f>
        <v>0</v>
      </c>
      <c r="U15" s="43">
        <f>'Sales-Schedule'!U6*Assumptions!C23</f>
        <v>0</v>
      </c>
      <c r="V15" s="43">
        <f>'Sales-Schedule'!V6*Assumptions!C23</f>
        <v>0</v>
      </c>
      <c r="W15" s="43">
        <f>'Sales-Schedule'!W6*Assumptions!C23</f>
        <v>0</v>
      </c>
      <c r="X15" s="49">
        <f t="shared" si="0"/>
        <v>15119999.999999996</v>
      </c>
    </row>
    <row r="16" spans="2:24" ht="15" customHeight="1" x14ac:dyDescent="0.3">
      <c r="B16" s="55" t="s">
        <v>86</v>
      </c>
      <c r="C16" s="44">
        <f t="shared" ref="C16:W16" si="1">SUM(C11:C15)</f>
        <v>79471671.882352948</v>
      </c>
      <c r="D16" s="44">
        <f t="shared" si="1"/>
        <v>1471671.882352941</v>
      </c>
      <c r="E16" s="44">
        <f t="shared" si="1"/>
        <v>1471671.882352941</v>
      </c>
      <c r="F16" s="44">
        <f t="shared" si="1"/>
        <v>1471671.882352941</v>
      </c>
      <c r="G16" s="44">
        <f t="shared" si="1"/>
        <v>2697617.8282988863</v>
      </c>
      <c r="H16" s="44">
        <f t="shared" si="1"/>
        <v>2697617.8282988863</v>
      </c>
      <c r="I16" s="44">
        <f t="shared" si="1"/>
        <v>2833834.0445151031</v>
      </c>
      <c r="J16" s="44">
        <f t="shared" si="1"/>
        <v>2833834.0445151031</v>
      </c>
      <c r="K16" s="44">
        <f t="shared" si="1"/>
        <v>2833834.0445151031</v>
      </c>
      <c r="L16" s="44">
        <f t="shared" si="1"/>
        <v>26146810.858505558</v>
      </c>
      <c r="M16" s="44">
        <f t="shared" si="1"/>
        <v>26146810.858505558</v>
      </c>
      <c r="N16" s="44">
        <f t="shared" si="1"/>
        <v>26146810.858505558</v>
      </c>
      <c r="O16" s="44">
        <f t="shared" si="1"/>
        <v>26146810.858505558</v>
      </c>
      <c r="P16" s="44">
        <f t="shared" si="1"/>
        <v>26146810.858505558</v>
      </c>
      <c r="Q16" s="44">
        <f t="shared" si="1"/>
        <v>26146810.858505558</v>
      </c>
      <c r="R16" s="44">
        <f t="shared" si="1"/>
        <v>24716540.588235289</v>
      </c>
      <c r="S16" s="44">
        <f t="shared" si="1"/>
        <v>24716540.588235289</v>
      </c>
      <c r="T16" s="44">
        <f t="shared" si="1"/>
        <v>24716540.588235289</v>
      </c>
      <c r="U16" s="44">
        <f t="shared" si="1"/>
        <v>24716540.588235289</v>
      </c>
      <c r="V16" s="44">
        <f t="shared" si="1"/>
        <v>24716540.588235289</v>
      </c>
      <c r="W16" s="44">
        <f t="shared" si="1"/>
        <v>24716540.588235289</v>
      </c>
      <c r="X16" s="44">
        <f t="shared" si="0"/>
        <v>402963533.99999976</v>
      </c>
    </row>
    <row r="18" spans="2:24" ht="15" customHeight="1" x14ac:dyDescent="0.3">
      <c r="B18" s="39" t="s">
        <v>87</v>
      </c>
      <c r="C18" s="58">
        <f t="shared" ref="C18:W18" si="2">C8-C16</f>
        <v>-79471671.882352948</v>
      </c>
      <c r="D18" s="58">
        <f t="shared" si="2"/>
        <v>-1471671.882352941</v>
      </c>
      <c r="E18" s="58">
        <f t="shared" si="2"/>
        <v>-1471671.882352941</v>
      </c>
      <c r="F18" s="58">
        <f t="shared" si="2"/>
        <v>-1471671.882352941</v>
      </c>
      <c r="G18" s="58">
        <f t="shared" si="2"/>
        <v>7518598.3879173277</v>
      </c>
      <c r="H18" s="58">
        <f t="shared" si="2"/>
        <v>9434138.9284578674</v>
      </c>
      <c r="I18" s="58">
        <f t="shared" si="2"/>
        <v>12476301.09062003</v>
      </c>
      <c r="J18" s="58">
        <f t="shared" si="2"/>
        <v>14908733.523052461</v>
      </c>
      <c r="K18" s="58">
        <f t="shared" si="2"/>
        <v>17528276.142595083</v>
      </c>
      <c r="L18" s="58">
        <f t="shared" si="2"/>
        <v>-2379295.2659899704</v>
      </c>
      <c r="M18" s="58">
        <f t="shared" si="2"/>
        <v>871318.98462428153</v>
      </c>
      <c r="N18" s="58">
        <f t="shared" si="2"/>
        <v>4446994.6602999531</v>
      </c>
      <c r="O18" s="58">
        <f t="shared" si="2"/>
        <v>8419967.6332729273</v>
      </c>
      <c r="P18" s="58">
        <f t="shared" si="2"/>
        <v>12889562.227867525</v>
      </c>
      <c r="Q18" s="58">
        <f t="shared" si="2"/>
        <v>17997670.335975628</v>
      </c>
      <c r="R18" s="58">
        <f t="shared" si="2"/>
        <v>13468481.146786444</v>
      </c>
      <c r="S18" s="58">
        <f t="shared" si="2"/>
        <v>13468481.146786444</v>
      </c>
      <c r="T18" s="58">
        <f t="shared" si="2"/>
        <v>13468481.146786444</v>
      </c>
      <c r="U18" s="58">
        <f t="shared" si="2"/>
        <v>13468481.146786444</v>
      </c>
      <c r="V18" s="58">
        <f t="shared" si="2"/>
        <v>13468481.146786444</v>
      </c>
      <c r="W18" s="58">
        <f t="shared" si="2"/>
        <v>13468481.146786444</v>
      </c>
      <c r="X18" s="58">
        <f t="shared" si="0"/>
        <v>101036466</v>
      </c>
    </row>
    <row r="19" spans="2:24" ht="15" customHeight="1" x14ac:dyDescent="0.3">
      <c r="B19" s="59" t="s">
        <v>88</v>
      </c>
      <c r="C19" s="60" cm="1">
        <f t="array" ref="C19">C18</f>
        <v>-79471671.882352948</v>
      </c>
      <c r="D19" s="60">
        <f t="shared" ref="D19:W19" si="3">C19+D18</f>
        <v>-80943343.764705896</v>
      </c>
      <c r="E19" s="60">
        <f t="shared" si="3"/>
        <v>-82415015.647058845</v>
      </c>
      <c r="F19" s="60">
        <f t="shared" si="3"/>
        <v>-83886687.529411793</v>
      </c>
      <c r="G19" s="60">
        <f t="shared" si="3"/>
        <v>-76368089.141494468</v>
      </c>
      <c r="H19" s="60">
        <f t="shared" si="3"/>
        <v>-66933950.213036597</v>
      </c>
      <c r="I19" s="60">
        <f t="shared" si="3"/>
        <v>-54457649.122416571</v>
      </c>
      <c r="J19" s="60">
        <f t="shared" si="3"/>
        <v>-39548915.599364109</v>
      </c>
      <c r="K19" s="60">
        <f t="shared" si="3"/>
        <v>-22020639.456769027</v>
      </c>
      <c r="L19" s="60">
        <f t="shared" si="3"/>
        <v>-24399934.722758997</v>
      </c>
      <c r="M19" s="60">
        <f t="shared" si="3"/>
        <v>-23528615.738134716</v>
      </c>
      <c r="N19" s="60">
        <f t="shared" si="3"/>
        <v>-19081621.077834763</v>
      </c>
      <c r="O19" s="60">
        <f t="shared" si="3"/>
        <v>-10661653.444561835</v>
      </c>
      <c r="P19" s="60">
        <f t="shared" si="3"/>
        <v>2227908.7833056897</v>
      </c>
      <c r="Q19" s="60">
        <f t="shared" si="3"/>
        <v>20225579.119281318</v>
      </c>
      <c r="R19" s="60">
        <f t="shared" si="3"/>
        <v>33694060.266067758</v>
      </c>
      <c r="S19" s="60">
        <f t="shared" si="3"/>
        <v>47162541.412854202</v>
      </c>
      <c r="T19" s="60">
        <f t="shared" si="3"/>
        <v>60631022.559640646</v>
      </c>
      <c r="U19" s="60">
        <f t="shared" si="3"/>
        <v>74099503.706427097</v>
      </c>
      <c r="V19" s="60">
        <f t="shared" si="3"/>
        <v>87567984.853213549</v>
      </c>
      <c r="W19" s="60">
        <f t="shared" si="3"/>
        <v>101036466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73EA48-D632-A568-4DEE-1831FFACA7F8}">
  <dimension ref="B2:C30"/>
  <sheetViews>
    <sheetView showGridLines="0" topLeftCell="B6" workbookViewId="0"/>
  </sheetViews>
  <sheetFormatPr defaultColWidth="7.796875" defaultRowHeight="15" customHeight="1" x14ac:dyDescent="0.3"/>
  <cols>
    <col min="1" max="1" width="1.5" customWidth="1"/>
    <col min="2" max="2" width="35" customWidth="1"/>
    <col min="3" max="3" width="22.5" customWidth="1"/>
  </cols>
  <sheetData>
    <row r="2" spans="2:3" ht="21" customHeight="1" x14ac:dyDescent="0.3">
      <c r="B2" s="1" t="s">
        <v>89</v>
      </c>
    </row>
    <row r="4" spans="2:3" ht="15" customHeight="1" x14ac:dyDescent="0.3">
      <c r="B4" s="29" t="s">
        <v>90</v>
      </c>
      <c r="C4" s="29"/>
    </row>
    <row r="5" spans="2:3" ht="15" customHeight="1" x14ac:dyDescent="0.3">
      <c r="B5" s="61" t="s">
        <v>49</v>
      </c>
      <c r="C5" s="62" cm="1">
        <f t="array" ref="C5">'Area-Cost-Calcs'!C14</f>
        <v>504000000</v>
      </c>
    </row>
    <row r="6" spans="2:3" ht="15" customHeight="1" x14ac:dyDescent="0.3">
      <c r="B6" s="4"/>
      <c r="C6" s="4"/>
    </row>
    <row r="7" spans="2:3" ht="15" customHeight="1" x14ac:dyDescent="0.3">
      <c r="B7" s="29" t="s">
        <v>91</v>
      </c>
      <c r="C7" s="29"/>
    </row>
    <row r="8" spans="2:3" ht="15" customHeight="1" x14ac:dyDescent="0.3">
      <c r="B8" s="6" t="s">
        <v>3</v>
      </c>
      <c r="C8" s="63" cm="1">
        <f t="array" ref="C8">'Area-Cost-Calcs'!C24</f>
        <v>75000000</v>
      </c>
    </row>
    <row r="9" spans="2:3" ht="15" customHeight="1" x14ac:dyDescent="0.3">
      <c r="B9" s="4" t="s">
        <v>17</v>
      </c>
      <c r="C9" s="64" cm="1">
        <f t="array" ref="C9">'Area-Cost-Calcs'!C25</f>
        <v>3000000</v>
      </c>
    </row>
    <row r="10" spans="2:3" ht="15" customHeight="1" x14ac:dyDescent="0.3">
      <c r="B10" s="6" t="s">
        <v>85</v>
      </c>
      <c r="C10" s="63" cm="1">
        <f t="array" ref="C10">'Area-Cost-Calcs'!C26</f>
        <v>269429159.99999994</v>
      </c>
    </row>
    <row r="11" spans="2:3" ht="15" customHeight="1" x14ac:dyDescent="0.3">
      <c r="B11" s="4" t="s">
        <v>57</v>
      </c>
      <c r="C11" s="64" cm="1">
        <f t="array" ref="C11">'Area-Cost-Calcs'!C27</f>
        <v>40414373.999999993</v>
      </c>
    </row>
    <row r="12" spans="2:3" ht="15" customHeight="1" x14ac:dyDescent="0.3">
      <c r="B12" s="6" t="s">
        <v>19</v>
      </c>
      <c r="C12" s="63" cm="1">
        <f t="array" ref="C12">'Area-Cost-Calcs'!C28</f>
        <v>15120000</v>
      </c>
    </row>
    <row r="13" spans="2:3" ht="15" customHeight="1" x14ac:dyDescent="0.3">
      <c r="B13" s="36" t="s">
        <v>58</v>
      </c>
      <c r="C13" s="65" cm="1">
        <f t="array" ref="C13">'Area-Cost-Calcs'!C29</f>
        <v>402963533.99999994</v>
      </c>
    </row>
    <row r="14" spans="2:3" ht="15" customHeight="1" x14ac:dyDescent="0.3">
      <c r="B14" s="4"/>
      <c r="C14" s="4"/>
    </row>
    <row r="15" spans="2:3" ht="15" customHeight="1" x14ac:dyDescent="0.3">
      <c r="B15" s="29" t="s">
        <v>92</v>
      </c>
      <c r="C15" s="29"/>
    </row>
    <row r="16" spans="2:3" ht="15" customHeight="1" x14ac:dyDescent="0.3">
      <c r="B16" s="61" t="s">
        <v>93</v>
      </c>
      <c r="C16" s="66">
        <f>C5-C13</f>
        <v>101036466.00000006</v>
      </c>
    </row>
    <row r="17" spans="2:3" ht="15" customHeight="1" x14ac:dyDescent="0.3">
      <c r="B17" s="67" t="s">
        <v>94</v>
      </c>
      <c r="C17" s="68">
        <f>C16/C5</f>
        <v>0.20046917857142868</v>
      </c>
    </row>
    <row r="18" spans="2:3" ht="15" customHeight="1" x14ac:dyDescent="0.3">
      <c r="B18" s="4"/>
      <c r="C18" s="4"/>
    </row>
    <row r="19" spans="2:3" ht="15" customHeight="1" x14ac:dyDescent="0.3">
      <c r="B19" s="29" t="s">
        <v>95</v>
      </c>
      <c r="C19" s="29"/>
    </row>
    <row r="20" spans="2:3" ht="15" customHeight="1" x14ac:dyDescent="0.3">
      <c r="B20" s="4" t="s">
        <v>96</v>
      </c>
      <c r="C20" s="69">
        <f>IRR('Cash-Flow'!C18:W18)</f>
        <v>6.9005517721824727E-2</v>
      </c>
    </row>
    <row r="21" spans="2:3" ht="15" customHeight="1" x14ac:dyDescent="0.3">
      <c r="B21" s="61" t="s">
        <v>97</v>
      </c>
      <c r="C21" s="70">
        <f>(1+C20)^12-1</f>
        <v>1.2272007396004905</v>
      </c>
    </row>
    <row r="22" spans="2:3" ht="15" customHeight="1" x14ac:dyDescent="0.3">
      <c r="B22" s="4" t="s">
        <v>98</v>
      </c>
      <c r="C22" s="64">
        <f>MIN('Cash-Flow'!C19:W19)</f>
        <v>-83886687.529411793</v>
      </c>
    </row>
    <row r="23" spans="2:3" ht="15" customHeight="1" x14ac:dyDescent="0.3">
      <c r="B23" s="67" t="s">
        <v>99</v>
      </c>
      <c r="C23" s="71">
        <f>ABS(C22)</f>
        <v>83886687.529411793</v>
      </c>
    </row>
    <row r="24" spans="2:3" ht="15" customHeight="1" x14ac:dyDescent="0.3">
      <c r="B24" s="61" t="s">
        <v>100</v>
      </c>
      <c r="C24" s="70">
        <f>C16/C23</f>
        <v>1.2044398101257165</v>
      </c>
    </row>
    <row r="25" spans="2:3" ht="15" customHeight="1" x14ac:dyDescent="0.3">
      <c r="B25" s="4"/>
      <c r="C25" s="4"/>
    </row>
    <row r="26" spans="2:3" ht="15" customHeight="1" x14ac:dyDescent="0.3">
      <c r="B26" s="29" t="s">
        <v>101</v>
      </c>
      <c r="C26" s="29"/>
    </row>
    <row r="27" spans="2:3" ht="15" customHeight="1" x14ac:dyDescent="0.3">
      <c r="B27" s="6" t="s">
        <v>102</v>
      </c>
      <c r="C27" s="72">
        <f>Assumptions!C12+Assumptions!C13</f>
        <v>36</v>
      </c>
    </row>
    <row r="28" spans="2:3" ht="15" customHeight="1" x14ac:dyDescent="0.3">
      <c r="B28" s="4" t="s">
        <v>43</v>
      </c>
      <c r="C28" s="73" cm="1">
        <f t="array" ref="C28">'Area-Cost-Calcs'!C7</f>
        <v>3360</v>
      </c>
    </row>
    <row r="29" spans="2:3" ht="15" customHeight="1" x14ac:dyDescent="0.3">
      <c r="B29" s="6" t="s">
        <v>103</v>
      </c>
      <c r="C29" s="74">
        <f>C5/C28</f>
        <v>150000</v>
      </c>
    </row>
    <row r="30" spans="2:3" ht="15" customHeight="1" x14ac:dyDescent="0.3">
      <c r="B30" s="4" t="s">
        <v>104</v>
      </c>
      <c r="C30" s="64">
        <f>C13/'Area-Cost-Calcs'!C9</f>
        <v>106936.80179606394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34FE18-7368-EFFA-12B8-B69BABE2B78E}">
  <dimension ref="B2:X43"/>
  <sheetViews>
    <sheetView topLeftCell="B1" zoomScale="90" workbookViewId="0"/>
  </sheetViews>
  <sheetFormatPr defaultColWidth="7.796875" defaultRowHeight="15" customHeight="1" x14ac:dyDescent="0.3"/>
  <cols>
    <col min="1" max="1" width="1.5" customWidth="1"/>
    <col min="2" max="2" width="25" customWidth="1"/>
    <col min="3" max="5" width="16.296875" customWidth="1"/>
    <col min="6" max="23" width="10" customWidth="1"/>
  </cols>
  <sheetData>
    <row r="2" spans="2:5" ht="21" customHeight="1" x14ac:dyDescent="0.4">
      <c r="B2" s="38" t="s">
        <v>105</v>
      </c>
    </row>
    <row r="4" spans="2:5" ht="15.75" customHeight="1" x14ac:dyDescent="0.3">
      <c r="B4" s="41"/>
      <c r="C4" s="41" t="s">
        <v>106</v>
      </c>
      <c r="D4" s="41" t="s">
        <v>107</v>
      </c>
      <c r="E4" s="41" t="s">
        <v>108</v>
      </c>
    </row>
    <row r="6" spans="2:5" ht="15.75" customHeight="1" x14ac:dyDescent="0.3">
      <c r="B6" s="39" t="s">
        <v>109</v>
      </c>
      <c r="C6" s="39"/>
      <c r="D6" s="39"/>
      <c r="E6" s="39"/>
    </row>
    <row r="7" spans="2:5" ht="17.25" customHeight="1" x14ac:dyDescent="0.3">
      <c r="B7" s="42" t="s">
        <v>110</v>
      </c>
      <c r="C7" s="43" cm="1">
        <f t="array" ref="C7">Assumptions!E12</f>
        <v>12000000</v>
      </c>
      <c r="D7" s="43">
        <f>Assumptions!E12*0.9</f>
        <v>10800000</v>
      </c>
      <c r="E7" s="49">
        <f t="shared" ref="E7:E35" si="0">D7-C7</f>
        <v>-1200000</v>
      </c>
    </row>
    <row r="8" spans="2:5" ht="17.25" customHeight="1" x14ac:dyDescent="0.3">
      <c r="B8" s="56" t="s">
        <v>111</v>
      </c>
      <c r="C8" s="57" cm="1">
        <f t="array" ref="C8">Assumptions!E13</f>
        <v>15000000</v>
      </c>
      <c r="D8" s="57">
        <f>Assumptions!E13*0.9</f>
        <v>13500000</v>
      </c>
      <c r="E8" s="49">
        <f t="shared" si="0"/>
        <v>-1500000</v>
      </c>
    </row>
    <row r="9" spans="2:5" ht="17.25" customHeight="1" x14ac:dyDescent="0.3">
      <c r="B9" s="42" t="s">
        <v>15</v>
      </c>
      <c r="C9" s="75" cm="1">
        <f t="array" ref="C9">Assumptions!C18</f>
        <v>550</v>
      </c>
      <c r="D9" s="75">
        <f>Assumptions!C18*1.1</f>
        <v>605</v>
      </c>
      <c r="E9">
        <f t="shared" si="0"/>
        <v>55</v>
      </c>
    </row>
    <row r="10" spans="2:5" ht="15.75" customHeight="1" x14ac:dyDescent="0.3">
      <c r="B10" s="56" t="s">
        <v>112</v>
      </c>
      <c r="C10" s="57" cm="1">
        <f t="array" ref="C10">Assumptions!C6</f>
        <v>75000000</v>
      </c>
      <c r="D10" s="57" cm="1">
        <f t="array" ref="D10">Assumptions!C6</f>
        <v>75000000</v>
      </c>
      <c r="E10" s="49">
        <f t="shared" si="0"/>
        <v>0</v>
      </c>
    </row>
    <row r="12" spans="2:5" ht="15.75" customHeight="1" x14ac:dyDescent="0.3">
      <c r="B12" s="39" t="s">
        <v>113</v>
      </c>
      <c r="C12" s="39"/>
      <c r="D12" s="39"/>
      <c r="E12" s="39"/>
    </row>
    <row r="13" spans="2:5" ht="15.75" customHeight="1" x14ac:dyDescent="0.3">
      <c r="B13" s="42" t="s">
        <v>43</v>
      </c>
      <c r="C13" s="43" cm="1">
        <f t="array" ref="C13">'Area-Cost-Calcs'!C7</f>
        <v>3360</v>
      </c>
      <c r="D13" s="51" cm="1">
        <f t="array" ref="D13">C13</f>
        <v>3360</v>
      </c>
      <c r="E13" s="49">
        <f t="shared" si="0"/>
        <v>0</v>
      </c>
    </row>
    <row r="14" spans="2:5" ht="15.75" customHeight="1" x14ac:dyDescent="0.3">
      <c r="B14" s="56" t="s">
        <v>45</v>
      </c>
      <c r="C14" s="57" cm="1">
        <f t="array" ref="C14">'Area-Cost-Calcs'!C9</f>
        <v>3768.24</v>
      </c>
      <c r="D14" s="48" cm="1">
        <f t="array" ref="D14">C14</f>
        <v>3768.24</v>
      </c>
      <c r="E14" s="49">
        <f t="shared" si="0"/>
        <v>0</v>
      </c>
    </row>
    <row r="15" spans="2:5" ht="15.75" customHeight="1" x14ac:dyDescent="0.3">
      <c r="B15" s="55" t="s">
        <v>49</v>
      </c>
      <c r="C15" s="44">
        <f>Assumptions!C12*C7+Assumptions!C13*C8</f>
        <v>504000000</v>
      </c>
      <c r="D15" s="44">
        <f>Assumptions!C12*D7+Assumptions!C13*D8</f>
        <v>453600000</v>
      </c>
      <c r="E15" s="44">
        <f t="shared" si="0"/>
        <v>-50400000</v>
      </c>
    </row>
    <row r="17" spans="2:5" ht="15.75" customHeight="1" x14ac:dyDescent="0.3">
      <c r="B17" s="39" t="s">
        <v>91</v>
      </c>
      <c r="C17" s="39"/>
      <c r="D17" s="39"/>
      <c r="E17" s="39"/>
    </row>
    <row r="18" spans="2:5" ht="17.25" customHeight="1" x14ac:dyDescent="0.3">
      <c r="B18" s="42" t="s">
        <v>3</v>
      </c>
      <c r="C18" s="49" cm="1">
        <f t="array" ref="C18">C10</f>
        <v>75000000</v>
      </c>
      <c r="D18" s="49" cm="1">
        <f t="array" ref="D18">D10</f>
        <v>75000000</v>
      </c>
      <c r="E18" s="49">
        <f t="shared" si="0"/>
        <v>0</v>
      </c>
    </row>
    <row r="19" spans="2:5" ht="17.25" customHeight="1" x14ac:dyDescent="0.3">
      <c r="B19" s="56" t="s">
        <v>17</v>
      </c>
      <c r="C19" s="49">
        <f>C10*Assumptions!C21</f>
        <v>3000000</v>
      </c>
      <c r="D19" s="49">
        <f>D10*Assumptions!C21</f>
        <v>3000000</v>
      </c>
      <c r="E19" s="49">
        <f t="shared" si="0"/>
        <v>0</v>
      </c>
    </row>
    <row r="20" spans="2:5" ht="17.25" customHeight="1" x14ac:dyDescent="0.3">
      <c r="B20" s="42" t="s">
        <v>52</v>
      </c>
      <c r="C20" s="49">
        <f>C14*C9*Assumptions!C8</f>
        <v>269429159.99999994</v>
      </c>
      <c r="D20" s="49">
        <f>D14*D9*Assumptions!C8</f>
        <v>296372075.99999994</v>
      </c>
      <c r="E20" s="49">
        <f t="shared" si="0"/>
        <v>26942916</v>
      </c>
    </row>
    <row r="21" spans="2:5" ht="17.25" customHeight="1" x14ac:dyDescent="0.3">
      <c r="B21" s="56" t="s">
        <v>57</v>
      </c>
      <c r="C21" s="49">
        <f>C20*Assumptions!C22</f>
        <v>40414373.999999993</v>
      </c>
      <c r="D21" s="49">
        <f>D20*Assumptions!C22</f>
        <v>44455811.399999991</v>
      </c>
      <c r="E21" s="49">
        <f t="shared" si="0"/>
        <v>4041437.3999999985</v>
      </c>
    </row>
    <row r="22" spans="2:5" ht="17.25" customHeight="1" x14ac:dyDescent="0.3">
      <c r="B22" s="42" t="s">
        <v>19</v>
      </c>
      <c r="C22" s="49">
        <f>C15*Assumptions!C23</f>
        <v>15120000</v>
      </c>
      <c r="D22" s="49">
        <f>D15*Assumptions!C23</f>
        <v>13608000</v>
      </c>
      <c r="E22" s="49">
        <f t="shared" si="0"/>
        <v>-1512000</v>
      </c>
    </row>
    <row r="23" spans="2:5" ht="15.75" customHeight="1" x14ac:dyDescent="0.3">
      <c r="B23" s="55" t="s">
        <v>58</v>
      </c>
      <c r="C23" s="44">
        <f t="shared" ref="C23:D23" si="1">SUM(C18:C22)</f>
        <v>402963533.99999994</v>
      </c>
      <c r="D23" s="44">
        <f t="shared" si="1"/>
        <v>432435887.39999992</v>
      </c>
      <c r="E23" s="44">
        <f t="shared" si="0"/>
        <v>29472353.399999976</v>
      </c>
    </row>
    <row r="25" spans="2:5" ht="15.75" customHeight="1" x14ac:dyDescent="0.3">
      <c r="B25" s="39" t="s">
        <v>92</v>
      </c>
      <c r="C25" s="39"/>
      <c r="D25" s="39"/>
      <c r="E25" s="39"/>
    </row>
    <row r="26" spans="2:5" ht="15.75" customHeight="1" x14ac:dyDescent="0.3">
      <c r="B26" s="76" t="s">
        <v>93</v>
      </c>
      <c r="C26" s="54">
        <f t="shared" ref="C26:D26" si="2">C15-C23</f>
        <v>101036466.00000006</v>
      </c>
      <c r="D26" s="54">
        <f t="shared" si="2"/>
        <v>21164112.600000083</v>
      </c>
      <c r="E26" s="54">
        <f t="shared" si="0"/>
        <v>-79872353.399999976</v>
      </c>
    </row>
    <row r="27" spans="2:5" ht="17.25" customHeight="1" x14ac:dyDescent="0.3">
      <c r="B27" s="56" t="s">
        <v>94</v>
      </c>
      <c r="C27" s="77">
        <f t="shared" ref="C27:D27" si="3">C26/C15</f>
        <v>0.20046917857142868</v>
      </c>
      <c r="D27" s="77">
        <f t="shared" si="3"/>
        <v>4.6658096560846747E-2</v>
      </c>
      <c r="E27" s="77">
        <f t="shared" si="0"/>
        <v>-0.15381108201058194</v>
      </c>
    </row>
    <row r="28" spans="2:5" ht="17.25" customHeight="1" x14ac:dyDescent="0.3">
      <c r="B28" s="42" t="s">
        <v>103</v>
      </c>
      <c r="C28" s="49">
        <f t="shared" ref="C28:D28" si="4">C15/C13</f>
        <v>150000</v>
      </c>
      <c r="D28" s="49">
        <f t="shared" si="4"/>
        <v>135000</v>
      </c>
      <c r="E28" s="49">
        <f t="shared" si="0"/>
        <v>-15000</v>
      </c>
    </row>
    <row r="29" spans="2:5" ht="17.25" customHeight="1" x14ac:dyDescent="0.3">
      <c r="B29" s="56" t="s">
        <v>104</v>
      </c>
      <c r="C29" s="49">
        <f t="shared" ref="C29:D29" si="5">C23/C14</f>
        <v>106936.80179606394</v>
      </c>
      <c r="D29" s="49">
        <f t="shared" si="5"/>
        <v>114758.05346793197</v>
      </c>
      <c r="E29" s="49">
        <f t="shared" si="0"/>
        <v>7821.2516718680272</v>
      </c>
    </row>
    <row r="31" spans="2:5" ht="15.75" customHeight="1" x14ac:dyDescent="0.3">
      <c r="B31" s="39" t="s">
        <v>95</v>
      </c>
      <c r="C31" s="39"/>
      <c r="D31" s="39"/>
      <c r="E31" s="39"/>
    </row>
    <row r="32" spans="2:5" ht="15.75" customHeight="1" x14ac:dyDescent="0.3">
      <c r="B32" s="42" t="s">
        <v>96</v>
      </c>
      <c r="C32" s="78">
        <f>IRR('Cash-Flow'!C18:W18)</f>
        <v>6.9005517721824727E-2</v>
      </c>
      <c r="D32" s="78">
        <f>IRR(C42:W42)</f>
        <v>1.9560768121597238E-2</v>
      </c>
      <c r="E32" s="78">
        <f t="shared" si="0"/>
        <v>-4.9444749600227489E-2</v>
      </c>
    </row>
    <row r="33" spans="2:24" ht="17.25" customHeight="1" x14ac:dyDescent="0.3">
      <c r="B33" s="56" t="s">
        <v>97</v>
      </c>
      <c r="C33" s="77">
        <f t="shared" ref="C33:D33" si="6">(1+C32)^12-1</f>
        <v>1.2272007396004905</v>
      </c>
      <c r="D33" s="77">
        <f t="shared" si="6"/>
        <v>0.26170373819636983</v>
      </c>
      <c r="E33" s="77">
        <f t="shared" si="0"/>
        <v>-0.96549700140412065</v>
      </c>
    </row>
    <row r="34" spans="2:24" ht="15.75" customHeight="1" x14ac:dyDescent="0.3">
      <c r="B34" s="42" t="s">
        <v>99</v>
      </c>
      <c r="C34" s="51">
        <f>ABS(MIN('Cash-Flow'!C19:W19))</f>
        <v>83886687.529411793</v>
      </c>
      <c r="D34" s="51">
        <f>ABS(MIN(C43:W43))</f>
        <v>84475356.282352924</v>
      </c>
      <c r="E34" s="51">
        <f t="shared" si="0"/>
        <v>588668.75294113159</v>
      </c>
    </row>
    <row r="35" spans="2:24" ht="17.25" customHeight="1" x14ac:dyDescent="0.3">
      <c r="B35" s="56" t="s">
        <v>100</v>
      </c>
      <c r="C35" s="77">
        <f t="shared" ref="C35:D35" si="7">C26/C34</f>
        <v>1.2044398101257165</v>
      </c>
      <c r="D35" s="77">
        <f t="shared" si="7"/>
        <v>0.25053593771490623</v>
      </c>
      <c r="E35" s="77">
        <f t="shared" si="0"/>
        <v>-0.95390387241081032</v>
      </c>
    </row>
    <row r="38" spans="2:24" ht="15.75" customHeight="1" x14ac:dyDescent="0.3">
      <c r="B38" s="39" t="s">
        <v>114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39"/>
      <c r="R38" s="39"/>
      <c r="S38" s="39"/>
      <c r="T38" s="39"/>
      <c r="U38" s="39"/>
      <c r="V38" s="39"/>
      <c r="W38" s="39"/>
      <c r="X38" s="39"/>
    </row>
    <row r="39" spans="2:24" ht="15.75" customHeight="1" x14ac:dyDescent="0.3">
      <c r="B39" s="40" t="s">
        <v>61</v>
      </c>
      <c r="C39" s="40">
        <v>1</v>
      </c>
      <c r="D39" s="40">
        <v>2</v>
      </c>
      <c r="E39" s="40">
        <v>3</v>
      </c>
      <c r="F39" s="40">
        <v>4</v>
      </c>
      <c r="G39" s="40">
        <v>5</v>
      </c>
      <c r="H39" s="40">
        <v>6</v>
      </c>
      <c r="I39" s="40">
        <v>7</v>
      </c>
      <c r="J39" s="40">
        <v>8</v>
      </c>
      <c r="K39" s="40">
        <v>9</v>
      </c>
      <c r="L39" s="40">
        <v>10</v>
      </c>
      <c r="M39" s="40">
        <v>11</v>
      </c>
      <c r="N39" s="40">
        <v>12</v>
      </c>
      <c r="O39" s="40">
        <v>13</v>
      </c>
      <c r="P39" s="40">
        <v>14</v>
      </c>
      <c r="Q39" s="40">
        <v>15</v>
      </c>
      <c r="R39" s="40">
        <v>16</v>
      </c>
      <c r="S39" s="40">
        <v>17</v>
      </c>
      <c r="T39" s="40">
        <v>18</v>
      </c>
      <c r="U39" s="40">
        <v>19</v>
      </c>
      <c r="V39" s="40">
        <v>20</v>
      </c>
      <c r="W39" s="40">
        <v>21</v>
      </c>
      <c r="X39" s="40"/>
    </row>
    <row r="40" spans="2:24" ht="15.75" customHeight="1" x14ac:dyDescent="0.3">
      <c r="B40" s="42" t="s">
        <v>115</v>
      </c>
      <c r="C40" s="43">
        <f>'Sales-Schedule'!C44*(D15/C15)</f>
        <v>0</v>
      </c>
      <c r="D40" s="43">
        <f>'Sales-Schedule'!D44*(D15/C15)</f>
        <v>0</v>
      </c>
      <c r="E40" s="43">
        <f>'Sales-Schedule'!E44*(D15/C15)</f>
        <v>0</v>
      </c>
      <c r="F40" s="43">
        <f>'Sales-Schedule'!F44*(D15/C15)</f>
        <v>0</v>
      </c>
      <c r="G40" s="43">
        <f>'Sales-Schedule'!G44*(D15/C15)</f>
        <v>9194594.5945945922</v>
      </c>
      <c r="H40" s="43">
        <f>'Sales-Schedule'!H44*(D15/C15)</f>
        <v>10918581.081081079</v>
      </c>
      <c r="I40" s="43">
        <f>'Sales-Schedule'!I44*(D15/C15)</f>
        <v>13779121.62162162</v>
      </c>
      <c r="J40" s="43">
        <f>'Sales-Schedule'!J44*(D15/C15)</f>
        <v>15968310.810810808</v>
      </c>
      <c r="K40" s="43">
        <f>'Sales-Schedule'!K44*(D15/C15)</f>
        <v>18325899.168399166</v>
      </c>
      <c r="L40" s="43">
        <f>'Sales-Schedule'!L44*(D15/C15)</f>
        <v>21390764.03326403</v>
      </c>
      <c r="M40" s="43">
        <f>'Sales-Schedule'!M44*(D15/C15)</f>
        <v>24316316.858816855</v>
      </c>
      <c r="N40" s="43">
        <f>'Sales-Schedule'!N44*(D15/C15)</f>
        <v>27534424.966924962</v>
      </c>
      <c r="O40" s="43">
        <f>'Sales-Schedule'!O44*(D15/C15)</f>
        <v>31110100.642600637</v>
      </c>
      <c r="P40" s="43">
        <f>'Sales-Schedule'!P44*(D15/C15)</f>
        <v>35132735.777735777</v>
      </c>
      <c r="Q40" s="43">
        <f>'Sales-Schedule'!Q44*(D15/C15)</f>
        <v>39730033.075033069</v>
      </c>
      <c r="R40" s="43">
        <f>'Sales-Schedule'!R44*(D15/C15)</f>
        <v>34366519.561519563</v>
      </c>
      <c r="S40" s="43">
        <f>'Sales-Schedule'!S44*(D15/C15)</f>
        <v>34366519.561519563</v>
      </c>
      <c r="T40" s="43">
        <f>'Sales-Schedule'!T44*(D15/C15)</f>
        <v>34366519.561519563</v>
      </c>
      <c r="U40" s="43">
        <f>'Sales-Schedule'!U44*(D15/C15)</f>
        <v>34366519.561519563</v>
      </c>
      <c r="V40" s="43">
        <f>'Sales-Schedule'!V44*(D15/C15)</f>
        <v>34366519.561519563</v>
      </c>
      <c r="W40" s="43">
        <f>'Sales-Schedule'!W44*(D15/C15)</f>
        <v>34366519.561519563</v>
      </c>
    </row>
    <row r="41" spans="2:24" ht="15.75" customHeight="1" x14ac:dyDescent="0.3">
      <c r="B41" s="56" t="s">
        <v>116</v>
      </c>
      <c r="C41" s="48">
        <f>IF(1=1,D18+D19,0)+IF(1&lt;Assumptions!C41,D21*(1-Assumptions!C36)/((Assumptions!C41-1)*(1-Assumptions!C36)+(Assumptions!C42-Assumptions!C41+1)),IF(1&lt;=Assumptions!C42,D21/((Assumptions!C41-1)*(1-Assumptions!C36)+(Assumptions!C42-Assumptions!C41+1)),0))+IF(AND(1&gt;=Assumptions!C41,1&lt;=Assumptions!C42),D20/(Assumptions!C42-Assumptions!C41+1),0)+'Sales-Schedule'!C6*(D15/C15)*Assumptions!C23</f>
        <v>79618839.070588231</v>
      </c>
      <c r="D41" s="48">
        <f>IF(2=1,D18+D19,0)+IF(2&lt;Assumptions!C41,D21*(1-Assumptions!C36)/((Assumptions!C41-1)*(1-Assumptions!C36)+(Assumptions!C42-Assumptions!C41+1)),IF(2&lt;=Assumptions!C42,D21/((Assumptions!C41-1)*(1-Assumptions!C36)+(Assumptions!C42-Assumptions!C41+1)),0))+IF(AND(2&gt;=Assumptions!C41,2&lt;=Assumptions!C42),D20/(Assumptions!C42-Assumptions!C41+1),0)+'Sales-Schedule'!D6*(D15/C15)*Assumptions!C23</f>
        <v>1618839.070588235</v>
      </c>
      <c r="E41" s="48">
        <f>IF(3=1,D18+D19,0)+IF(3&lt;Assumptions!C41,D21*(1-Assumptions!C36)/((Assumptions!C41-1)*(1-Assumptions!C36)+(Assumptions!C42-Assumptions!C41+1)),IF(3&lt;=Assumptions!C42,D21/((Assumptions!C41-1)*(1-Assumptions!C36)+(Assumptions!C42-Assumptions!C41+1)),0))+IF(AND(3&gt;=Assumptions!C41,3&lt;=Assumptions!C42),D20/(Assumptions!C42-Assumptions!C41+1),0)+'Sales-Schedule'!E6*(D15/C15)*Assumptions!C23</f>
        <v>1618839.070588235</v>
      </c>
      <c r="F41" s="48">
        <f>IF(4=1,D18+D19,0)+IF(4&lt;Assumptions!C41,D21*(1-Assumptions!C36)/((Assumptions!C41-1)*(1-Assumptions!C36)+(Assumptions!C42-Assumptions!C41+1)),IF(4&lt;=Assumptions!C42,D21/((Assumptions!C41-1)*(1-Assumptions!C36)+(Assumptions!C42-Assumptions!C41+1)),0))+IF(AND(4&gt;=Assumptions!C41,4&lt;=Assumptions!C42),D20/(Assumptions!C42-Assumptions!C41+1),0)+'Sales-Schedule'!F6*(D15/C15)*Assumptions!C23</f>
        <v>1618839.070588235</v>
      </c>
      <c r="G41" s="48">
        <f>IF(5=1,D18+D19,0)+IF(5&lt;Assumptions!C41,D21*(1-Assumptions!C36)/((Assumptions!C41-1)*(1-Assumptions!C36)+(Assumptions!C42-Assumptions!C41+1)),IF(5&lt;=Assumptions!C42,D21/((Assumptions!C41-1)*(1-Assumptions!C36)+(Assumptions!C42-Assumptions!C41+1)),0))+IF(AND(5&gt;=Assumptions!C41,5&lt;=Assumptions!C42),D20/(Assumptions!C42-Assumptions!C41+1),0)+'Sales-Schedule'!G6*(D15/C15)*Assumptions!C23</f>
        <v>2722190.4219395863</v>
      </c>
      <c r="H41" s="48">
        <f>IF(6=1,D18+D19,0)+IF(6&lt;Assumptions!C41,D21*(1-Assumptions!C36)/((Assumptions!C41-1)*(1-Assumptions!C36)+(Assumptions!C42-Assumptions!C41+1)),IF(6&lt;=Assumptions!C42,D21/((Assumptions!C41-1)*(1-Assumptions!C36)+(Assumptions!C42-Assumptions!C41+1)),0))+IF(AND(6&gt;=Assumptions!C41,6&lt;=Assumptions!C42),D20/(Assumptions!C42-Assumptions!C41+1),0)+'Sales-Schedule'!H6*(D15/C15)*Assumptions!C23</f>
        <v>2722190.4219395863</v>
      </c>
      <c r="I41" s="48">
        <f>IF(7=1,D18+D19,0)+IF(7&lt;Assumptions!C41,D21*(1-Assumptions!C36)/((Assumptions!C41-1)*(1-Assumptions!C36)+(Assumptions!C42-Assumptions!C41+1)),IF(7&lt;=Assumptions!C42,D21/((Assumptions!C41-1)*(1-Assumptions!C36)+(Assumptions!C42-Assumptions!C41+1)),0))+IF(AND(7&gt;=Assumptions!C41,7&lt;=Assumptions!C42),D20/(Assumptions!C42-Assumptions!C41+1),0)+'Sales-Schedule'!I6*(D15/C15)*Assumptions!C23</f>
        <v>2844785.0165341808</v>
      </c>
      <c r="J41" s="48">
        <f>IF(8=1,D18+D19,0)+IF(8&lt;Assumptions!C41,D21*(1-Assumptions!C36)/((Assumptions!C41-1)*(1-Assumptions!C36)+(Assumptions!C42-Assumptions!C41+1)),IF(8&lt;=Assumptions!C42,D21/((Assumptions!C41-1)*(1-Assumptions!C36)+(Assumptions!C42-Assumptions!C41+1)),0))+IF(AND(8&gt;=Assumptions!C41,8&lt;=Assumptions!C42),D20/(Assumptions!C42-Assumptions!C41+1),0)+'Sales-Schedule'!J6*(D15/C15)*Assumptions!C23</f>
        <v>2844785.0165341808</v>
      </c>
      <c r="K41" s="48">
        <f>IF(9=1,D18+D19,0)+IF(9&lt;Assumptions!C41,D21*(1-Assumptions!C36)/((Assumptions!C41-1)*(1-Assumptions!C36)+(Assumptions!C42-Assumptions!C41+1)),IF(9&lt;=Assumptions!C42,D21/((Assumptions!C41-1)*(1-Assumptions!C36)+(Assumptions!C42-Assumptions!C41+1)),0))+IF(AND(9&gt;=Assumptions!C41,9&lt;=Assumptions!C42),D20/(Assumptions!C42-Assumptions!C41+1),0)+'Sales-Schedule'!K6*(D15/C15)*Assumptions!C23</f>
        <v>2844785.0165341808</v>
      </c>
      <c r="L41" s="48">
        <f>IF(10=1,D18+D19,0)+IF(10&lt;Assumptions!C41,D21*(1-Assumptions!C36)/((Assumptions!C41-1)*(1-Assumptions!C36)+(Assumptions!C42-Assumptions!C41+1)),IF(10&lt;=Assumptions!C42,D21/((Assumptions!C41-1)*(1-Assumptions!C36)+(Assumptions!C42-Assumptions!C41+1)),0))+IF(AND(10&gt;=Assumptions!C41,10&lt;=Assumptions!C42),D20/(Assumptions!C42-Assumptions!C41+1),0)+'Sales-Schedule'!L6*(D15/C15)*Assumptions!C23</f>
        <v>28475437.890302062</v>
      </c>
      <c r="M41" s="48">
        <f>IF(11=1,D18+D19,0)+IF(11&lt;Assumptions!C41,D21*(1-Assumptions!C36)/((Assumptions!C41-1)*(1-Assumptions!C36)+(Assumptions!C42-Assumptions!C41+1)),IF(11&lt;=Assumptions!C42,D21/((Assumptions!C41-1)*(1-Assumptions!C36)+(Assumptions!C42-Assumptions!C41+1)),0))+IF(AND(11&gt;=Assumptions!C41,11&lt;=Assumptions!C42),D20/(Assumptions!C42-Assumptions!C41+1),0)+'Sales-Schedule'!M6*(D15/C15)*Assumptions!C23</f>
        <v>28475437.890302062</v>
      </c>
      <c r="N41" s="48">
        <f>IF(12=1,D18+D19,0)+IF(12&lt;Assumptions!C41,D21*(1-Assumptions!C36)/((Assumptions!C41-1)*(1-Assumptions!C36)+(Assumptions!C42-Assumptions!C41+1)),IF(12&lt;=Assumptions!C42,D21/((Assumptions!C41-1)*(1-Assumptions!C36)+(Assumptions!C42-Assumptions!C41+1)),0))+IF(AND(12&gt;=Assumptions!C41,12&lt;=Assumptions!C42),D20/(Assumptions!C42-Assumptions!C41+1),0)+'Sales-Schedule'!N6*(D15/C15)*Assumptions!C23</f>
        <v>28475437.890302062</v>
      </c>
      <c r="O41" s="48">
        <f>IF(13=1,D18+D19,0)+IF(13&lt;Assumptions!C41,D21*(1-Assumptions!C36)/((Assumptions!C41-1)*(1-Assumptions!C36)+(Assumptions!C42-Assumptions!C41+1)),IF(13&lt;=Assumptions!C42,D21/((Assumptions!C41-1)*(1-Assumptions!C36)+(Assumptions!C42-Assumptions!C41+1)),0))+IF(AND(13&gt;=Assumptions!C41,13&lt;=Assumptions!C42),D20/(Assumptions!C42-Assumptions!C41+1),0)+'Sales-Schedule'!O6*(D15/C15)*Assumptions!C23</f>
        <v>28475437.890302062</v>
      </c>
      <c r="P41" s="48">
        <f>IF(14=1,D18+D19,0)+IF(14&lt;Assumptions!C41,D21*(1-Assumptions!C36)/((Assumptions!C41-1)*(1-Assumptions!C36)+(Assumptions!C42-Assumptions!C41+1)),IF(14&lt;=Assumptions!C42,D21/((Assumptions!C41-1)*(1-Assumptions!C36)+(Assumptions!C42-Assumptions!C41+1)),0))+IF(AND(14&gt;=Assumptions!C41,14&lt;=Assumptions!C42),D20/(Assumptions!C42-Assumptions!C41+1),0)+'Sales-Schedule'!P6*(D15/C15)*Assumptions!C23</f>
        <v>28475437.890302062</v>
      </c>
      <c r="Q41" s="48">
        <f>IF(15=1,D18+D19,0)+IF(15&lt;Assumptions!C41,D21*(1-Assumptions!C36)/((Assumptions!C41-1)*(1-Assumptions!C36)+(Assumptions!C42-Assumptions!C41+1)),IF(15&lt;=Assumptions!C42,D21/((Assumptions!C41-1)*(1-Assumptions!C36)+(Assumptions!C42-Assumptions!C41+1)),0))+IF(AND(15&gt;=Assumptions!C41,15&lt;=Assumptions!C42),D20/(Assumptions!C42-Assumptions!C41+1),0)+'Sales-Schedule'!Q6*(D15/C15)*Assumptions!C23</f>
        <v>28475437.890302062</v>
      </c>
      <c r="R41" s="48">
        <f>IF(16=1,D18+D19,0)+IF(16&lt;Assumptions!C41,D21*(1-Assumptions!C36)/((Assumptions!C41-1)*(1-Assumptions!C36)+(Assumptions!C42-Assumptions!C41+1)),IF(16&lt;=Assumptions!C42,D21/((Assumptions!C41-1)*(1-Assumptions!C36)+(Assumptions!C42-Assumptions!C41+1)),0))+IF(AND(16&gt;=Assumptions!C41,16&lt;=Assumptions!C42),D20/(Assumptions!C42-Assumptions!C41+1),0)+'Sales-Schedule'!R6*(D15/C15)*Assumptions!C23</f>
        <v>27188194.647058818</v>
      </c>
      <c r="S41" s="48">
        <f>IF(17=1,D18+D19,0)+IF(17&lt;Assumptions!C41,D21*(1-Assumptions!C36)/((Assumptions!C41-1)*(1-Assumptions!C36)+(Assumptions!C42-Assumptions!C41+1)),IF(17&lt;=Assumptions!C42,D21/((Assumptions!C41-1)*(1-Assumptions!C36)+(Assumptions!C42-Assumptions!C41+1)),0))+IF(AND(17&gt;=Assumptions!C41,17&lt;=Assumptions!C42),D20/(Assumptions!C42-Assumptions!C41+1),0)+'Sales-Schedule'!S6*(D15/C15)*Assumptions!C23</f>
        <v>27188194.647058818</v>
      </c>
      <c r="T41" s="48">
        <f>IF(18=1,D18+D19,0)+IF(18&lt;Assumptions!C41,D21*(1-Assumptions!C36)/((Assumptions!C41-1)*(1-Assumptions!C36)+(Assumptions!C42-Assumptions!C41+1)),IF(18&lt;=Assumptions!C42,D21/((Assumptions!C41-1)*(1-Assumptions!C36)+(Assumptions!C42-Assumptions!C41+1)),0))+IF(AND(18&gt;=Assumptions!C41,18&lt;=Assumptions!C42),D20/(Assumptions!C42-Assumptions!C41+1),0)+'Sales-Schedule'!T6*(D15/C15)*Assumptions!C23</f>
        <v>27188194.647058818</v>
      </c>
      <c r="U41" s="48">
        <f>IF(19=1,D18+D19,0)+IF(19&lt;Assumptions!C41,D21*(1-Assumptions!C36)/((Assumptions!C41-1)*(1-Assumptions!C36)+(Assumptions!C42-Assumptions!C41+1)),IF(19&lt;=Assumptions!C42,D21/((Assumptions!C41-1)*(1-Assumptions!C36)+(Assumptions!C42-Assumptions!C41+1)),0))+IF(AND(19&gt;=Assumptions!C41,19&lt;=Assumptions!C42),D20/(Assumptions!C42-Assumptions!C41+1),0)+'Sales-Schedule'!U6*(D15/C15)*Assumptions!C23</f>
        <v>27188194.647058818</v>
      </c>
      <c r="V41" s="48">
        <f>IF(20=1,D18+D19,0)+IF(20&lt;Assumptions!C41,D21*(1-Assumptions!C36)/((Assumptions!C41-1)*(1-Assumptions!C36)+(Assumptions!C42-Assumptions!C41+1)),IF(20&lt;=Assumptions!C42,D21/((Assumptions!C41-1)*(1-Assumptions!C36)+(Assumptions!C42-Assumptions!C41+1)),0))+IF(AND(20&gt;=Assumptions!C41,20&lt;=Assumptions!C42),D20/(Assumptions!C42-Assumptions!C41+1),0)+'Sales-Schedule'!V6*(D15/C15)*Assumptions!C23</f>
        <v>27188194.647058818</v>
      </c>
      <c r="W41" s="48">
        <f>IF(21=1,D18+D19,0)+IF(21&lt;Assumptions!C41,D21*(1-Assumptions!C36)/((Assumptions!C41-1)*(1-Assumptions!C36)+(Assumptions!C42-Assumptions!C41+1)),IF(21&lt;=Assumptions!C42,D21/((Assumptions!C41-1)*(1-Assumptions!C36)+(Assumptions!C42-Assumptions!C41+1)),0))+IF(AND(21&gt;=Assumptions!C41,21&lt;=Assumptions!C42),D20/(Assumptions!C42-Assumptions!C41+1),0)+'Sales-Schedule'!W6*(D15/C15)*Assumptions!C23</f>
        <v>27188194.647058818</v>
      </c>
    </row>
    <row r="42" spans="2:24" ht="15.75" customHeight="1" x14ac:dyDescent="0.3">
      <c r="B42" s="79" t="s">
        <v>117</v>
      </c>
      <c r="C42" s="58">
        <f t="shared" ref="C42:W42" si="8">C40-C41</f>
        <v>-79618839.070588231</v>
      </c>
      <c r="D42" s="58">
        <f t="shared" si="8"/>
        <v>-1618839.070588235</v>
      </c>
      <c r="E42" s="58">
        <f t="shared" si="8"/>
        <v>-1618839.070588235</v>
      </c>
      <c r="F42" s="58">
        <f t="shared" si="8"/>
        <v>-1618839.070588235</v>
      </c>
      <c r="G42" s="58">
        <f t="shared" si="8"/>
        <v>6472404.1726550059</v>
      </c>
      <c r="H42" s="58">
        <f t="shared" si="8"/>
        <v>8196390.659141493</v>
      </c>
      <c r="I42" s="58">
        <f t="shared" si="8"/>
        <v>10934336.605087439</v>
      </c>
      <c r="J42" s="58">
        <f t="shared" si="8"/>
        <v>13123525.794276627</v>
      </c>
      <c r="K42" s="58">
        <f t="shared" si="8"/>
        <v>15481114.151864985</v>
      </c>
      <c r="L42" s="58">
        <f t="shared" si="8"/>
        <v>-7084673.8570380323</v>
      </c>
      <c r="M42" s="58">
        <f t="shared" si="8"/>
        <v>-4159121.0314852074</v>
      </c>
      <c r="N42" s="58">
        <f t="shared" si="8"/>
        <v>-941012.92337710038</v>
      </c>
      <c r="O42" s="58">
        <f t="shared" si="8"/>
        <v>2634662.7522985749</v>
      </c>
      <c r="P42" s="58">
        <f t="shared" si="8"/>
        <v>6657297.8874337152</v>
      </c>
      <c r="Q42" s="58">
        <f t="shared" si="8"/>
        <v>11254595.184731007</v>
      </c>
      <c r="R42" s="58">
        <f t="shared" si="8"/>
        <v>7178324.9144607447</v>
      </c>
      <c r="S42" s="58">
        <f t="shared" si="8"/>
        <v>7178324.9144607447</v>
      </c>
      <c r="T42" s="58">
        <f t="shared" si="8"/>
        <v>7178324.9144607447</v>
      </c>
      <c r="U42" s="58">
        <f t="shared" si="8"/>
        <v>7178324.9144607447</v>
      </c>
      <c r="V42" s="58">
        <f t="shared" si="8"/>
        <v>7178324.9144607447</v>
      </c>
      <c r="W42" s="58">
        <f t="shared" si="8"/>
        <v>7178324.9144607447</v>
      </c>
    </row>
    <row r="43" spans="2:24" ht="17.25" customHeight="1" x14ac:dyDescent="0.3">
      <c r="B43" s="59" t="s">
        <v>88</v>
      </c>
      <c r="C43" s="49" cm="1">
        <f t="array" ref="C43">C42</f>
        <v>-79618839.070588231</v>
      </c>
      <c r="D43" s="49">
        <f t="shared" ref="D43:W43" si="9">C43+D42</f>
        <v>-81237678.141176462</v>
      </c>
      <c r="E43" s="49">
        <f t="shared" si="9"/>
        <v>-82856517.211764693</v>
      </c>
      <c r="F43" s="49">
        <f t="shared" si="9"/>
        <v>-84475356.282352924</v>
      </c>
      <c r="G43" s="49">
        <f t="shared" si="9"/>
        <v>-78002952.109697923</v>
      </c>
      <c r="H43" s="49">
        <f t="shared" si="9"/>
        <v>-69806561.450556427</v>
      </c>
      <c r="I43" s="49">
        <f t="shared" si="9"/>
        <v>-58872224.845468991</v>
      </c>
      <c r="J43" s="49">
        <f t="shared" si="9"/>
        <v>-45748699.051192366</v>
      </c>
      <c r="K43" s="49">
        <f t="shared" si="9"/>
        <v>-30267584.899327382</v>
      </c>
      <c r="L43" s="49">
        <f t="shared" si="9"/>
        <v>-37352258.756365418</v>
      </c>
      <c r="M43" s="49">
        <f t="shared" si="9"/>
        <v>-41511379.787850626</v>
      </c>
      <c r="N43" s="49">
        <f t="shared" si="9"/>
        <v>-42452392.71122773</v>
      </c>
      <c r="O43" s="49">
        <f t="shared" si="9"/>
        <v>-39817729.958929151</v>
      </c>
      <c r="P43" s="49">
        <f t="shared" si="9"/>
        <v>-33160432.071495436</v>
      </c>
      <c r="Q43" s="49">
        <f t="shared" si="9"/>
        <v>-21905836.88676443</v>
      </c>
      <c r="R43" s="49">
        <f t="shared" si="9"/>
        <v>-14727511.972303685</v>
      </c>
      <c r="S43" s="49">
        <f t="shared" si="9"/>
        <v>-7549187.0578429401</v>
      </c>
      <c r="T43" s="49">
        <f t="shared" si="9"/>
        <v>-370862.14338219538</v>
      </c>
      <c r="U43" s="49">
        <f t="shared" si="9"/>
        <v>6807462.7710785493</v>
      </c>
      <c r="V43" s="49">
        <f t="shared" si="9"/>
        <v>13985787.685539294</v>
      </c>
      <c r="W43" s="49">
        <f t="shared" si="9"/>
        <v>21164112.600000039</v>
      </c>
    </row>
  </sheetData>
  <pageMargins left="0.7" right="0.7" top="0.75" bottom="0.75" header="0.3" footer="0.3"/>
  <pageSetup orientation="portrait"/>
  <headerFooter>
    <oddHeader>&amp;L&amp;C&amp;R</oddHeader>
    <oddFooter>&amp;L&amp;C&amp;R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Area-Cost-Calcs</vt:lpstr>
      <vt:lpstr>Sales-Schedule</vt:lpstr>
      <vt:lpstr>Cash-Flow</vt:lpstr>
      <vt:lpstr>Project-Summary</vt:lpstr>
      <vt:lpstr>Scenarios</vt:lpstr>
    </vt:vector>
  </TitlesOfParts>
  <Company>Shortcut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Shortcut</dc:creator>
  <cp:lastModifiedBy>Dmitry Markov</cp:lastModifiedBy>
  <dcterms:created xsi:type="dcterms:W3CDTF">2025-05-22T23:41:35Z</dcterms:created>
  <dcterms:modified xsi:type="dcterms:W3CDTF">2026-05-09T12:00:33Z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hortcut_file_id">
    <vt:lpwstr>e734d93d-0ba8-411e-a863-bb5657a00a29</vt:lpwstr>
  </property>
</Properties>
</file>