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C:\chandu\personal\Croton100\CarbonTrackingAndApp\"/>
    </mc:Choice>
  </mc:AlternateContent>
  <xr:revisionPtr revIDLastSave="0" documentId="13_ncr:1_{204E8180-DD11-4BCA-AF52-8DA8D9CE6386}" xr6:coauthVersionLast="45" xr6:coauthVersionMax="45" xr10:uidLastSave="{00000000-0000-0000-0000-000000000000}"/>
  <bookViews>
    <workbookView xWindow="-120" yWindow="-120" windowWidth="24240" windowHeight="17640" xr2:uid="{00000000-000D-0000-FFFF-FFFF00000000}"/>
  </bookViews>
  <sheets>
    <sheet name="Color coding" sheetId="12" r:id="rId1"/>
    <sheet name="Intro" sheetId="1" r:id="rId2"/>
    <sheet name="Transportation" sheetId="2" r:id="rId3"/>
    <sheet name="Heating" sheetId="3" r:id="rId4"/>
    <sheet name="Electricity" sheetId="4" r:id="rId5"/>
    <sheet name="Food and Waste" sheetId="5" r:id="rId6"/>
    <sheet name="Goods &amp; services" sheetId="6" r:id="rId7"/>
    <sheet name="Summary" sheetId="7" r:id="rId8"/>
    <sheet name="Assumptions" sheetId="8" r:id="rId9"/>
    <sheet name="EMISSION_FACTORS" sheetId="9" r:id="rId10"/>
    <sheet name="EPA" sheetId="10" r:id="rId11"/>
    <sheet name="Sheet1 (2)" sheetId="11" r:id="rId12"/>
  </sheets>
  <definedNames>
    <definedName name="AC_electricity_percent">Assumptions!$C$66</definedName>
    <definedName name="Average_elec_CO2_emissions">Assumptions!$C$25</definedName>
    <definedName name="Average_FO_CO2_emissions">Assumptions!$C$35</definedName>
    <definedName name="average_mpg">Assumptions!$C$7</definedName>
    <definedName name="average_waste_emissions">Assumptions!$C$47</definedName>
    <definedName name="boiler_replacement_cost_savings">Assumptions!$C$83</definedName>
    <definedName name="boiler_replacement_savings_FO">Assumptions!$C$82</definedName>
    <definedName name="boiler_replacement_savings_NG">Assumptions!$C$81</definedName>
    <definedName name="BTU_per_1000cf_NG">Assumptions!$C$93</definedName>
    <definedName name="BTU_per_gallon_FO">Assumptions!$C$97</definedName>
    <definedName name="BTU_per_gallon_propane">Assumptions!$C$100</definedName>
    <definedName name="BTU_per_kWh">Assumptions!$C$94</definedName>
    <definedName name="CO2_C_ratio">Assumptions!$C$87</definedName>
    <definedName name="computer_energy_monitor_off">Assumptions!$C$72</definedName>
    <definedName name="computer_energy_off">Assumptions!$C$70</definedName>
    <definedName name="computer_energy_sleep_monitor_off">Assumptions!$C$71</definedName>
    <definedName name="computer_energy_sleep_off">Assumptions!$C$69</definedName>
    <definedName name="computer_sleep_savings">Assumptions!$C$68</definedName>
    <definedName name="conventional_fridge_kWh">Assumptions!$C$79</definedName>
    <definedName name="conversion_1000cf_to_therm">Assumptions!$C$91</definedName>
    <definedName name="conversion_QBtu_to_Btu">Assumptions!$C$88</definedName>
    <definedName name="conversion_Tg_to_lb">Assumptions!$C$89</definedName>
    <definedName name="cost_per_kWh">Assumptions!$C$23</definedName>
    <definedName name="cost_per_mile">Assumptions!$C$57</definedName>
    <definedName name="dryer_energy">Assumptions!$C$74</definedName>
    <definedName name="EF_fuel_oil_gallon">Assumptions!$C$32</definedName>
    <definedName name="EF_fuel_oil_MMBtu">Assumptions!$C$34</definedName>
    <definedName name="EF_natural_gas">Assumptions!$C$17</definedName>
    <definedName name="EF_natural_gas_therm">Assumptions!$C$16</definedName>
    <definedName name="EF_passenger_vehicle">Assumptions!$C$5</definedName>
    <definedName name="EF_propane">Assumptions!$C$42</definedName>
    <definedName name="ENERGYSTAR_fridge_kWh">Assumptions!$C$78</definedName>
    <definedName name="fridge_replacement_kWh_savings">Assumptions!$C$80</definedName>
    <definedName name="fuel_oil_cost">Assumptions!$C$30</definedName>
    <definedName name="gas_cost_gallon">Assumptions!$C$59</definedName>
    <definedName name="glass_recycling_avoided_emissions">Assumptions!$C$50</definedName>
    <definedName name="green_power_premium">Assumptions!$C$75</definedName>
    <definedName name="heating_percent_electricity">Assumptions!$C$63</definedName>
    <definedName name="heating_percent_fuel_oil">Assumptions!$C$64</definedName>
    <definedName name="heating_percent_NG">Assumptions!$C$62</definedName>
    <definedName name="heating_percent_propane">Assumptions!$C$65</definedName>
    <definedName name="HH_size">Assumptions!$C$101</definedName>
    <definedName name="HHV_fuel_oil">Assumptions!$C$97</definedName>
    <definedName name="HHV_natural_gas">Assumptions!$C$93</definedName>
    <definedName name="HHV_propane">Assumptions!$C$100</definedName>
    <definedName name="kWh_per_load_laundry">Assumptions!$C$73</definedName>
    <definedName name="lamp_cost_savings">Assumptions!$C$77</definedName>
    <definedName name="lamp_kWh_savings">Assumptions!$C$76</definedName>
    <definedName name="mag_recycling_avoided_emissions">Assumptions!$C$52</definedName>
    <definedName name="metal_recycling_avoided_emissions">Assumptions!$C$48</definedName>
    <definedName name="monthly_elec_consumption">Assumptions!$C$22</definedName>
    <definedName name="monthly_FO_consumption">Assumptions!$C$29</definedName>
    <definedName name="monthly_NG_Consumption">Assumptions!$C$12</definedName>
    <definedName name="monthly_propane_consumption">Assumptions!$C$39</definedName>
    <definedName name="Natural_gas_cost_1000CF">Assumptions!$C$13</definedName>
    <definedName name="Natural_gas_cost_therm">Assumptions!$C$14</definedName>
    <definedName name="newspaper_recycling_avoided_emissions">Assumptions!$C$51</definedName>
    <definedName name="NG_CO2_annual_emissions">Assumptions!$C$18</definedName>
    <definedName name="nonCO2_vehicle_emissions_ratio">Assumptions!$C$6</definedName>
    <definedName name="OilFuelRate">EPA!$J$5</definedName>
    <definedName name="plastic_recycling_avoided_emissions">Assumptions!$C$49</definedName>
    <definedName name="propane_cost">Assumptions!$C$40</definedName>
    <definedName name="thermostat_cooling_savings">Assumptions!$C$67</definedName>
    <definedName name="thermostat_heating_savings">Assumptions!$C$61</definedName>
    <definedName name="vehicle_efficiency_improvements">Assumptions!$C$58</definedName>
    <definedName name="window_replacement_cost_savings">Assumptions!$C$85</definedName>
    <definedName name="window_replacement_energy_savings">Assumptions!$C$84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5" roundtripDataSignature="AMtx7mix6OjXkwFyc67h4sASm2NjH82+Tg=="/>
    </ext>
  </extLst>
</workbook>
</file>

<file path=xl/calcChain.xml><?xml version="1.0" encoding="utf-8"?>
<calcChain xmlns="http://schemas.openxmlformats.org/spreadsheetml/2006/main">
  <c r="C7" i="7" l="1"/>
  <c r="E7" i="7"/>
  <c r="C47" i="2" l="1"/>
  <c r="C48" i="2" s="1"/>
  <c r="C14" i="5" l="1"/>
  <c r="D14" i="5" s="1"/>
  <c r="B30" i="2" l="1"/>
  <c r="B29" i="2"/>
  <c r="C30" i="2" s="1"/>
  <c r="C20" i="5" l="1"/>
  <c r="C19" i="5"/>
  <c r="C18" i="5"/>
  <c r="C17" i="5"/>
  <c r="C16" i="5"/>
  <c r="C15" i="5"/>
  <c r="G17" i="5"/>
  <c r="G16" i="5"/>
  <c r="G15" i="5"/>
  <c r="G14" i="5"/>
  <c r="B14" i="2" l="1"/>
  <c r="G29" i="5" l="1"/>
  <c r="G30" i="5"/>
  <c r="G31" i="5"/>
  <c r="G32" i="5"/>
  <c r="G28" i="5"/>
  <c r="F29" i="5"/>
  <c r="F30" i="5"/>
  <c r="F31" i="5"/>
  <c r="F32" i="5"/>
  <c r="B69" i="11"/>
  <c r="B68" i="11"/>
  <c r="B67" i="11"/>
  <c r="B64" i="11"/>
  <c r="B63" i="11"/>
  <c r="B62" i="11"/>
  <c r="B59" i="11"/>
  <c r="B57" i="11"/>
  <c r="B52" i="11"/>
  <c r="B51" i="11"/>
  <c r="B50" i="11"/>
  <c r="B49" i="11"/>
  <c r="B48" i="11"/>
  <c r="B46" i="11"/>
  <c r="B44" i="11"/>
  <c r="B39" i="11"/>
  <c r="B38" i="11"/>
  <c r="B37" i="11"/>
  <c r="B36" i="11"/>
  <c r="B34" i="11"/>
  <c r="B32" i="11"/>
  <c r="B25" i="11"/>
  <c r="B24" i="11"/>
  <c r="B23" i="11"/>
  <c r="B19" i="11"/>
  <c r="B17" i="11"/>
  <c r="B16" i="11"/>
  <c r="B15" i="11"/>
  <c r="B14" i="11"/>
  <c r="B12" i="11"/>
  <c r="B9" i="11"/>
  <c r="B8" i="11"/>
  <c r="B7" i="11"/>
  <c r="B6" i="11"/>
  <c r="B5" i="11"/>
  <c r="B4" i="11"/>
  <c r="E17" i="10"/>
  <c r="F17" i="10" s="1"/>
  <c r="E14" i="10"/>
  <c r="F14" i="10" s="1"/>
  <c r="E10" i="10"/>
  <c r="G10" i="10" s="1"/>
  <c r="E7" i="10"/>
  <c r="E5" i="10"/>
  <c r="C99" i="8"/>
  <c r="C100" i="8" s="1"/>
  <c r="C96" i="8"/>
  <c r="C97" i="8" s="1"/>
  <c r="B45" i="11" s="1"/>
  <c r="C91" i="8"/>
  <c r="C14" i="8" s="1"/>
  <c r="B58" i="11" s="1"/>
  <c r="C89" i="8"/>
  <c r="B22" i="11" s="1"/>
  <c r="C88" i="8"/>
  <c r="B21" i="11" s="1"/>
  <c r="C87" i="8"/>
  <c r="B13" i="11" s="1"/>
  <c r="C80" i="8"/>
  <c r="B35" i="11" s="1"/>
  <c r="C68" i="8"/>
  <c r="B18" i="11" s="1"/>
  <c r="C67" i="8"/>
  <c r="B65" i="11" s="1"/>
  <c r="C66" i="8"/>
  <c r="B1" i="11" s="1"/>
  <c r="C65" i="8"/>
  <c r="B43" i="11" s="1"/>
  <c r="C64" i="8"/>
  <c r="B41" i="11" s="1"/>
  <c r="C63" i="8"/>
  <c r="B40" i="11" s="1"/>
  <c r="C62" i="8"/>
  <c r="B42" i="11" s="1"/>
  <c r="C61" i="8"/>
  <c r="B66" i="11" s="1"/>
  <c r="C39" i="8"/>
  <c r="B56" i="11" s="1"/>
  <c r="J32" i="8"/>
  <c r="C29" i="8"/>
  <c r="C22" i="8"/>
  <c r="B53" i="11" s="1"/>
  <c r="C20" i="8"/>
  <c r="C12" i="8"/>
  <c r="B55" i="11" s="1"/>
  <c r="E8" i="8"/>
  <c r="C6" i="8"/>
  <c r="B61" i="11" s="1"/>
  <c r="B4" i="7"/>
  <c r="B3" i="7"/>
  <c r="B2" i="7"/>
  <c r="B4" i="6"/>
  <c r="B3" i="6"/>
  <c r="B2" i="6"/>
  <c r="B4" i="5"/>
  <c r="B3" i="5"/>
  <c r="B2" i="5"/>
  <c r="E13" i="4"/>
  <c r="B4" i="4"/>
  <c r="B3" i="4"/>
  <c r="B2" i="4"/>
  <c r="E24" i="3"/>
  <c r="E15" i="3"/>
  <c r="B15" i="3"/>
  <c r="B13" i="4" s="1"/>
  <c r="B4" i="3"/>
  <c r="B3" i="3"/>
  <c r="B2" i="3"/>
  <c r="C43" i="2"/>
  <c r="C42" i="2"/>
  <c r="C41" i="2"/>
  <c r="C40" i="2"/>
  <c r="C39" i="2"/>
  <c r="C38" i="2"/>
  <c r="B25" i="2"/>
  <c r="B24" i="2"/>
  <c r="B20" i="2"/>
  <c r="B19" i="2"/>
  <c r="E15" i="2"/>
  <c r="B15" i="2"/>
  <c r="C15" i="2" s="1"/>
  <c r="E14" i="2"/>
  <c r="B4" i="2"/>
  <c r="B3" i="2"/>
  <c r="B2" i="2"/>
  <c r="E25" i="3" l="1"/>
  <c r="E14" i="4"/>
  <c r="C9" i="8"/>
  <c r="C27" i="8"/>
  <c r="B20" i="11"/>
  <c r="B14" i="4"/>
  <c r="C15" i="4" s="1"/>
  <c r="C16" i="4" s="1"/>
  <c r="B9" i="7" s="1"/>
  <c r="C37" i="8"/>
  <c r="B16" i="3"/>
  <c r="G17" i="10"/>
  <c r="C32" i="5"/>
  <c r="C28" i="5"/>
  <c r="C31" i="5"/>
  <c r="C33" i="5"/>
  <c r="C30" i="5"/>
  <c r="C29" i="5"/>
  <c r="D7" i="7"/>
  <c r="C20" i="2"/>
  <c r="C25" i="2"/>
  <c r="C49" i="2" s="1"/>
  <c r="B11" i="11"/>
  <c r="C42" i="8"/>
  <c r="B47" i="11"/>
  <c r="B54" i="11"/>
  <c r="B26" i="3"/>
  <c r="B25" i="3"/>
  <c r="C45" i="8"/>
  <c r="B24" i="3"/>
  <c r="C24" i="3" s="1"/>
  <c r="E26" i="3"/>
  <c r="C17" i="8"/>
  <c r="E16" i="3"/>
  <c r="C25" i="8"/>
  <c r="C32" i="8"/>
  <c r="C35" i="8" s="1"/>
  <c r="C43" i="8"/>
  <c r="C44" i="8" s="1"/>
  <c r="F10" i="10"/>
  <c r="B10" i="11"/>
  <c r="C34" i="5" l="1"/>
  <c r="B10" i="7" s="1"/>
  <c r="F7" i="7"/>
  <c r="B3" i="11"/>
  <c r="C36" i="8"/>
  <c r="C23" i="3"/>
  <c r="C22" i="3"/>
  <c r="B28" i="11"/>
  <c r="C34" i="8"/>
  <c r="B29" i="11" s="1"/>
  <c r="B33" i="11"/>
  <c r="C26" i="3"/>
  <c r="C16" i="8"/>
  <c r="B31" i="11" s="1"/>
  <c r="B30" i="11"/>
  <c r="C26" i="8"/>
  <c r="B2" i="11"/>
  <c r="C25" i="3"/>
  <c r="C18" i="8"/>
  <c r="C35" i="3" l="1"/>
  <c r="B8" i="7"/>
  <c r="B13" i="7" s="1"/>
  <c r="C13" i="7" s="1"/>
  <c r="C19" i="8"/>
  <c r="C53" i="8" s="1"/>
  <c r="B60" i="11"/>
</calcChain>
</file>

<file path=xl/sharedStrings.xml><?xml version="1.0" encoding="utf-8"?>
<sst xmlns="http://schemas.openxmlformats.org/spreadsheetml/2006/main" count="861" uniqueCount="667">
  <si>
    <t>&lt;&lt;Street&gt;&gt;</t>
  </si>
  <si>
    <t>Introduce C100</t>
  </si>
  <si>
    <t>Oil</t>
  </si>
  <si>
    <t>Gas</t>
  </si>
  <si>
    <t>Mission of C100</t>
  </si>
  <si>
    <t>Depends on your personal choices</t>
  </si>
  <si>
    <t>I will provide options that can hopefully save you money and reduce emissions</t>
  </si>
  <si>
    <t>Question</t>
  </si>
  <si>
    <t>Introduce today's session</t>
  </si>
  <si>
    <t>Will take about 1 hour, I encourage you to ask questions</t>
  </si>
  <si>
    <t>5 themes</t>
  </si>
  <si>
    <t>Carbon footprint in metric tons of CO2, 1 metric ton = 2,200 pounds</t>
  </si>
  <si>
    <t>Options for you to consider in each theme to reduce emissions</t>
  </si>
  <si>
    <t>Caveats</t>
  </si>
  <si>
    <t>Any information you give me will be secure with C100</t>
  </si>
  <si>
    <t>Understanding carbon impact is a personal matter, like stepping on a weighing scale; goal is awareness, and not to be judgmental in any way</t>
  </si>
  <si>
    <t>Our goal is to make recommendations and make you aware of options and rebates -- you should seek professional help and advice to implement</t>
  </si>
  <si>
    <t>Answer</t>
  </si>
  <si>
    <t>Carbon</t>
  </si>
  <si>
    <t>Comments</t>
  </si>
  <si>
    <t>Comment value</t>
  </si>
  <si>
    <t>Propane</t>
  </si>
  <si>
    <t>What is your fuel source for heating?</t>
  </si>
  <si>
    <t>Electric</t>
  </si>
  <si>
    <t>What is your fuel source for cooking?</t>
  </si>
  <si>
    <t>How many vehicles?</t>
  </si>
  <si>
    <t>None</t>
  </si>
  <si>
    <t>Vehicle #1 year</t>
  </si>
  <si>
    <t>What is your fuel source for grilling, if any?</t>
  </si>
  <si>
    <t>Pellet stove</t>
  </si>
  <si>
    <t>How is heat distributed in your house?</t>
  </si>
  <si>
    <t>Wood stove</t>
  </si>
  <si>
    <t>Do you have duct work for forcing air?</t>
  </si>
  <si>
    <t>Vehicle #1 make</t>
  </si>
  <si>
    <t>How is hot water produced in your house?</t>
  </si>
  <si>
    <t>What is the square footage of your house?</t>
  </si>
  <si>
    <t>Vehicle #1 model</t>
  </si>
  <si>
    <t>Vehicle #1 miles driven per year</t>
  </si>
  <si>
    <t>National average</t>
  </si>
  <si>
    <t>Radiator</t>
  </si>
  <si>
    <t>Annual gallons of oil</t>
  </si>
  <si>
    <t>Vehicle #1 miles per gallon</t>
  </si>
  <si>
    <t>Baseboard</t>
  </si>
  <si>
    <t>Fraction of bio-diesel in heating oil</t>
  </si>
  <si>
    <t>Vehicle #2 year</t>
  </si>
  <si>
    <t>Westchester regs.</t>
  </si>
  <si>
    <t>Min 5%, max 20%</t>
  </si>
  <si>
    <t>Vehicle #2 make</t>
  </si>
  <si>
    <t>Forced air</t>
  </si>
  <si>
    <t>Emissions savings from bio-diesel</t>
  </si>
  <si>
    <t>Who is your Electricity Service Company (ESCO)</t>
  </si>
  <si>
    <t>Vehicle #2 model</t>
  </si>
  <si>
    <t>Vehicle #2 miles driven per year</t>
  </si>
  <si>
    <t>Radiant</t>
  </si>
  <si>
    <t>Vehicle #2 miles per gallon</t>
  </si>
  <si>
    <t>Annual cubic feet of gas</t>
  </si>
  <si>
    <t>How many kWhrs do you use per year?</t>
  </si>
  <si>
    <t>https://www.fueleconomy.gov/feg/findacar.shtml</t>
  </si>
  <si>
    <t>Vehicle #3 year</t>
  </si>
  <si>
    <t>Annual therms of gas</t>
  </si>
  <si>
    <t>Vehicle #3 make</t>
  </si>
  <si>
    <t>What fraction is clean?</t>
  </si>
  <si>
    <t>Vehicle #3 model</t>
  </si>
  <si>
    <t>Vehicle #3 miles driven per year</t>
  </si>
  <si>
    <t>Vehicle #3 miles per gallon</t>
  </si>
  <si>
    <t>Total carbon</t>
  </si>
  <si>
    <t>Yes</t>
  </si>
  <si>
    <t>Annual gallons of propane</t>
  </si>
  <si>
    <t>Vehicle #4 year</t>
  </si>
  <si>
    <t>Vehicle #4 make</t>
  </si>
  <si>
    <t>Efficiency</t>
  </si>
  <si>
    <t>LED bulbs</t>
  </si>
  <si>
    <t>Vehicle #4 model</t>
  </si>
  <si>
    <t>Energy Star appliances</t>
  </si>
  <si>
    <t>Turn lights off when room is not in use</t>
  </si>
  <si>
    <t>Consider a clothesline or drying rack for some clothes</t>
  </si>
  <si>
    <t>Put monitors, computers, TVs on a sleep timer</t>
  </si>
  <si>
    <t>Prevent phantom charging</t>
  </si>
  <si>
    <t>Conserve water</t>
  </si>
  <si>
    <t>Vehicle #4 miles driven per year</t>
  </si>
  <si>
    <t>No</t>
  </si>
  <si>
    <t>Heat pump</t>
  </si>
  <si>
    <t>Vehicle #4 miles per gallon</t>
  </si>
  <si>
    <t>Great!</t>
  </si>
  <si>
    <t>Number of short-haul flights economy</t>
  </si>
  <si>
    <t>Number of long-haul flights economy</t>
  </si>
  <si>
    <t>GSHP (Ground source heat pump)</t>
  </si>
  <si>
    <t>Smart thermostats</t>
  </si>
  <si>
    <t>Insulate hot water pipes</t>
  </si>
  <si>
    <t>Energy audit and energy efficiency audit</t>
  </si>
  <si>
    <t>Improve insulation/attic</t>
  </si>
  <si>
    <t>Number of super-long flights economy</t>
  </si>
  <si>
    <t>Maintain equipment</t>
  </si>
  <si>
    <t>Don't block radiators and baseboard with furniture or carpets</t>
  </si>
  <si>
    <t>New HVAC system</t>
  </si>
  <si>
    <t>Only 1 "HVAC year" between now and 2040, give carbon a seat at the table</t>
  </si>
  <si>
    <t>Oil -&gt; gas -&gt; propane -&gt; heat pump (heat pump reduces carbon monoxide and particle pollution INSIDE the house)</t>
  </si>
  <si>
    <t>Number of short-haul flights biz/first</t>
  </si>
  <si>
    <t>Number of long-haul flights biz/first</t>
  </si>
  <si>
    <t>Number of super-long flights biz/first</t>
  </si>
  <si>
    <t>Number of round-trip GCT commutes per year</t>
  </si>
  <si>
    <t>Average miles of each round-trip commute</t>
  </si>
  <si>
    <t>Croton to GCT</t>
  </si>
  <si>
    <t>65 miles</t>
  </si>
  <si>
    <t>Savings over driving</t>
  </si>
  <si>
    <t>Drive fewer miles</t>
  </si>
  <si>
    <t>These are somewhat obvious, don't come across as condescending</t>
  </si>
  <si>
    <t>Club multiple trips</t>
  </si>
  <si>
    <t>Walk or use a bicycle when practical; consider an electric bike</t>
  </si>
  <si>
    <t>Encourage students to walk/bike/carpool to and from school</t>
  </si>
  <si>
    <t>Drive more efficiently</t>
  </si>
  <si>
    <t>Keep your tires inflated properly</t>
  </si>
  <si>
    <t>Keep your engine maintained properly</t>
  </si>
  <si>
    <t>Avoid idling</t>
  </si>
  <si>
    <t>Avoid sudden acceleration and braking, drive at the speed limit</t>
  </si>
  <si>
    <t>Consider electric lawn mowers/leaf blowers (lawn mowers/leaf blowers not included in our calculator)</t>
  </si>
  <si>
    <t>New vehicle</t>
  </si>
  <si>
    <t>Only 2 to 3 "car years" between now and 2040, give carbon a seat at the table</t>
  </si>
  <si>
    <t>SUV -&gt; family sedan -&gt; hybrid -&gt; plug-in hybrid -&gt; electric vehicle</t>
  </si>
  <si>
    <t>No recycling</t>
  </si>
  <si>
    <t>Newspaper only</t>
  </si>
  <si>
    <t>Metal only</t>
  </si>
  <si>
    <t>Plastic only</t>
  </si>
  <si>
    <t>Magazines only</t>
  </si>
  <si>
    <t>Glass only</t>
  </si>
  <si>
    <t xml:space="preserve">Compost only
</t>
  </si>
  <si>
    <t>General guidelines</t>
  </si>
  <si>
    <t>Divest fossil fuel investments</t>
  </si>
  <si>
    <t>Check ESG scores of all investments, particularly 401(k)</t>
  </si>
  <si>
    <t>Buy energy efficient appliances, look for Energy Star label</t>
  </si>
  <si>
    <t>Plan meals and grocery shop with care</t>
  </si>
  <si>
    <t>High meat</t>
  </si>
  <si>
    <t>Buy sustainable clothing brands</t>
  </si>
  <si>
    <t>Avoid single-use plastic</t>
  </si>
  <si>
    <t>Average meat</t>
  </si>
  <si>
    <t>Buy local goods</t>
  </si>
  <si>
    <t>No beef</t>
  </si>
  <si>
    <t>Purchase carbon offsets to get credits towards your carbon footprint</t>
  </si>
  <si>
    <t>Vegetarian</t>
  </si>
  <si>
    <t>Vegan</t>
  </si>
  <si>
    <t>eGRID 9th edition Version 1.0 Subregion File (Year 2010 Data)</t>
  </si>
  <si>
    <t>List of Assumptions for Household GHG Calculator</t>
  </si>
  <si>
    <t>Last Update:</t>
  </si>
  <si>
    <t>Description of Factor</t>
  </si>
  <si>
    <t>Value</t>
  </si>
  <si>
    <t>Unit</t>
  </si>
  <si>
    <t>Assumptions</t>
  </si>
  <si>
    <t>Source</t>
  </si>
  <si>
    <t>Vintage of Data</t>
  </si>
  <si>
    <t>eGRID subregion name</t>
  </si>
  <si>
    <t>eGRID subregion acronym</t>
  </si>
  <si>
    <t>eGRID subregion annual CO2 equivalent total output emission rate (lb/MWh)</t>
  </si>
  <si>
    <t>SRNAME</t>
  </si>
  <si>
    <t>SUBRGN</t>
  </si>
  <si>
    <t>SRC2ERTA</t>
  </si>
  <si>
    <t>Household Vehicles</t>
  </si>
  <si>
    <t>ASCC Alaska Grid</t>
  </si>
  <si>
    <t>AKGD</t>
  </si>
  <si>
    <t xml:space="preserve">Pounds of CO2 emitted per gallon </t>
  </si>
  <si>
    <t>lbs CO2/gallon</t>
  </si>
  <si>
    <t xml:space="preserve">A gallon of gasoline is assumed to produce 8.887 kilograms (or 19.6 pounds) of CO2. This gasoline factor is from a recent regulation establishing GHG standards for model year 2012- 2016 vehicles (75 FR 25324, May 7, 2010). </t>
  </si>
  <si>
    <t>U.S. Environmental Protection Agency, 2011, Average Annual Emissions and Fuel Consumption for Gasoline-Fueled Passenger Cars and Light Trucks, http://www.epa.gov/otaq/consumer/420f08024.pdf</t>
  </si>
  <si>
    <t>ASCC Miscellaneous</t>
  </si>
  <si>
    <t>AKMS</t>
  </si>
  <si>
    <t xml:space="preserve">Ratio of emissions of greenhouse gases other than CO2 </t>
  </si>
  <si>
    <t>ERCOT All</t>
  </si>
  <si>
    <t>ERCT</t>
  </si>
  <si>
    <t>FRCC All</t>
  </si>
  <si>
    <t>FRCC</t>
  </si>
  <si>
    <t>lbCO2e/lbCO2</t>
  </si>
  <si>
    <t xml:space="preserve">In addition to carbon dioxide, automobiles produce methane (CH4) and nitrous oxide (N2O) from the tailpipe, as well as HFC emissions from leaking air conditioners. The emissions of CH4 and N2O are related to vehicle miles traveled rather than fuel consumption, and the emissions of CH4, N2O, and HFCs are not as easily estimated from a vehicle as for CO2. On average, CO2 emissions represent 95-99% of the total greenhouse gas emissions from a passenger vehicle. CH4, N2O, and HFC emissions represent roughly 1-5% of the total greenhouse gas emissions from passenger vehicles, after accounting for the global warming potential of each greenhouse gas. To simplify this estimate, it is assumed that CH4, N2O, and HFCs account for 1.5 percent of emissions, and the CO2 estimate was multiplied by 100/98.65 to incorporate the contribution of the other greenhouse gases. These percentages are estimated from the EPA Inventory of U.S. Greenhouse Gas Emissions and Sinks: 1990 - 2011. </t>
  </si>
  <si>
    <t xml:space="preserve">U.S. Environmental Protection Agency, 2009. Average Annual Emissions and Fuel Consumption for Gasoline-Fueled Passenger Cars and Light Trucks, http://www.epa.gov/otaq/consumer/420f08024.pdf; 
U.S. Environmental Protection Agency, 2013. Inventory of U.S. Greenhouse Gas Emissions and Sinks: 1990-2011. Chapter 3 (Energy), Tables 3-12, 3-13, and 3-14. </t>
  </si>
  <si>
    <t>Passenger Vehicle Fuel Economy</t>
  </si>
  <si>
    <t>HICC Miscellaneous</t>
  </si>
  <si>
    <t>HIMS</t>
  </si>
  <si>
    <t>miles per gallon (mpg)</t>
  </si>
  <si>
    <t>Federal Highway Administration, Highway Statistics 2012, Table VM-1. Average miles traveled per gallon of fuel consumed, passenger cars and other 2-axle 4-tire vehicles. http://www.fhwa.dot.gov/policyinformation/statistics/2012/vm1.cfm. See also U.S. Environmental Protection Agency, 2000, Average Annual Emissions and Fuel Consumption for Gasoline-Fueled Passenger Cars and Light Trucks, http://www.epa.gov/otaq/consumer/420f08024.pdf.</t>
  </si>
  <si>
    <t>HICC Oahu</t>
  </si>
  <si>
    <t>HIOA</t>
  </si>
  <si>
    <t>Average miles traveled per year per vehicle</t>
  </si>
  <si>
    <t>MRO East</t>
  </si>
  <si>
    <t>MROE</t>
  </si>
  <si>
    <t>miles per year</t>
  </si>
  <si>
    <t>MRO West</t>
  </si>
  <si>
    <t>MROW</t>
  </si>
  <si>
    <t xml:space="preserve">Federal Highway Administration, Highway Statistics 2012, Table VM-1. Average miles traveled per vehicle, passenger cars and other 2-axle 4-tire vehicles. http://www.fhwa.dot.gov/policyinformation/statistics/2012/vm1.cfm. </t>
  </si>
  <si>
    <t>NPCC Long Island</t>
  </si>
  <si>
    <t>NYLI</t>
  </si>
  <si>
    <t>NPCC New England</t>
  </si>
  <si>
    <t>Average emissions for a typical vehicle</t>
  </si>
  <si>
    <t>NEWE</t>
  </si>
  <si>
    <t>NPCC NYC/Westchester</t>
  </si>
  <si>
    <t>NYCW</t>
  </si>
  <si>
    <t>NPCC Upstate NY</t>
  </si>
  <si>
    <t>NYUP</t>
  </si>
  <si>
    <t>lbs CO2e/vehicle</t>
  </si>
  <si>
    <t>(1/21.6 mpg)*11,398 miles/year*19.6 lbs CO2/gallon*CO2e / CO2</t>
  </si>
  <si>
    <t>U.S. Environmental Protection Agency, 2009, Average Annual Emissions and Fuel Consumption for Gasoline-Fueled Passenger Cars and Light Trucks, http://www.epa.gov/otaq/consumer/420f08024.pdf</t>
  </si>
  <si>
    <t>RFC East</t>
  </si>
  <si>
    <t>RFCE</t>
  </si>
  <si>
    <t>Home Energy</t>
  </si>
  <si>
    <t>RFC Michigan</t>
  </si>
  <si>
    <t>RFCM</t>
  </si>
  <si>
    <t>RFC West</t>
  </si>
  <si>
    <t>RFCW</t>
  </si>
  <si>
    <t>SERC Midwest</t>
  </si>
  <si>
    <t>SRMW</t>
  </si>
  <si>
    <t>SERC Mississippi Valley</t>
  </si>
  <si>
    <t>SRMV</t>
  </si>
  <si>
    <t>SERC South</t>
  </si>
  <si>
    <t>SRSO</t>
  </si>
  <si>
    <t>SERC Tennessee Valley</t>
  </si>
  <si>
    <t>SRTV</t>
  </si>
  <si>
    <t>SERC Virginia/Carolina</t>
  </si>
  <si>
    <t>SRVC</t>
  </si>
  <si>
    <t>NATURAL GAS</t>
  </si>
  <si>
    <t>SPP North</t>
  </si>
  <si>
    <t>SPNO</t>
  </si>
  <si>
    <t>Category</t>
  </si>
  <si>
    <t>Emissions</t>
  </si>
  <si>
    <t>Cars</t>
  </si>
  <si>
    <t>Flights</t>
  </si>
  <si>
    <t>SPP South</t>
  </si>
  <si>
    <t>SPSO</t>
  </si>
  <si>
    <t>Rail</t>
  </si>
  <si>
    <t>Total</t>
  </si>
  <si>
    <t>Transportation</t>
  </si>
  <si>
    <t>WECC California</t>
  </si>
  <si>
    <t>CAMX</t>
  </si>
  <si>
    <t>WECC Northwest</t>
  </si>
  <si>
    <t>NWPP</t>
  </si>
  <si>
    <t>WECC Rockies</t>
  </si>
  <si>
    <t>RMPA</t>
  </si>
  <si>
    <t>WECC Southwest</t>
  </si>
  <si>
    <t>AZNM</t>
  </si>
  <si>
    <t xml:space="preserve">
</t>
  </si>
  <si>
    <t>Heating</t>
  </si>
  <si>
    <t>Average monthly consumption of natural gas</t>
  </si>
  <si>
    <t>US Total</t>
  </si>
  <si>
    <t>cubic feet of natural gas/household</t>
  </si>
  <si>
    <t>Average monthly consumption of 5,500 cubic feet of gas, or average annual consumption of 66 thousand cubic feet per household. Average household size is 2.57.</t>
  </si>
  <si>
    <t xml:space="preserve">U.S. Energy Information Administration 2012. A Look at Residential Energy Consumption in 2009-Table CE2.1. http://www.eia.gov/consumption/residential/data/2009/index.cfm?view=consumption </t>
  </si>
  <si>
    <t>Electricity</t>
  </si>
  <si>
    <t>Price per thousand cubic feet of natural gas</t>
  </si>
  <si>
    <t>Food and Waste</t>
  </si>
  <si>
    <t>dollars/1000 cubic feet</t>
  </si>
  <si>
    <t xml:space="preserve">Energy Information Administration: US Residential Natural Gas Prices.  2013. 2012 annual average. http://www.eia.gov/dnav/ng/ng_pri_sum_dcu_nus_a.htm </t>
  </si>
  <si>
    <t>Average cost of natural gas</t>
  </si>
  <si>
    <t>Goods/services</t>
  </si>
  <si>
    <t>dollars/therm</t>
  </si>
  <si>
    <t>Conversion</t>
  </si>
  <si>
    <t>Carbon coefficient of natural gas</t>
  </si>
  <si>
    <t xml:space="preserve">Tg C/QBtu </t>
  </si>
  <si>
    <t>116.89 lbs CO2/MMBtu</t>
  </si>
  <si>
    <t>EPA, Inventory of U.S. Greenhouse Gas Emissions and Sinks: 1990-2011, Annex 2,Table A-38. http://www.epa.gov/climatechange/ghgemissions/usinventoryreport.html</t>
  </si>
  <si>
    <t>Zip code overhead</t>
  </si>
  <si>
    <t>Emission factor (natural gas/therm)</t>
  </si>
  <si>
    <t>Emissions Total</t>
  </si>
  <si>
    <t>lbs CO2/therm natural gas</t>
  </si>
  <si>
    <t>Calculation - EPA, Inventory of U.S. Greenhouse Gas Emissions and Sinks: 1990-2011, Annex 2,Table A-38. http://www.epa.gov/climatechange/ghgemissions/usinventoryreport.html</t>
  </si>
  <si>
    <t>Emission factor (natural gas/thousand cubic feet)</t>
  </si>
  <si>
    <r>
      <t>lbs CO2/1000 cubic feet</t>
    </r>
    <r>
      <rPr>
        <vertAlign val="superscript"/>
        <sz val="10"/>
        <rFont val="Arial"/>
      </rPr>
      <t xml:space="preserve"> </t>
    </r>
    <r>
      <rPr>
        <sz val="10"/>
        <rFont val="Arial"/>
      </rPr>
      <t>of natural gas</t>
    </r>
  </si>
  <si>
    <r>
      <t>Carbon coefficient of natural gas * ratio of CO2 to carbon * energy content of natural gas * lbs to teragrams conversion * QBtu/10</t>
    </r>
    <r>
      <rPr>
        <vertAlign val="superscript"/>
        <sz val="10"/>
        <rFont val="Arial"/>
      </rPr>
      <t>15</t>
    </r>
    <r>
      <rPr>
        <sz val="11"/>
        <color theme="1"/>
        <rFont val="Calibri"/>
      </rPr>
      <t xml:space="preserve">Btu </t>
    </r>
  </si>
  <si>
    <t>Average annual CO2 emissions from natural gas per household</t>
  </si>
  <si>
    <t>lbs CO2/household (natural gas)</t>
  </si>
  <si>
    <t xml:space="preserve">Typical annual CO2 emissions of about 7,900 pounds per household based on national average monthly consumption of 5,500 cubic feet of gas. </t>
  </si>
  <si>
    <t>Average annual CO2 emissions from natural gas per household of one person</t>
  </si>
  <si>
    <t>lbs CO2/year/person</t>
  </si>
  <si>
    <t>Average emissions per household/average household size. Assumes average household size of 2.57.</t>
  </si>
  <si>
    <t>Calculation</t>
  </si>
  <si>
    <t>Average monthly cost of natural gas per household of one person</t>
  </si>
  <si>
    <t>dollars/month/person</t>
  </si>
  <si>
    <t>Average monthly natural gas consumption/average household size*price per thousand cubic feet of natural gas/1000. Assumes average household size of 2.57.</t>
  </si>
  <si>
    <t>ELECTRICITY</t>
  </si>
  <si>
    <t>Please take the pledge</t>
  </si>
  <si>
    <t>Please donate</t>
  </si>
  <si>
    <t>Please volunteer</t>
  </si>
  <si>
    <t>Please consider how you will reduce your carbon footprint by 50% by 2030, as called for by the United Nations</t>
  </si>
  <si>
    <t>Please give carbon a seat at the table when you make choices</t>
  </si>
  <si>
    <t>Average monthly electricity consumption per household</t>
  </si>
  <si>
    <t>kWh/month/household</t>
  </si>
  <si>
    <t>Average annual electricity consumption is 11,320 kWh per household, or 943 kWh per month per household. Average household size is 2.57.</t>
  </si>
  <si>
    <t>Average US price per kWh</t>
  </si>
  <si>
    <t>dollars/kWh</t>
  </si>
  <si>
    <t>U.S. Energy Information Administration, Electric Power Monthly-September 2013, Table 5.3 (Average Retail Price of Electricity to Ultimate Customers, Residential Sector). http://www.eia.gov/electricity/monthly/epm_table_grapher.cfm?t=epmt_5_3</t>
  </si>
  <si>
    <t>Electricity emissions factors are categorized by geographic subregion: see EGRID_DATA.</t>
  </si>
  <si>
    <t xml:space="preserve">See Emission_Factors tab </t>
  </si>
  <si>
    <t>lbs CO2e/kWh</t>
  </si>
  <si>
    <t>varies by subregion</t>
  </si>
  <si>
    <t>EPA. eGRID 9th edition Version 1.0 Subregion File (Year 2010 Data), 2014. http://www.epa.gov/cleanenergy/energy-resources/egrid/index.html</t>
  </si>
  <si>
    <t>Average annual CO2e emissions from electricity per household</t>
  </si>
  <si>
    <t>lbs CO2e/household (electricity)</t>
  </si>
  <si>
    <t xml:space="preserve">Typical annual CO2 emissions are 14,020 pounds per household, assuming approximately 943 kWh per month. </t>
  </si>
  <si>
    <t>Average annual CO2e emissions from electricity per household of one person</t>
  </si>
  <si>
    <t>lbs CO2e/year/person</t>
  </si>
  <si>
    <t>Average montly cost of electricity per household of one person</t>
  </si>
  <si>
    <t>Average monthly electricity consumption/average household size*price per kWh of electricity. Assumes average household size of 2.57.</t>
  </si>
  <si>
    <t>FUEL OIL (BIO DIESEL INFO ADDED 11/30/2019)</t>
  </si>
  <si>
    <t>Average monthly consumption of fuel oil per household</t>
  </si>
  <si>
    <t>gallons of fuel oil/month</t>
  </si>
  <si>
    <t>Average monthly consumption of 46 gallons of fuel oil, based on annual average consumption of 551 gallons of fuel oil per household per year. Average household size is 2.57.</t>
  </si>
  <si>
    <t>Average price per gallon of fuel oil</t>
  </si>
  <si>
    <t>dollars/gallon</t>
  </si>
  <si>
    <t>Energy Information Administration, 2013. US No. 2 Heating Oil Residential Prices - 2012 annual average. http://www.eia.gov/petroleum/heatingoilpropane/, http://www.eia.gov/dnav/pet/hist/LeafHandler.ashx?n=PET&amp;s=M_EPD2F_PRS_NUS_DPG&amp;f=M</t>
  </si>
  <si>
    <t xml:space="preserve">Carbon coefficient of fuel oil </t>
  </si>
  <si>
    <t xml:space="preserve">Fuel oil emission factor (pounds of CO2/gallon fuel oil) </t>
  </si>
  <si>
    <t>lbs CO2/gallon of fuel oil</t>
  </si>
  <si>
    <r>
      <t>Carbon coefficient of fuel oil * ratio of CO2 to carbon * energy content of fuel oil * lbs to teragrams conversion * QBtu/10</t>
    </r>
    <r>
      <rPr>
        <vertAlign val="superscript"/>
        <sz val="10"/>
        <rFont val="Arial"/>
      </rPr>
      <t>15</t>
    </r>
    <r>
      <rPr>
        <sz val="11"/>
        <color theme="1"/>
        <rFont val="Calibri"/>
      </rPr>
      <t xml:space="preserve">Btu </t>
    </r>
  </si>
  <si>
    <t xml:space="preserve">Calculation - EPA, Inventory of U.S. Greenhouse Gas Emissions and Sinks: 1990-2011, Annex 2,Table A-38. http://www.epa.gov/climatechange/ghgemissions/usinventoryreport.html. </t>
  </si>
  <si>
    <t>Bio-diesel emission factor (pounds of CO2/gallon bio diesel)</t>
  </si>
  <si>
    <t>lbs CO2/gallon of bio diesel</t>
  </si>
  <si>
    <t>2.661 kg of CO2 per gallon per article on the right</t>
  </si>
  <si>
    <t>https://afdc.energy.gov/files/pdfs/30882.pdf</t>
  </si>
  <si>
    <t xml:space="preserve">Fuel oil emission factor (pounds of CO2/MMBtu fuel oil) </t>
  </si>
  <si>
    <t>lbs CO2/MMBtu</t>
  </si>
  <si>
    <t>lbs CO2/gallon * Btu/gallon * Btu to MMBtu conversion</t>
  </si>
  <si>
    <t>Average annual CO2 emissions from fuel oil per household</t>
  </si>
  <si>
    <t>lbs CO2/household (fuel oil)</t>
  </si>
  <si>
    <t xml:space="preserve">Typical annual CO2 emissions of 12,460 pounds per household based on national average monthly consumption of 42 gallons of oil. </t>
  </si>
  <si>
    <t>Average annual CO2 emissions from fuel oil per household of one person</t>
  </si>
  <si>
    <t>Average monthly cost of fuel oil per household of one person</t>
  </si>
  <si>
    <t>dollars/year/person</t>
  </si>
  <si>
    <t>Average monthly fuel oil consumption/average household size*price per gallon of fuel oil. Assumes average household size of 2.57.</t>
  </si>
  <si>
    <t>PROPANE</t>
  </si>
  <si>
    <t>Emission &amp; cost savings from replacing boiler/furnace - Natural Gas</t>
  </si>
  <si>
    <t>Average monthly consumption of propane (LPG) per household</t>
  </si>
  <si>
    <t>Natural gas emission factor</t>
  </si>
  <si>
    <t>pounds CO2 / MBtu</t>
  </si>
  <si>
    <t>gallons of oil/month</t>
  </si>
  <si>
    <t>Average monthly consumption of 39 gallons of propane per month, based on annual average consumption of 464 gallons of propane per household per year. Average household size is 2.57.</t>
  </si>
  <si>
    <t>Gas Furnace</t>
  </si>
  <si>
    <t>Price per gallon of propane</t>
  </si>
  <si>
    <t>dollars/gallon propane</t>
  </si>
  <si>
    <t xml:space="preserve">Energy Information Administration, 2013. U.S. Propane Residential Price - 2012 annual average, http://www.eia.gov/petroleum/heatingoilpropane/, http://www.eia.gov/dnav/pet/hist/LeafHandler.ashx?n=PET&amp;s=M_EPLLPA_PRS_NUS_DPG&amp;f=M </t>
  </si>
  <si>
    <t>Mbtu per year</t>
  </si>
  <si>
    <t>Savings per year</t>
  </si>
  <si>
    <t>Carbon coefficient for propane</t>
  </si>
  <si>
    <t>136.05 lbs CO2/MMBtu</t>
  </si>
  <si>
    <t>Residential Natural Gas Rate</t>
  </si>
  <si>
    <t>Propane emission factor (pounds of CO2/gallon propane)</t>
  </si>
  <si>
    <t>$/MMBtu</t>
  </si>
  <si>
    <t>lbs CO2/gallon propane</t>
  </si>
  <si>
    <t>Replacing a 15 year old standard 80 AFUE boiler or 78 AFUE furnace with current ENERGY STAR boiler at 90 AFUE or Furnace at 95 AFUE in the North and 90 AFUE in the South--NORTH</t>
  </si>
  <si>
    <r>
      <t>Carbon coefficient of propane * ratio of CO2 to carbon * energy content of propane * lbs to teragrams conversion * QBtu/10</t>
    </r>
    <r>
      <rPr>
        <vertAlign val="superscript"/>
        <sz val="10"/>
        <rFont val="Arial"/>
      </rPr>
      <t>15</t>
    </r>
    <r>
      <rPr>
        <sz val="11"/>
        <color theme="1"/>
        <rFont val="Calibri"/>
      </rPr>
      <t xml:space="preserve">Btu </t>
    </r>
  </si>
  <si>
    <t>Conventional</t>
  </si>
  <si>
    <t>ENERGY STAR</t>
  </si>
  <si>
    <t>Average annual emissions from propane per household</t>
  </si>
  <si>
    <t>Mbtu</t>
  </si>
  <si>
    <t>pounds CO2</t>
  </si>
  <si>
    <t>$</t>
  </si>
  <si>
    <t>lbs CO2/household (propane)</t>
  </si>
  <si>
    <t xml:space="preserve">Typical annual CO2 emissions of 5,766 pounds per household based on national average monthly consumption of 39 gallons of propane. </t>
  </si>
  <si>
    <t>Fuel oil emission factor</t>
  </si>
  <si>
    <t xml:space="preserve"> lbs CO2//MMBtu</t>
  </si>
  <si>
    <t>Average annual emissions from propane per household of one person</t>
  </si>
  <si>
    <t>Average monthly cost of propane per household of one person</t>
  </si>
  <si>
    <t>Average monthly propane consumption/average household size*price per gallon of propane. Assumes average household size of 2.57.</t>
  </si>
  <si>
    <t>Fuel oil cost</t>
  </si>
  <si>
    <t xml:space="preserve"> $/MMBtu</t>
  </si>
  <si>
    <t>Waste</t>
  </si>
  <si>
    <t>Replacing a 15 year old standard 80 AFUE boiler or 78 AFUE furnace with current ENERGY STAR boiler at 90 AFUE or Furnace at 95 AFUE in the North and 90 AFUE in the South--SOUTH</t>
  </si>
  <si>
    <t>Average lbs CO2 equivalent generated from waste per person per year</t>
  </si>
  <si>
    <t>lbs CO2e/year/person from waste</t>
  </si>
  <si>
    <t>Based on EPA's  Inventory of U.S. Greenhouse Gas Emissions and Sinks 1990-2011, Chapter 8 (Waste), Table 8-3 and Chapter 3, Table 3-1, and EPA's annual Municipal Solid Waste Characterization Report: Facts and Figures, 2011</t>
  </si>
  <si>
    <t>Gas Boiler</t>
  </si>
  <si>
    <t>Average number of pounds of CO2 equivalent per person per year that could be saved by recycling metal</t>
  </si>
  <si>
    <t>lbs CO2e/year/person avoided from recycling metal</t>
  </si>
  <si>
    <t>Calculations assume that it would be possible for households to recycle 100 percent of all recyclable materials generated as waste. The plastic material type used in the calculator includes PET and HDPE, and the metal material type includes aluminum and steel cans.</t>
  </si>
  <si>
    <t>Emission factors were developed based on the methodologies presented in U.S. Environmental Protection Agency, 2009. Solid Waste Management and Greenhouse Gases: A Life-Cycle Assessment of Emissions and Sinks, EPA530-R-06-004, and have been updated since this report was published to reflect the most current data on national waste generation and recovery rates. The most recent versions of the emission factors used to inform these figures are available in the EPA's WAste Reduction Model (WARM).</t>
  </si>
  <si>
    <t>Average number of pounds of CO2 equivalent per person per year that could be saved by recycling plastic</t>
  </si>
  <si>
    <t>lbs CO2e/year/person avoided from recycling plastic</t>
  </si>
  <si>
    <t xml:space="preserve">Carbon dioxide equivalent emissions associated with household waste management were calculated using the total emissions for landfills (including incineration, landfill gas-to- energy projects, oxidation, and flaring) and the United States population estimates from EPA's Inventory of U.S. Greenhouse Gas Emissions and Sinks, 1990-2011. The emission factors for each material type were developed by EPA and presented in the Agency's report on greenhouse gas emissions from waste management and in the online WAste Reduction Model (WARM). These emission factors take into account the full material life cycle; i.e., not only emissions at the landfill, but also emissions and sequestration associated with production, manufacturing, remanufacturing, forest carbon storage due to reduced harvests, etc. The emission factor used for recycling materials in this calculator compares greenhouse gas emissions from recycling with those attributable to landfilling. This approach enables policy makers to evaluate, on a per-ton basis, the overall difference in greenhouse gas emissions between (1) recycling 1 ton of material and (2) manufacturing and then managing (post-consumer) 1 ton of the same material. Source: U.S. Environmental Protection Agency, 2011. Solid Waste Management and Greenhouse Gases: A Life-Cycle Assessment of Emissions and Sinks, EPA530-R-06-004. WARM is available in the Tools section of the Waste section of this Web site. </t>
  </si>
  <si>
    <t>Replacing a 15 year old standard 80 AFUE boiler or 78 AFUE furnace with current ENERGY STAR boiler at 90 AFUE or Furnace at 95 AFUE in the North and 90 AFUE in the South</t>
  </si>
  <si>
    <t>Average number of pounds of CO2 equivalent per person per year that could be saved by recycling glass</t>
  </si>
  <si>
    <t>lbs CO2e/year/person avoided from recycling glass</t>
  </si>
  <si>
    <t>Average number of pounds of CO2 equivalent per person per year that could be saved by recycling newspaper</t>
  </si>
  <si>
    <t>lbs CO2e/year/person avoided from recycling newspaper</t>
  </si>
  <si>
    <t>Average number of pounds of CO2 equivalent per person per year that could be saved by recycling magazines</t>
  </si>
  <si>
    <t>lbs CO2e/year/person avoided from recycling magazines</t>
  </si>
  <si>
    <t>Average total emissions for household of one person</t>
  </si>
  <si>
    <t>Emission &amp; cost savings from replacing boiler/furnace - Fuel Oil</t>
  </si>
  <si>
    <t>lbs CO2e/year</t>
  </si>
  <si>
    <t>The "average" figure here is the sum of the average values given above, excluding fuel oil and propane.</t>
  </si>
  <si>
    <t>Oil Furnace</t>
  </si>
  <si>
    <t>Replacing a 20 year old standard 80 AFUE boiler or 78 AFUE furnace with current ENERGY STAR boiler at 87 AFUE or Furnace at 85 AFUE</t>
  </si>
  <si>
    <t>Oil Boiler</t>
  </si>
  <si>
    <t>What You Can Do To Reduce Your Emissions</t>
  </si>
  <si>
    <t>On the Road</t>
  </si>
  <si>
    <t xml:space="preserve">Average variable cost per mile to drive </t>
  </si>
  <si>
    <t>dollars/mile</t>
  </si>
  <si>
    <t xml:space="preserve">Transportation Energy Data Book. Table 10.12. Average variable cost per mile, 2013. Includes gas, oil and maintenance, 2012 dollars. http://www-cta.ornl.gov/data/chapter10.shtml </t>
  </si>
  <si>
    <t xml:space="preserve">Increase in fuel efficiency from performing regular maintenance on your vehicles </t>
  </si>
  <si>
    <t>%</t>
  </si>
  <si>
    <t>Properly inflating tires: Assumes an increase in fuel efficiency of 3 percent. Keeping your engine properly tuned: Assumes an increase in fuel efficiency of 4 percent. Source: Environmental Protection Agency and Department of Energy, Fuel Economy Website, 2011.</t>
  </si>
  <si>
    <t>US EPA and US DOE Fuel Economy Website: http://www.fueleconomy.gov/feg/maintain.jsp</t>
  </si>
  <si>
    <t>Price per gallon of gasoline</t>
  </si>
  <si>
    <t>dollars/gallon gasoline</t>
  </si>
  <si>
    <t>EIA US Retail Gasoline Prices, 2013. Annual average price per gallon of gasoline (all grades). http://www.eia.gov/dnav/pet/pet_pri_gnd_dcus_nus_a.htm</t>
  </si>
  <si>
    <t>At Home</t>
  </si>
  <si>
    <t>Savings per degree of setback (heating season)</t>
  </si>
  <si>
    <t>ENERGY STAR CALCULATOR: Cost Estimate for Energy Star Qualified  Programmable Thermostats (2006) http://www.energystar.gov/index.cfm?c=thermostats.pr_thermostats</t>
  </si>
  <si>
    <t xml:space="preserve">Percentage of natural gas allotted to heating </t>
  </si>
  <si>
    <t>2,873 billion cubic feet of natural gas consumed for space heating/4,580 billion cubic feet total natural gas consumption</t>
  </si>
  <si>
    <t>U.S. Energy Information Administration 2012. A Look at Residential Energy Consumption in 2009,Table CE4.1</t>
  </si>
  <si>
    <t xml:space="preserve">Percentage of electricity source allotted to heating </t>
  </si>
  <si>
    <t>120 billion kWh of electricity consumed for space heating/1,286 billion kWh total electricity consumption</t>
  </si>
  <si>
    <t xml:space="preserve">Percentage of fuel oil source allotted to heating </t>
  </si>
  <si>
    <t>3,675 million gallons of fuel oil consumed for space heating/4,214 million gallons total fuel oil consumption</t>
  </si>
  <si>
    <t xml:space="preserve">Percentage of propane source allotted to heating </t>
  </si>
  <si>
    <t>3,754 million gallons of LPG (propane) consumed for space heating/5,384 million gallons total LPG consumption</t>
  </si>
  <si>
    <t xml:space="preserve">Percent of total electricity emissions accounted for by air conditioning </t>
  </si>
  <si>
    <t>186 billion kWh of electricity consumed for air conditioning/1,286 billion kWh total electricity consumption</t>
  </si>
  <si>
    <t xml:space="preserve">Savings per degree of setback (cooling season) </t>
  </si>
  <si>
    <t xml:space="preserve"> ENERGY STAR CALCULATOR: Cost Estimate for Energy Star Qualified  Programmable Thermostats (2006) http://www.energystar.gov/index.cfm?c=thermostats.pr_thermostats</t>
  </si>
  <si>
    <t xml:space="preserve">Annual energy savings from enabling sleep feature on computer and monitor </t>
  </si>
  <si>
    <t xml:space="preserve"> kWh</t>
  </si>
  <si>
    <t>Enabling your computer's power management features can save between 38 and 187 kWh per year.</t>
  </si>
  <si>
    <t xml:space="preserve">Average annual unit computer energy (sleep feature enabled, computer turned off at night): </t>
  </si>
  <si>
    <t>ENERGY STAR Data Book Worksheet for 2014</t>
  </si>
  <si>
    <t xml:space="preserve">Average annual unit computer energy (sleep feature not enabled, computer turned off at night): </t>
  </si>
  <si>
    <t>Average annual unit monitor energy (sleep feature enabled, monitor turned off at night):</t>
  </si>
  <si>
    <t xml:space="preserve">Average annual unit monitor energy (sleep feature not enabled, monitor turned off at night): </t>
  </si>
  <si>
    <t>Average estimated kWh per load</t>
  </si>
  <si>
    <t>kWh</t>
  </si>
  <si>
    <t>Assumes 295 loads/yr, 289 kWh/yr for machine energy and dryer energy. Data is being referenced in support of assessing energy savings from washing clothes in cold water only so water heating energy is excluded - see 'Personal GHG Calculator' line 137</t>
  </si>
  <si>
    <t xml:space="preserve">Average energy consumption of a household dryer </t>
  </si>
  <si>
    <t>kWh/year</t>
  </si>
  <si>
    <t>EERE, amended federal standard (10 CFR 430.32(h)(3)) for residential clothes dryers: http://www1.eere.energy.gov/buildings/appliance_standards/product.aspx/productid/36</t>
  </si>
  <si>
    <t>Average premium of green power per kWh</t>
  </si>
  <si>
    <t>dollars</t>
  </si>
  <si>
    <t>EPA, Green Power Procurement.  http://epa.gov/statelocalclimate/documents/pdf/greenpowerprocurement508final.pdf</t>
  </si>
  <si>
    <t>2014, refs. 2012 data</t>
  </si>
  <si>
    <t xml:space="preserve">Annual kWh savings per lamp </t>
  </si>
  <si>
    <t xml:space="preserve">Replacing 43 watt incandescent light bulbs with 13 watt compact fluorescents: Assumes that lights are on for 3 hours per day. </t>
  </si>
  <si>
    <t>Annual energy cost saving per lamp</t>
  </si>
  <si>
    <t>Average kWh/year ENERGY STAR refrigerator</t>
  </si>
  <si>
    <t xml:space="preserve">Average kWh/year old refrigerator </t>
  </si>
  <si>
    <t>2000 refrigerator with a unit energy consumption of 704 kWh/yr multiplied by a 1.1507 degradation factor. - based on AHAM data</t>
  </si>
  <si>
    <t>Average kWh savings for refrigerator replacement</t>
  </si>
  <si>
    <t>Difference between 2000 refrigerator with a unit energy consumption of 704 kWh/yr multiplied by a 1.1507 degradation factor and an ENERGY STAR refrigerator (488 kWh/year).</t>
  </si>
  <si>
    <t>Average emission savings for natural gas from replacing boiler/furnace</t>
  </si>
  <si>
    <t>lbs/year</t>
  </si>
  <si>
    <t>Boiler and Furnace Replacement Savings spreadsheet</t>
  </si>
  <si>
    <t>Average emission savings for fuel oil from replacing boiler/furnace</t>
  </si>
  <si>
    <t>Annual energy cost savings from switching to a boiler</t>
  </si>
  <si>
    <t>Annual cost savings of replacing a standard gas/oil boiler/furnace with ENERGY STAR boiler/furnace</t>
  </si>
  <si>
    <t xml:space="preserve">Average annual energy savings from switching single pane windows to low-e ENERGY STAR windows </t>
  </si>
  <si>
    <t>BTUs</t>
  </si>
  <si>
    <t xml:space="preserve">Assumes 2000 square-foot house, 300 square feet of glass. Source: ENERGY STAR. Methodology based on RESFEN 3.1 calculations performed by Lawrence Berkeley National Laboratory (LBNL), 2005. </t>
  </si>
  <si>
    <t>ENERGY STAR. Savings estimates were generated using a methodology based on RESFEN 3.1 calculations performed by Lawrence Berkeley National Laboratory (LBNL)</t>
  </si>
  <si>
    <t>Average annual energy cost savings from changing to ENERGY STAR windows (ranges from $150-$500 depending on climate)</t>
  </si>
  <si>
    <t>$150 is low end of the $150-$500 range.</t>
  </si>
  <si>
    <t>ENERGY STAR. http://www.energystar.gov/index.cfm?c=windows_doors.pr_benefits</t>
  </si>
  <si>
    <t>Conversion Factors and Constants</t>
  </si>
  <si>
    <t>Ratio of CO2 to Carbon</t>
  </si>
  <si>
    <t>Ratio of CO2 to C, 44/12</t>
  </si>
  <si>
    <t>Btu per Quadrillion Btu</t>
  </si>
  <si>
    <t xml:space="preserve">Btu/QBtu </t>
  </si>
  <si>
    <t>Conversion from teragrams to pounds</t>
  </si>
  <si>
    <t>lbs/teragram</t>
  </si>
  <si>
    <t>Conversion from metric tons to lbs</t>
  </si>
  <si>
    <t>lbs / metric ton</t>
  </si>
  <si>
    <t>Conversion from thousand cubic feet of natural gas to therms</t>
  </si>
  <si>
    <t>therms/thousand cf</t>
  </si>
  <si>
    <t>1 therm = 100,000 Btu</t>
  </si>
  <si>
    <t>Conversion from liters to gallons</t>
  </si>
  <si>
    <t>gallons/liter</t>
  </si>
  <si>
    <t>Energy content per 1000 cubic feet of natural gas</t>
  </si>
  <si>
    <t>Btu/1000 cf natural gas</t>
  </si>
  <si>
    <t>HHV</t>
  </si>
  <si>
    <t>EIA Annual Energy Review, 2012. Appendix A, http://www.eia.gov/totalenergy/data/annual/pdf/aer.pdf</t>
  </si>
  <si>
    <t>Energy content per kWh of electricity</t>
  </si>
  <si>
    <t xml:space="preserve">Btu/kWh </t>
  </si>
  <si>
    <t>MMBtu per barrel of fuel oil</t>
  </si>
  <si>
    <t>MMBtu/barrel</t>
  </si>
  <si>
    <t>Fuel oil conversion - barrels per liter</t>
  </si>
  <si>
    <t>barrels/L</t>
  </si>
  <si>
    <t>EIA Annual Energy Review, 2012. Appendix A, http://www.eia.gov/totalenergy/data/annual/pdf/aer.pdf; EPA Inventory of U.S. GHG Emissions and Sinks 1990-2011, Appendix 6.</t>
  </si>
  <si>
    <t>Energy content per gallon of fuel oil</t>
  </si>
  <si>
    <t>Btu/gallon fuel oil</t>
  </si>
  <si>
    <t>MMBtu per barrel of propane</t>
  </si>
  <si>
    <t>Propane conversion - barrels per liter</t>
  </si>
  <si>
    <t>barrels/liter</t>
  </si>
  <si>
    <t>EIA Annual Energy Review, 2011. Appendix A, http://www.eia.gov/totalenergy/data/annual/pdf/aer.pdf; EPA Inventory of U.S. GHG Emissions and Sinks 1990-2011, Appendix 6.</t>
  </si>
  <si>
    <t>Energy content per gallon of propane</t>
  </si>
  <si>
    <t>Btu/gallon propane</t>
  </si>
  <si>
    <t>Average members/household</t>
  </si>
  <si>
    <t>people</t>
  </si>
  <si>
    <t>U.S. Energy Information Administration 2012. A Look at Residential Energy Consumption in 2009.</t>
  </si>
  <si>
    <t>Single-family home averages added 11/20/2019</t>
  </si>
  <si>
    <t>Average square footage of US home</t>
  </si>
  <si>
    <t>sqft</t>
  </si>
  <si>
    <t>U.S. census: https://www.census.gov/const/C25Ann/sftotalmedavgsqft.pdf</t>
  </si>
  <si>
    <t>Airplane flights added 11/25/2019</t>
  </si>
  <si>
    <t>Short haul flights duration</t>
  </si>
  <si>
    <t xml:space="preserve"> hours</t>
  </si>
  <si>
    <t>Long haul flights duration</t>
  </si>
  <si>
    <t>hours</t>
  </si>
  <si>
    <t>Super long flights duration</t>
  </si>
  <si>
    <t>Emission per economy passenger per hour</t>
  </si>
  <si>
    <t>kg CO2e</t>
  </si>
  <si>
    <t>https://www.carbonindependent.org/22.html</t>
  </si>
  <si>
    <t>Emission per biz/first passenger per hour</t>
  </si>
  <si>
    <t>https://www.transit.dot.gov/sites/fta.dot.gov/files/docs/PublicTransportationsRoleInRespondingToClimateChange2010.pdf</t>
  </si>
  <si>
    <t>Emissions per mile driving a private car</t>
  </si>
  <si>
    <t>Food added 12/18/2019</t>
  </si>
  <si>
    <t>tons CO2e per person-year</t>
  </si>
  <si>
    <t>AC_electricity_percent</t>
  </si>
  <si>
    <t>Average_elec_CO2_emissions</t>
  </si>
  <si>
    <t>Average_FO_CO2_emissions</t>
  </si>
  <si>
    <t>average_mpg</t>
  </si>
  <si>
    <t>average_waste_emissions</t>
  </si>
  <si>
    <t>boiler_replacement_cost_savings</t>
  </si>
  <si>
    <t>boiler_replacement_savings_FO</t>
  </si>
  <si>
    <t>boiler_replacement_savings_NG</t>
  </si>
  <si>
    <t>BTU_per_1000cf_NG</t>
  </si>
  <si>
    <t>BTU_per_gallon_FO</t>
  </si>
  <si>
    <t>BTU_per_gallon_propane</t>
  </si>
  <si>
    <t>BTU_per_kWh</t>
  </si>
  <si>
    <t>CO2_C_ratio</t>
  </si>
  <si>
    <t>computer_energy_monitor_off</t>
  </si>
  <si>
    <t>computer_energy_off</t>
  </si>
  <si>
    <t>computer_energy_sleep_monitor_off</t>
  </si>
  <si>
    <t>computer_energy_sleep_off</t>
  </si>
  <si>
    <t>computer_sleep_savings</t>
  </si>
  <si>
    <t>conventional_fridge_kWh</t>
  </si>
  <si>
    <t>conversion_1000cf_to_therm</t>
  </si>
  <si>
    <t>conversion_QBtu_to_Btu</t>
  </si>
  <si>
    <t>conversion_Tg_to_lb</t>
  </si>
  <si>
    <t>cost_per_kWh</t>
  </si>
  <si>
    <t>cost_per_mile</t>
  </si>
  <si>
    <t>dryer_energy</t>
  </si>
  <si>
    <t>e_factor</t>
  </si>
  <si>
    <t>e_factor_value</t>
  </si>
  <si>
    <t>EF_fuel_oil_gallon</t>
  </si>
  <si>
    <t>EF_fuel_oil_MMBtu</t>
  </si>
  <si>
    <t>EF_natural_gas</t>
  </si>
  <si>
    <t>EF_natural_gas_therm</t>
  </si>
  <si>
    <t>EF_passenger_vehicle</t>
  </si>
  <si>
    <t>EF_propane</t>
  </si>
  <si>
    <t>ENERGYSTAR_fridge_kWh</t>
  </si>
  <si>
    <t>fridge_replacement_kWh_savings</t>
  </si>
  <si>
    <t>fuel_oil_cost</t>
  </si>
  <si>
    <t>gas_cost_gallon</t>
  </si>
  <si>
    <t>glass_recycling_avoided_emissions</t>
  </si>
  <si>
    <t>green_power_premium</t>
  </si>
  <si>
    <t>heating_percent_electricity</t>
  </si>
  <si>
    <t>heating_percent_fuel_oil</t>
  </si>
  <si>
    <t>heating_percent_NG</t>
  </si>
  <si>
    <t>heating_percent_propane</t>
  </si>
  <si>
    <t>HH_size</t>
  </si>
  <si>
    <t>HHV_fuel_oil</t>
  </si>
  <si>
    <t>HHV_natural_gas</t>
  </si>
  <si>
    <t>HHV_propane</t>
  </si>
  <si>
    <t>kWh_per_load_laundry</t>
  </si>
  <si>
    <t>lamp_cost_savings</t>
  </si>
  <si>
    <t>lamp_kWh_savings</t>
  </si>
  <si>
    <t>mag_recycling_avoided_emissions</t>
  </si>
  <si>
    <t>metal_recycling_avoided_emissions</t>
  </si>
  <si>
    <t>monthly_elec_consumption</t>
  </si>
  <si>
    <t>monthly_FO_consumption</t>
  </si>
  <si>
    <t>monthly_NG_Consumption</t>
  </si>
  <si>
    <t>monthly_propane_consumption</t>
  </si>
  <si>
    <t>Natural_gas_cost_1000CF</t>
  </si>
  <si>
    <t>Natural_gas_cost_therm</t>
  </si>
  <si>
    <t>newspaper_recycling_avoided_emissions</t>
  </si>
  <si>
    <t>NG_CO2_annual_emissions</t>
  </si>
  <si>
    <t>nonCO2_vehicle_emissions_ratio</t>
  </si>
  <si>
    <t>OilFuelRate</t>
  </si>
  <si>
    <t>plastic_recycling_avoided_emissions</t>
  </si>
  <si>
    <t>propane_cost</t>
  </si>
  <si>
    <t>thermostat_cooling_savings</t>
  </si>
  <si>
    <t>thermostat_heating_savings</t>
  </si>
  <si>
    <t>vehicle_efficiency_improvements</t>
  </si>
  <si>
    <t>window_replacement_cost_savings</t>
  </si>
  <si>
    <t>window_replacement_energy_savings</t>
  </si>
  <si>
    <t>Total food and waste carbon</t>
  </si>
  <si>
    <t>Person #1 diet</t>
  </si>
  <si>
    <t>Person #2 diet</t>
  </si>
  <si>
    <t>Person #3 diet</t>
  </si>
  <si>
    <t>Person #4 diet</t>
  </si>
  <si>
    <t>Person #5 diet</t>
  </si>
  <si>
    <t>Person #6 diet</t>
  </si>
  <si>
    <t>http://shrinkthatfootprint.com/food-carbon-footprint-diet</t>
  </si>
  <si>
    <t>Make sure your fireplace chimney flue is closed except when you have a fire</t>
  </si>
  <si>
    <t>Compost only</t>
  </si>
  <si>
    <t>Ask for WiFi password (needed to look up gas mileage of vehicles on the web)</t>
  </si>
  <si>
    <t>Always unload your car before making subsequent trips</t>
  </si>
  <si>
    <t>Remarks</t>
  </si>
  <si>
    <t>Transportation is the single biggest emitter of CO2</t>
  </si>
  <si>
    <t>This theme will explore vehicles, airplane travel and train commuting</t>
  </si>
  <si>
    <t>Airplane travel is particularly harmful because CO2 from burning jet fuel is released high in the atmosphere</t>
  </si>
  <si>
    <t>Zero out if only 2 vehicles</t>
  </si>
  <si>
    <t>Do not zero out this line</t>
  </si>
  <si>
    <t>Next, we go to airplane flights</t>
  </si>
  <si>
    <t>Flight segments not round trips</t>
  </si>
  <si>
    <t>In an average year please tell us the number of short-haul, long-haul and super-long-haul flight segments</t>
  </si>
  <si>
    <t>Short haul is 2 to 3 hours of flying, e.g., within the East Coast</t>
  </si>
  <si>
    <t>Long haul is West Coast or Europe</t>
  </si>
  <si>
    <t>Super long haul is Asia or Africa</t>
  </si>
  <si>
    <t>Zero out if 3 or less vehicles</t>
  </si>
  <si>
    <t>This line NOT included in carbon total</t>
  </si>
  <si>
    <t>Airplane flights</t>
  </si>
  <si>
    <t>Consider carbon offsetting your flights -- many businesses are starting to do this for business travel</t>
  </si>
  <si>
    <t>Example: carbonfund.org</t>
  </si>
  <si>
    <t>How it works: you make a small donation (e.g., $20 for round trip to California), it is  used to reduce GHG gases of an equal amount as your flight contribution</t>
  </si>
  <si>
    <t>Some airlines (Jet Blue) and some travel agencies (Expedia, Travelocity) make it easy for you to purchase offsets</t>
  </si>
  <si>
    <t>Heating is the second biggest emitter of carbon</t>
  </si>
  <si>
    <t>This number not included in carbon total</t>
  </si>
  <si>
    <t>Bio-diesel is made from soy plants</t>
  </si>
  <si>
    <t>B20 (20% bio-diesel) is available from some oil suppliers</t>
  </si>
  <si>
    <t>Wood stoves, wood chips, wood pellets, fireplaces are zero carbon in our calculator</t>
  </si>
  <si>
    <t>They emit CO2, but in the lifetime of the wood, a tree "fixed" CO2 from the atmosphere</t>
  </si>
  <si>
    <t>Thus, if we practice sustainable forestry, this is a sutainable fuel in the lifetime of the tree/wood</t>
  </si>
  <si>
    <t>Fireplace</t>
  </si>
  <si>
    <t>B5 (5% bio-diesel) is mandatory in Westchester</t>
  </si>
  <si>
    <t>We recommend B20 unless the oil tank is in a very cold place (due to possibility of sludge)</t>
  </si>
  <si>
    <t>Grid electricity is relatively clean in this part of the country</t>
  </si>
  <si>
    <t>If you get your electricity either from a clean ESCO or community choice or solar, then it is 100% clean</t>
  </si>
  <si>
    <t>In Croton, if your ESCO is "Constellation New Energy," then it is 100% clean</t>
  </si>
  <si>
    <t>Who is your utility?</t>
  </si>
  <si>
    <t>Con Edison</t>
  </si>
  <si>
    <t>May need to average from Con Ed bill, remember to multiply daily value by 365</t>
  </si>
  <si>
    <t>Example: =average(H6:H17)*365</t>
  </si>
  <si>
    <t>Note: enter either cubic feet or therms, not both, multiply ConEd daily value by 365</t>
  </si>
  <si>
    <t>AFOLU (Agriculture, Forestry and Land Use) is 23% of the global warming problem</t>
  </si>
  <si>
    <t>We exacerbate things by wasting food</t>
  </si>
  <si>
    <t>Reducing waste and reducing garbage are the two best things we can do quite easily</t>
  </si>
  <si>
    <t>Our garbage is taken (by a diesel-belching truck) to an incinerator, which emits CO2</t>
  </si>
  <si>
    <t>The zip code average is 806 kg of CO2, however, we give you "discounts" if you recycle</t>
  </si>
  <si>
    <t>For each person in the household, we will ask you to choose what best matches that person's diet:</t>
  </si>
  <si>
    <t>Choice 5: Vegan: no meat, no dairy</t>
  </si>
  <si>
    <t>Choice 2: Average meat: meat diet but not too much red meat</t>
  </si>
  <si>
    <t>Choice 3: No beef: meat diet but no red meat</t>
  </si>
  <si>
    <t>Choice 4: Vegetarian: no meat, but dairy included</t>
  </si>
  <si>
    <t>We understand that buying patterns vary, but our calculator does not have sophistication to understand buying patterns</t>
  </si>
  <si>
    <t>Please give us feedback on the playbook and the playbook process</t>
  </si>
  <si>
    <t>Warning to help avoid errors</t>
  </si>
  <si>
    <t>Green tips to reduce carbon</t>
  </si>
  <si>
    <t>Green text</t>
  </si>
  <si>
    <t>Black text</t>
  </si>
  <si>
    <t>Tons of carbon included in footprint</t>
  </si>
  <si>
    <t>Carbon Calculator for &lt;&lt;names&gt;&gt; &lt;e-mail address&gt;</t>
  </si>
  <si>
    <t>Warning</t>
  </si>
  <si>
    <t>To be filled in, don't type anywhere else</t>
  </si>
  <si>
    <t>Yet to be modeled</t>
  </si>
  <si>
    <t>Meat lover</t>
  </si>
  <si>
    <t>Choice 1: Meat lover: quite a lot of red meat (beef, lamb, etc.)</t>
  </si>
  <si>
    <t>Narrative/commentary/remarks</t>
  </si>
  <si>
    <t>Consider washing some loads in cold water (cold/cold setting is appropriate for most loads)</t>
  </si>
  <si>
    <t>Buy clean  electricity from your own solar, community choice solar, or a clean-energy ESCO</t>
  </si>
  <si>
    <t>lbs CO2e per passenger mile</t>
  </si>
  <si>
    <t>Emissions per mile Metro North Railroad</t>
  </si>
  <si>
    <t>https://www.transit.dot.gov/sites/fta.dot.gov/files/docs/PublicTransportationsRoleInRespondingToClimateChange2010.pdf (see table on page 14)</t>
  </si>
  <si>
    <t>Commuter railroad added 11/30/2019, revised 01/23/2020</t>
  </si>
  <si>
    <t>Use carpooling; take public transportation where possible</t>
  </si>
  <si>
    <t>Train commuting is very efficient and low-carbon; Metro North is particularly efficient among all commuter railroads in the country</t>
  </si>
  <si>
    <t>Instead, we apply an average value of 10 tons per household; however, we will give you a few  ways of reducing your carbon impact</t>
  </si>
  <si>
    <t>Yorktown Heights, NY 10598</t>
  </si>
  <si>
    <t>In zip code 10598, the average annual household emission is 61.790 metric tons -- let's see how you compare!</t>
  </si>
  <si>
    <t>10598 average</t>
  </si>
  <si>
    <t>10598 ave heat + elec</t>
  </si>
  <si>
    <t>14.048 tons</t>
  </si>
  <si>
    <t>21.499 tons</t>
  </si>
  <si>
    <t>10520 average (food) = 8.550 tons</t>
  </si>
  <si>
    <t>Zip code average: 61.790 Metric Tons per Year</t>
  </si>
  <si>
    <t>10598 average, per Cool Climate is about 17.694 tons minus 5 for zip code overhead: https://coolclimate.berkeley.edu/maps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</si>
</sst>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0.0"/>
    <numFmt numFmtId="166" formatCode="0.0"/>
    <numFmt numFmtId="167" formatCode="_(* #,##0_);_(* \(#,##0\);_(* &quot;-&quot;??_);_(@_)"/>
    <numFmt numFmtId="168" formatCode="&quot;$&quot;#,##0.0000_);[Red]\(&quot;$&quot;#,##0.0000\)"/>
    <numFmt numFmtId="169" formatCode="_(&quot;$&quot;* #,##0.00_);_(&quot;$&quot;* \(#,##0.000\);_(&quot;$&quot;* &quot;-&quot;??_);_(@_)"/>
    <numFmt numFmtId="170" formatCode="_(* #,##0.0_);_(* \(#,##0.0\);_(* &quot;-&quot;??_);_(@_)"/>
    <numFmt numFmtId="171" formatCode="0.0000"/>
    <numFmt numFmtId="172" formatCode="0.00000"/>
    <numFmt numFmtId="173" formatCode="_(* #,##0.00000_);_(* \(#,##0.00000\);_(* &quot;-&quot;??_);_(@_)"/>
  </numFmts>
  <fonts count="38" x14ac:knownFonts="1">
    <font>
      <sz val="11"/>
      <color theme="1"/>
      <name val="Arial"/>
    </font>
    <font>
      <sz val="11"/>
      <color theme="1"/>
      <name val="Calibri"/>
      <family val="2"/>
      <scheme val="minor"/>
    </font>
    <font>
      <sz val="11"/>
      <color theme="1"/>
      <name val="Calibri"/>
    </font>
    <font>
      <sz val="11"/>
      <color theme="1"/>
      <name val="Calibri"/>
    </font>
    <font>
      <b/>
      <sz val="14"/>
      <color theme="1"/>
      <name val="Calibri"/>
    </font>
    <font>
      <b/>
      <sz val="11"/>
      <color theme="1"/>
      <name val="Calibri"/>
    </font>
    <font>
      <sz val="11"/>
      <color rgb="FF000000"/>
      <name val="Calibri"/>
    </font>
    <font>
      <b/>
      <sz val="11"/>
      <color rgb="FF000000"/>
      <name val="Calibri"/>
    </font>
    <font>
      <b/>
      <sz val="11"/>
      <color rgb="FF000000"/>
      <name val="Arial"/>
    </font>
    <font>
      <sz val="10"/>
      <color theme="1"/>
      <name val="Arial"/>
    </font>
    <font>
      <b/>
      <sz val="14"/>
      <color theme="1"/>
      <name val="Arial"/>
    </font>
    <font>
      <b/>
      <sz val="10"/>
      <color theme="1"/>
      <name val="Arial"/>
    </font>
    <font>
      <sz val="7"/>
      <color theme="1"/>
      <name val="Arial"/>
    </font>
    <font>
      <sz val="10"/>
      <color rgb="FFFFFFFF"/>
      <name val="Arial"/>
    </font>
    <font>
      <b/>
      <sz val="10"/>
      <color rgb="FFFFFFFF"/>
      <name val="Arial"/>
    </font>
    <font>
      <b/>
      <sz val="8"/>
      <color theme="1"/>
      <name val="Arial"/>
    </font>
    <font>
      <b/>
      <sz val="10"/>
      <color rgb="FF0000FF"/>
      <name val="Arial"/>
    </font>
    <font>
      <b/>
      <sz val="8"/>
      <color rgb="FF0000FF"/>
      <name val="Arial"/>
    </font>
    <font>
      <sz val="8"/>
      <color theme="1"/>
      <name val="Arial"/>
    </font>
    <font>
      <i/>
      <sz val="10"/>
      <color theme="1"/>
      <name val="Arial"/>
    </font>
    <font>
      <sz val="11"/>
      <color rgb="FF000000"/>
      <name val="Arial"/>
    </font>
    <font>
      <sz val="10"/>
      <color rgb="FF548135"/>
      <name val="Arial"/>
    </font>
    <font>
      <u/>
      <sz val="11"/>
      <color theme="10"/>
      <name val="Arial"/>
    </font>
    <font>
      <sz val="9"/>
      <color theme="1"/>
      <name val="Times New Roman"/>
    </font>
    <font>
      <sz val="11"/>
      <name val="Arial"/>
    </font>
    <font>
      <vertAlign val="superscript"/>
      <sz val="10"/>
      <name val="Arial"/>
    </font>
    <font>
      <sz val="10"/>
      <name val="Arial"/>
    </font>
    <font>
      <sz val="11"/>
      <color theme="1"/>
      <name val="Calibri"/>
      <family val="2"/>
    </font>
    <font>
      <sz val="11"/>
      <color theme="0"/>
      <name val="Calibri"/>
      <family val="2"/>
      <scheme val="minor"/>
    </font>
    <font>
      <sz val="11"/>
      <color theme="1"/>
      <name val="Arial"/>
      <family val="2"/>
    </font>
    <font>
      <sz val="11"/>
      <color theme="0"/>
      <name val="Calibri"/>
      <family val="2"/>
    </font>
    <font>
      <sz val="11"/>
      <color theme="0"/>
      <name val="Arial"/>
      <family val="2"/>
    </font>
    <font>
      <sz val="11"/>
      <name val="Calibri"/>
      <family val="2"/>
    </font>
    <font>
      <sz val="11"/>
      <color rgb="FF00B050"/>
      <name val="Arial"/>
      <family val="2"/>
    </font>
    <font>
      <b/>
      <sz val="14"/>
      <color theme="1"/>
      <name val="Calibri"/>
      <family val="2"/>
    </font>
    <font>
      <sz val="11"/>
      <color rgb="FF00B050"/>
      <name val="Calibri"/>
      <family val="2"/>
    </font>
    <font>
      <sz val="10"/>
      <color theme="1"/>
      <name val="Arial"/>
      <family val="2"/>
    </font>
    <font>
      <b/>
      <sz val="10"/>
      <color theme="1"/>
      <name val="Arial"/>
      <family val="2"/>
    </font>
  </fonts>
  <fills count="10">
    <fill>
      <patternFill patternType="none"/>
    </fill>
    <fill>
      <patternFill patternType="gray125"/>
    </fill>
    <fill>
      <patternFill patternType="solid">
        <fgColor rgb="FFFFFF00"/>
        <bgColor rgb="FFFFFF00"/>
      </patternFill>
    </fill>
    <fill>
      <patternFill patternType="solid">
        <fgColor rgb="FF000000"/>
        <bgColor rgb="FF000000"/>
      </patternFill>
    </fill>
    <fill>
      <patternFill patternType="solid">
        <fgColor rgb="FF99CCFF"/>
        <bgColor rgb="FF99CCFF"/>
      </patternFill>
    </fill>
    <fill>
      <patternFill patternType="solid">
        <fgColor rgb="FFDEEAF6"/>
        <bgColor rgb="FFDEEAF6"/>
      </patternFill>
    </fill>
    <fill>
      <patternFill patternType="solid">
        <fgColor rgb="FFFFFFFF"/>
        <bgColor rgb="FFFFFFFF"/>
      </patternFill>
    </fill>
    <fill>
      <patternFill patternType="solid">
        <fgColor rgb="FFFF0000"/>
        <bgColor indexed="64"/>
      </patternFill>
    </fill>
    <fill>
      <patternFill patternType="solid">
        <fgColor rgb="FFFFFF00"/>
        <bgColor indexed="64"/>
      </patternFill>
    </fill>
    <fill>
      <patternFill patternType="solid">
        <fgColor theme="0" tint="-0.34998626667073579"/>
        <bgColor indexed="64"/>
      </patternFill>
    </fill>
  </fills>
  <borders count="1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250">
    <xf numFmtId="0" fontId="0" fillId="0" borderId="0" xfId="0" applyFont="1" applyAlignment="1"/>
    <xf numFmtId="49" fontId="2" fillId="0" borderId="0" xfId="0" applyNumberFormat="1" applyFont="1" applyAlignment="1">
      <alignment wrapText="1"/>
    </xf>
    <xf numFmtId="0" fontId="2" fillId="0" borderId="0" xfId="0" applyFont="1"/>
    <xf numFmtId="0" fontId="3" fillId="0" borderId="0" xfId="0" applyFont="1" applyAlignment="1"/>
    <xf numFmtId="0" fontId="4" fillId="0" borderId="0" xfId="0" applyFont="1"/>
    <xf numFmtId="0" fontId="4" fillId="2" borderId="1" xfId="0" applyFont="1" applyFill="1" applyBorder="1"/>
    <xf numFmtId="0" fontId="3" fillId="0" borderId="0" xfId="0" applyFont="1"/>
    <xf numFmtId="0" fontId="5" fillId="0" borderId="2" xfId="0" applyFont="1" applyBorder="1"/>
    <xf numFmtId="0" fontId="2" fillId="0" borderId="2" xfId="0" applyFont="1" applyBorder="1"/>
    <xf numFmtId="0" fontId="2" fillId="2" borderId="2" xfId="0" applyFont="1" applyFill="1" applyBorder="1"/>
    <xf numFmtId="164" fontId="2" fillId="0" borderId="2" xfId="0" applyNumberFormat="1" applyFont="1" applyBorder="1"/>
    <xf numFmtId="1" fontId="2" fillId="2" borderId="2" xfId="0" applyNumberFormat="1" applyFont="1" applyFill="1" applyBorder="1"/>
    <xf numFmtId="0" fontId="2" fillId="2" borderId="2" xfId="0" applyFont="1" applyFill="1" applyBorder="1" applyAlignment="1">
      <alignment horizontal="right"/>
    </xf>
    <xf numFmtId="3" fontId="2" fillId="2" borderId="2" xfId="0" applyNumberFormat="1" applyFont="1" applyFill="1" applyBorder="1"/>
    <xf numFmtId="3" fontId="2" fillId="0" borderId="2" xfId="0" applyNumberFormat="1" applyFont="1" applyBorder="1"/>
    <xf numFmtId="2" fontId="2" fillId="2" borderId="2" xfId="0" applyNumberFormat="1" applyFont="1" applyFill="1" applyBorder="1"/>
    <xf numFmtId="9" fontId="2" fillId="2" borderId="2" xfId="0" applyNumberFormat="1" applyFont="1" applyFill="1" applyBorder="1"/>
    <xf numFmtId="0" fontId="6" fillId="0" borderId="2" xfId="0" applyFont="1" applyBorder="1" applyAlignment="1"/>
    <xf numFmtId="49" fontId="2" fillId="0" borderId="0" xfId="0" applyNumberFormat="1" applyFont="1"/>
    <xf numFmtId="0" fontId="7" fillId="0" borderId="2" xfId="0" applyFont="1" applyBorder="1" applyAlignment="1"/>
    <xf numFmtId="0" fontId="5" fillId="0" borderId="0" xfId="0" applyFont="1"/>
    <xf numFmtId="0" fontId="8" fillId="0" borderId="2" xfId="0" applyFont="1" applyBorder="1" applyAlignment="1"/>
    <xf numFmtId="164" fontId="2" fillId="0" borderId="0" xfId="0" applyNumberFormat="1" applyFont="1"/>
    <xf numFmtId="3" fontId="2" fillId="0" borderId="0" xfId="0" applyNumberFormat="1" applyFont="1"/>
    <xf numFmtId="164" fontId="5" fillId="0" borderId="0" xfId="0" applyNumberFormat="1" applyFont="1"/>
    <xf numFmtId="0" fontId="6" fillId="0" borderId="0" xfId="0" applyFont="1" applyAlignment="1"/>
    <xf numFmtId="0" fontId="9" fillId="0" borderId="0" xfId="0" applyFont="1" applyAlignment="1">
      <alignment vertical="center" wrapText="1"/>
    </xf>
    <xf numFmtId="0" fontId="10" fillId="0" borderId="0" xfId="0" applyFont="1" applyAlignment="1">
      <alignment vertical="center"/>
    </xf>
    <xf numFmtId="0" fontId="9" fillId="0" borderId="0" xfId="0" applyFont="1" applyAlignment="1">
      <alignment horizontal="right" vertical="center" wrapText="1"/>
    </xf>
    <xf numFmtId="0" fontId="9" fillId="0" borderId="0" xfId="0" applyFont="1" applyAlignment="1">
      <alignment wrapText="1"/>
    </xf>
    <xf numFmtId="0" fontId="11" fillId="0" borderId="0" xfId="0" applyFont="1" applyAlignment="1">
      <alignment horizontal="left"/>
    </xf>
    <xf numFmtId="14" fontId="9" fillId="0" borderId="0" xfId="0" applyNumberFormat="1" applyFont="1" applyAlignment="1">
      <alignment horizontal="right" vertical="center" wrapText="1"/>
    </xf>
    <xf numFmtId="0" fontId="12" fillId="0" borderId="0" xfId="0" applyFont="1"/>
    <xf numFmtId="164" fontId="12" fillId="0" borderId="0" xfId="0" applyNumberFormat="1" applyFont="1"/>
    <xf numFmtId="0" fontId="13" fillId="3" borderId="1" xfId="0" applyFont="1" applyFill="1" applyBorder="1" applyAlignment="1">
      <alignment vertical="center" wrapText="1"/>
    </xf>
    <xf numFmtId="0" fontId="9" fillId="0" borderId="0" xfId="0" applyFont="1"/>
    <xf numFmtId="0" fontId="14" fillId="3" borderId="1" xfId="0" applyFont="1" applyFill="1" applyBorder="1" applyAlignment="1">
      <alignment horizontal="left" vertical="center" wrapText="1"/>
    </xf>
    <xf numFmtId="0" fontId="14" fillId="3" borderId="1" xfId="0" applyFont="1" applyFill="1" applyBorder="1" applyAlignment="1">
      <alignment horizontal="right" vertical="center" wrapText="1"/>
    </xf>
    <xf numFmtId="0" fontId="14" fillId="3" borderId="1" xfId="0" applyFont="1" applyFill="1" applyBorder="1" applyAlignment="1">
      <alignment vertical="center" wrapText="1"/>
    </xf>
    <xf numFmtId="0" fontId="14" fillId="3" borderId="1" xfId="0" applyFont="1" applyFill="1" applyBorder="1" applyAlignment="1">
      <alignment wrapText="1"/>
    </xf>
    <xf numFmtId="49" fontId="11" fillId="0" borderId="0" xfId="0" applyNumberFormat="1" applyFont="1" applyAlignment="1">
      <alignment wrapText="1"/>
    </xf>
    <xf numFmtId="0" fontId="13" fillId="3" borderId="1" xfId="0" applyFont="1" applyFill="1" applyBorder="1" applyAlignment="1">
      <alignment wrapText="1"/>
    </xf>
    <xf numFmtId="49" fontId="11" fillId="0" borderId="0" xfId="0" applyNumberFormat="1" applyFont="1" applyAlignment="1">
      <alignment horizontal="left" wrapText="1"/>
    </xf>
    <xf numFmtId="0" fontId="15" fillId="0" borderId="0" xfId="0" applyFont="1" applyAlignment="1">
      <alignment horizontal="left" wrapText="1"/>
    </xf>
    <xf numFmtId="4" fontId="15" fillId="0" borderId="0" xfId="0" applyNumberFormat="1" applyFont="1" applyAlignment="1">
      <alignment horizontal="left" wrapText="1"/>
    </xf>
    <xf numFmtId="49" fontId="16" fillId="0" borderId="0" xfId="0" applyNumberFormat="1" applyFont="1"/>
    <xf numFmtId="0" fontId="9" fillId="4" borderId="1" xfId="0" applyFont="1" applyFill="1" applyBorder="1" applyAlignment="1">
      <alignment vertical="center" wrapText="1"/>
    </xf>
    <xf numFmtId="49" fontId="17" fillId="0" borderId="0" xfId="0" applyNumberFormat="1" applyFont="1"/>
    <xf numFmtId="0" fontId="11" fillId="4" borderId="1" xfId="0" applyFont="1" applyFill="1" applyBorder="1" applyAlignment="1">
      <alignment horizontal="left" vertical="center" wrapText="1"/>
    </xf>
    <xf numFmtId="0" fontId="11" fillId="4" borderId="1" xfId="0" applyFont="1" applyFill="1" applyBorder="1" applyAlignment="1">
      <alignment horizontal="right" vertical="center" wrapText="1"/>
    </xf>
    <xf numFmtId="0" fontId="11" fillId="4" borderId="1" xfId="0" applyFont="1" applyFill="1" applyBorder="1" applyAlignment="1">
      <alignment vertical="center" wrapText="1"/>
    </xf>
    <xf numFmtId="0" fontId="11" fillId="4" borderId="1" xfId="0" applyFont="1" applyFill="1" applyBorder="1" applyAlignment="1">
      <alignment wrapText="1"/>
    </xf>
    <xf numFmtId="0" fontId="9" fillId="4" borderId="1" xfId="0" applyFont="1" applyFill="1" applyBorder="1" applyAlignment="1">
      <alignment wrapText="1"/>
    </xf>
    <xf numFmtId="4" fontId="17" fillId="0" borderId="0" xfId="0" applyNumberFormat="1" applyFont="1"/>
    <xf numFmtId="49" fontId="17" fillId="0" borderId="0" xfId="0" applyNumberFormat="1" applyFont="1" applyAlignment="1">
      <alignment horizontal="left"/>
    </xf>
    <xf numFmtId="49" fontId="11" fillId="0" borderId="0" xfId="0" applyNumberFormat="1" applyFont="1"/>
    <xf numFmtId="164" fontId="9" fillId="0" borderId="0" xfId="0" applyNumberFormat="1" applyFont="1"/>
    <xf numFmtId="0" fontId="18" fillId="0" borderId="0" xfId="0" applyFont="1"/>
    <xf numFmtId="0" fontId="9" fillId="0" borderId="0" xfId="0" applyFont="1" applyAlignment="1">
      <alignment horizontal="left" vertical="center" wrapText="1"/>
    </xf>
    <xf numFmtId="4" fontId="18" fillId="0" borderId="0" xfId="0" applyNumberFormat="1" applyFont="1" applyAlignment="1">
      <alignment horizontal="right"/>
    </xf>
    <xf numFmtId="4" fontId="18" fillId="0" borderId="0" xfId="0" applyNumberFormat="1" applyFont="1"/>
    <xf numFmtId="0" fontId="11" fillId="0" borderId="0" xfId="0" applyFont="1"/>
    <xf numFmtId="2" fontId="9" fillId="0" borderId="0" xfId="0" applyNumberFormat="1" applyFont="1" applyAlignment="1">
      <alignment horizontal="right" vertical="center" wrapText="1"/>
    </xf>
    <xf numFmtId="3" fontId="9" fillId="0" borderId="0" xfId="0" applyNumberFormat="1" applyFont="1" applyAlignment="1">
      <alignment horizontal="right" vertical="center" wrapText="1"/>
    </xf>
    <xf numFmtId="167" fontId="9" fillId="0" borderId="0" xfId="0" applyNumberFormat="1" applyFont="1" applyAlignment="1">
      <alignment horizontal="right" vertical="center" wrapText="1"/>
    </xf>
    <xf numFmtId="0" fontId="9" fillId="4" borderId="1" xfId="0" applyFont="1" applyFill="1" applyBorder="1" applyAlignment="1">
      <alignment horizontal="right" vertical="center" wrapText="1"/>
    </xf>
    <xf numFmtId="0" fontId="9" fillId="4" borderId="1" xfId="0" applyFont="1" applyFill="1" applyBorder="1" applyAlignment="1">
      <alignment horizontal="left" vertical="center" wrapText="1"/>
    </xf>
    <xf numFmtId="0" fontId="9" fillId="5" borderId="1" xfId="0" applyFont="1" applyFill="1" applyBorder="1" applyAlignment="1">
      <alignment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horizontal="right" vertical="center" wrapText="1"/>
    </xf>
    <xf numFmtId="0" fontId="9" fillId="5" borderId="1" xfId="0" applyFont="1" applyFill="1" applyBorder="1" applyAlignment="1">
      <alignment wrapText="1"/>
    </xf>
    <xf numFmtId="0" fontId="2" fillId="0" borderId="0" xfId="0" applyFont="1" applyAlignment="1"/>
    <xf numFmtId="0" fontId="19" fillId="0" borderId="0" xfId="0" applyFont="1"/>
    <xf numFmtId="164" fontId="19" fillId="0" borderId="0" xfId="0" applyNumberFormat="1" applyFont="1"/>
    <xf numFmtId="8" fontId="9" fillId="0" borderId="0" xfId="0" applyNumberFormat="1" applyFont="1" applyAlignment="1">
      <alignment horizontal="right" vertical="center" wrapText="1"/>
    </xf>
    <xf numFmtId="0" fontId="20" fillId="0" borderId="0" xfId="0" applyFont="1" applyAlignment="1"/>
    <xf numFmtId="164" fontId="6" fillId="0" borderId="0" xfId="0" applyNumberFormat="1" applyFont="1" applyAlignment="1"/>
    <xf numFmtId="166" fontId="9" fillId="0" borderId="0" xfId="0" applyNumberFormat="1" applyFont="1" applyAlignment="1">
      <alignment horizontal="right" vertical="center" wrapText="1"/>
    </xf>
    <xf numFmtId="2" fontId="21" fillId="0" borderId="0" xfId="0" applyNumberFormat="1" applyFont="1" applyAlignment="1">
      <alignment vertical="center" wrapText="1"/>
    </xf>
    <xf numFmtId="168" fontId="9" fillId="0" borderId="0" xfId="0" applyNumberFormat="1" applyFont="1" applyAlignment="1">
      <alignment horizontal="right" vertical="center" wrapText="1"/>
    </xf>
    <xf numFmtId="1" fontId="9" fillId="0" borderId="0" xfId="0" applyNumberFormat="1" applyFont="1" applyAlignment="1">
      <alignment horizontal="right" vertical="center" wrapText="1"/>
    </xf>
    <xf numFmtId="0" fontId="22" fillId="0" borderId="0" xfId="0" applyFont="1" applyAlignment="1">
      <alignment horizontal="left" vertical="center" wrapText="1"/>
    </xf>
    <xf numFmtId="0" fontId="5" fillId="0" borderId="3" xfId="0" applyFont="1" applyBorder="1" applyAlignment="1">
      <alignment wrapText="1"/>
    </xf>
    <xf numFmtId="0" fontId="23" fillId="0" borderId="0" xfId="0" applyFont="1" applyAlignment="1">
      <alignment horizontal="right" wrapText="1"/>
    </xf>
    <xf numFmtId="169" fontId="2" fillId="0" borderId="0" xfId="0" applyNumberFormat="1" applyFont="1" applyAlignment="1">
      <alignment horizontal="right" vertical="center"/>
    </xf>
    <xf numFmtId="0" fontId="2" fillId="0" borderId="7" xfId="0" applyFont="1" applyBorder="1" applyAlignment="1">
      <alignment wrapText="1"/>
    </xf>
    <xf numFmtId="3" fontId="2" fillId="0" borderId="8" xfId="0" applyNumberFormat="1" applyFont="1" applyBorder="1"/>
    <xf numFmtId="3" fontId="2" fillId="0" borderId="9" xfId="0" applyNumberFormat="1" applyFont="1" applyBorder="1"/>
    <xf numFmtId="0" fontId="2" fillId="0" borderId="0" xfId="0" applyFont="1" applyAlignment="1">
      <alignment horizontal="center"/>
    </xf>
    <xf numFmtId="0" fontId="2" fillId="0" borderId="9" xfId="0" applyFont="1" applyBorder="1" applyAlignment="1">
      <alignment horizontal="center"/>
    </xf>
    <xf numFmtId="167" fontId="2" fillId="0" borderId="0" xfId="0" applyNumberFormat="1" applyFont="1"/>
    <xf numFmtId="44" fontId="2" fillId="0" borderId="9" xfId="0" applyNumberFormat="1" applyFont="1" applyBorder="1"/>
    <xf numFmtId="44" fontId="2" fillId="0" borderId="0" xfId="0" applyNumberFormat="1" applyFont="1"/>
    <xf numFmtId="0" fontId="2" fillId="0" borderId="0" xfId="0" applyFont="1" applyAlignment="1">
      <alignment vertical="top"/>
    </xf>
    <xf numFmtId="169" fontId="2" fillId="0" borderId="0" xfId="0" applyNumberFormat="1" applyFont="1" applyAlignment="1">
      <alignment horizontal="right" vertical="top"/>
    </xf>
    <xf numFmtId="0" fontId="2" fillId="0" borderId="8" xfId="0" applyFont="1" applyBorder="1" applyAlignment="1">
      <alignment wrapText="1"/>
    </xf>
    <xf numFmtId="0" fontId="5" fillId="0" borderId="4" xfId="0" applyFont="1" applyBorder="1" applyAlignment="1">
      <alignment wrapText="1"/>
    </xf>
    <xf numFmtId="0" fontId="2" fillId="0" borderId="10" xfId="0" applyFont="1" applyBorder="1" applyAlignment="1">
      <alignment wrapText="1"/>
    </xf>
    <xf numFmtId="3" fontId="2" fillId="0" borderId="10" xfId="0" applyNumberFormat="1" applyFont="1" applyBorder="1"/>
    <xf numFmtId="3" fontId="2" fillId="0" borderId="11" xfId="0" applyNumberFormat="1" applyFont="1" applyBorder="1"/>
    <xf numFmtId="167" fontId="2" fillId="0" borderId="12" xfId="0" applyNumberFormat="1" applyFont="1" applyBorder="1"/>
    <xf numFmtId="44" fontId="2" fillId="0" borderId="11" xfId="0" applyNumberFormat="1" applyFont="1" applyBorder="1"/>
    <xf numFmtId="167" fontId="9" fillId="5" borderId="1" xfId="0" applyNumberFormat="1" applyFont="1" applyFill="1" applyBorder="1" applyAlignment="1">
      <alignment horizontal="righ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xf>
    <xf numFmtId="3" fontId="2" fillId="0" borderId="12" xfId="0" applyNumberFormat="1" applyFont="1" applyBorder="1"/>
    <xf numFmtId="0" fontId="9" fillId="3" borderId="1" xfId="0" applyFont="1" applyFill="1" applyBorder="1" applyAlignment="1">
      <alignment horizontal="right" vertical="center" wrapText="1"/>
    </xf>
    <xf numFmtId="0" fontId="9" fillId="3" borderId="1" xfId="0" applyFont="1" applyFill="1" applyBorder="1" applyAlignment="1">
      <alignment wrapText="1"/>
    </xf>
    <xf numFmtId="0" fontId="9" fillId="6" borderId="1" xfId="0" applyFont="1" applyFill="1" applyBorder="1" applyAlignment="1">
      <alignment vertical="center" wrapText="1"/>
    </xf>
    <xf numFmtId="0" fontId="11" fillId="6" borderId="1" xfId="0" applyFont="1" applyFill="1" applyBorder="1" applyAlignment="1">
      <alignment horizontal="left" vertical="center" wrapText="1"/>
    </xf>
    <xf numFmtId="0" fontId="9" fillId="6" borderId="1" xfId="0" applyFont="1" applyFill="1" applyBorder="1" applyAlignment="1">
      <alignment horizontal="right"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wrapText="1"/>
    </xf>
    <xf numFmtId="8" fontId="9" fillId="4" borderId="1" xfId="0" applyNumberFormat="1" applyFont="1" applyFill="1" applyBorder="1" applyAlignment="1">
      <alignment horizontal="right" vertical="center" wrapText="1"/>
    </xf>
    <xf numFmtId="2" fontId="9" fillId="0" borderId="0" xfId="0" applyNumberFormat="1" applyFont="1" applyAlignment="1">
      <alignment horizontal="right" vertical="center"/>
    </xf>
    <xf numFmtId="170" fontId="9" fillId="0" borderId="0" xfId="0" applyNumberFormat="1" applyFont="1" applyAlignment="1">
      <alignment horizontal="right" vertical="center" wrapText="1"/>
    </xf>
    <xf numFmtId="6" fontId="9" fillId="0" borderId="0" xfId="0" applyNumberFormat="1" applyFont="1" applyAlignment="1">
      <alignment horizontal="right" vertical="center" wrapText="1"/>
    </xf>
    <xf numFmtId="43" fontId="2" fillId="0" borderId="0" xfId="0" applyNumberFormat="1" applyFont="1" applyAlignment="1">
      <alignment horizontal="right" vertical="center"/>
    </xf>
    <xf numFmtId="0" fontId="9" fillId="0" borderId="0" xfId="0" applyFont="1" applyAlignment="1">
      <alignment vertical="center"/>
    </xf>
    <xf numFmtId="0" fontId="9" fillId="0" borderId="0" xfId="0" applyFont="1" applyAlignment="1">
      <alignment horizontal="right" vertical="center"/>
    </xf>
    <xf numFmtId="167" fontId="2" fillId="0" borderId="0" xfId="0" applyNumberFormat="1" applyFont="1" applyAlignment="1">
      <alignment horizontal="right" vertical="center"/>
    </xf>
    <xf numFmtId="43" fontId="2" fillId="0" borderId="0" xfId="0" applyNumberFormat="1" applyFont="1" applyAlignment="1">
      <alignment horizontal="right" wrapText="1"/>
    </xf>
    <xf numFmtId="171" fontId="9" fillId="0" borderId="0" xfId="0" applyNumberFormat="1" applyFont="1" applyAlignment="1">
      <alignment horizontal="right" vertical="center" wrapText="1"/>
    </xf>
    <xf numFmtId="172" fontId="9" fillId="0" borderId="0" xfId="0" applyNumberFormat="1" applyFont="1" applyAlignment="1">
      <alignment horizontal="right" vertical="center" wrapText="1"/>
    </xf>
    <xf numFmtId="43" fontId="2" fillId="0" borderId="0" xfId="0" applyNumberFormat="1" applyFont="1" applyAlignment="1">
      <alignment horizontal="right" vertical="center" wrapText="1"/>
    </xf>
    <xf numFmtId="173" fontId="2" fillId="0" borderId="0" xfId="0" applyNumberFormat="1" applyFont="1" applyAlignment="1">
      <alignment horizontal="right" vertical="center" wrapText="1"/>
    </xf>
    <xf numFmtId="0" fontId="9" fillId="0" borderId="0" xfId="0" applyFont="1" applyAlignment="1">
      <alignment horizontal="right" wrapText="1"/>
    </xf>
    <xf numFmtId="3" fontId="9" fillId="0" borderId="0" xfId="0" applyNumberFormat="1" applyFont="1" applyAlignment="1">
      <alignment horizontal="right" wrapText="1"/>
    </xf>
    <xf numFmtId="0" fontId="11" fillId="4" borderId="1" xfId="0" applyFont="1" applyFill="1" applyBorder="1" applyAlignment="1">
      <alignment horizontal="left" vertical="center" wrapText="1"/>
    </xf>
    <xf numFmtId="0" fontId="9" fillId="0" borderId="0" xfId="0" applyFont="1" applyAlignment="1">
      <alignment wrapText="1"/>
    </xf>
    <xf numFmtId="0" fontId="9" fillId="0" borderId="0" xfId="0" applyFont="1" applyAlignment="1">
      <alignment horizontal="right" wrapText="1"/>
    </xf>
    <xf numFmtId="0" fontId="9" fillId="2" borderId="1" xfId="0" applyFont="1" applyFill="1" applyBorder="1"/>
    <xf numFmtId="2" fontId="9" fillId="2" borderId="1" xfId="0" applyNumberFormat="1" applyFont="1" applyFill="1" applyBorder="1"/>
    <xf numFmtId="167" fontId="9" fillId="2" borderId="1" xfId="0" applyNumberFormat="1" applyFont="1" applyFill="1" applyBorder="1"/>
    <xf numFmtId="3" fontId="9" fillId="2" borderId="1" xfId="0" applyNumberFormat="1" applyFont="1" applyFill="1" applyBorder="1"/>
    <xf numFmtId="1" fontId="9" fillId="2" borderId="1" xfId="0" applyNumberFormat="1" applyFont="1" applyFill="1" applyBorder="1"/>
    <xf numFmtId="8" fontId="9" fillId="0" borderId="0" xfId="0" applyNumberFormat="1" applyFont="1"/>
    <xf numFmtId="166" fontId="9" fillId="2" borderId="1" xfId="0" applyNumberFormat="1" applyFont="1" applyFill="1" applyBorder="1"/>
    <xf numFmtId="170" fontId="9" fillId="2" borderId="1" xfId="0" applyNumberFormat="1" applyFont="1" applyFill="1" applyBorder="1"/>
    <xf numFmtId="167" fontId="9" fillId="0" borderId="0" xfId="0" applyNumberFormat="1" applyFont="1"/>
    <xf numFmtId="43" fontId="9" fillId="0" borderId="0" xfId="0" applyNumberFormat="1" applyFont="1"/>
    <xf numFmtId="168" fontId="9" fillId="2" borderId="1" xfId="0" applyNumberFormat="1" applyFont="1" applyFill="1" applyBorder="1"/>
    <xf numFmtId="49" fontId="9" fillId="0" borderId="0" xfId="0" applyNumberFormat="1" applyFont="1"/>
    <xf numFmtId="2" fontId="9" fillId="0" borderId="0" xfId="0" applyNumberFormat="1" applyFont="1"/>
    <xf numFmtId="166" fontId="9" fillId="0" borderId="0" xfId="0" applyNumberFormat="1" applyFont="1"/>
    <xf numFmtId="8" fontId="9" fillId="2" borderId="1" xfId="0" applyNumberFormat="1" applyFont="1" applyFill="1" applyBorder="1"/>
    <xf numFmtId="1" fontId="9" fillId="0" borderId="0" xfId="0" applyNumberFormat="1" applyFont="1"/>
    <xf numFmtId="3" fontId="9" fillId="0" borderId="0" xfId="0" applyNumberFormat="1" applyFont="1"/>
    <xf numFmtId="6" fontId="9" fillId="2" borderId="1" xfId="0" applyNumberFormat="1" applyFont="1" applyFill="1" applyBorder="1"/>
    <xf numFmtId="0" fontId="0" fillId="0" borderId="0" xfId="0" applyFont="1" applyAlignment="1"/>
    <xf numFmtId="0" fontId="0" fillId="0" borderId="0" xfId="0" applyFont="1" applyAlignment="1"/>
    <xf numFmtId="0" fontId="27" fillId="0" borderId="0" xfId="0" applyFont="1"/>
    <xf numFmtId="0" fontId="27" fillId="0" borderId="0" xfId="0" applyFont="1" applyAlignment="1"/>
    <xf numFmtId="0" fontId="1" fillId="0" borderId="0" xfId="0" applyFont="1" applyAlignment="1"/>
    <xf numFmtId="164" fontId="1" fillId="0" borderId="1" xfId="0" applyNumberFormat="1" applyFont="1" applyBorder="1"/>
    <xf numFmtId="164" fontId="1" fillId="0" borderId="1" xfId="0" applyNumberFormat="1" applyFont="1" applyBorder="1" applyAlignment="1"/>
    <xf numFmtId="164" fontId="0" fillId="0" borderId="0" xfId="0" applyNumberFormat="1" applyFont="1" applyAlignment="1"/>
    <xf numFmtId="0" fontId="0" fillId="0" borderId="0" xfId="0" applyFont="1" applyAlignment="1"/>
    <xf numFmtId="0" fontId="0" fillId="0" borderId="0" xfId="0" applyFont="1" applyAlignment="1"/>
    <xf numFmtId="0" fontId="2" fillId="7" borderId="2" xfId="0" applyFont="1" applyFill="1" applyBorder="1"/>
    <xf numFmtId="0" fontId="30" fillId="7" borderId="2" xfId="0" applyFont="1" applyFill="1" applyBorder="1"/>
    <xf numFmtId="0" fontId="27" fillId="0" borderId="2" xfId="0" applyFont="1" applyBorder="1"/>
    <xf numFmtId="0" fontId="2" fillId="0" borderId="13" xfId="0" applyFont="1" applyBorder="1"/>
    <xf numFmtId="164" fontId="2" fillId="0" borderId="13" xfId="0" applyNumberFormat="1" applyFont="1" applyBorder="1"/>
    <xf numFmtId="0" fontId="2" fillId="0" borderId="14" xfId="0" applyFont="1" applyBorder="1"/>
    <xf numFmtId="1" fontId="2" fillId="2" borderId="14" xfId="0" applyNumberFormat="1" applyFont="1" applyFill="1" applyBorder="1"/>
    <xf numFmtId="164" fontId="2" fillId="0" borderId="14" xfId="0" applyNumberFormat="1" applyFont="1" applyBorder="1"/>
    <xf numFmtId="0" fontId="30" fillId="7" borderId="14" xfId="0" applyFont="1" applyFill="1" applyBorder="1"/>
    <xf numFmtId="0" fontId="0" fillId="0" borderId="1" xfId="0" applyFont="1" applyBorder="1" applyAlignment="1"/>
    <xf numFmtId="0" fontId="27" fillId="0" borderId="1" xfId="0" applyFont="1" applyFill="1" applyBorder="1"/>
    <xf numFmtId="166" fontId="2" fillId="0" borderId="1" xfId="0" applyNumberFormat="1" applyFont="1" applyFill="1" applyBorder="1"/>
    <xf numFmtId="164" fontId="2" fillId="0" borderId="1" xfId="0" applyNumberFormat="1" applyFont="1" applyFill="1" applyBorder="1"/>
    <xf numFmtId="0" fontId="2" fillId="0" borderId="1" xfId="0" applyFont="1" applyFill="1" applyBorder="1"/>
    <xf numFmtId="166" fontId="27" fillId="0" borderId="1" xfId="0" applyNumberFormat="1" applyFont="1" applyFill="1" applyBorder="1"/>
    <xf numFmtId="0" fontId="0" fillId="0" borderId="1" xfId="0" applyFont="1" applyFill="1" applyBorder="1" applyAlignment="1"/>
    <xf numFmtId="0" fontId="4" fillId="0" borderId="1" xfId="0" applyFont="1" applyFill="1" applyBorder="1"/>
    <xf numFmtId="3" fontId="2" fillId="2" borderId="13" xfId="0" applyNumberFormat="1" applyFont="1" applyFill="1" applyBorder="1"/>
    <xf numFmtId="0" fontId="2" fillId="0" borderId="15" xfId="0" applyFont="1" applyBorder="1"/>
    <xf numFmtId="164" fontId="2" fillId="0" borderId="15" xfId="0" applyNumberFormat="1" applyFont="1" applyBorder="1"/>
    <xf numFmtId="1" fontId="2" fillId="2" borderId="15" xfId="0" applyNumberFormat="1" applyFont="1" applyFill="1" applyBorder="1"/>
    <xf numFmtId="0" fontId="30" fillId="7" borderId="15" xfId="0" applyFont="1" applyFill="1" applyBorder="1"/>
    <xf numFmtId="1" fontId="2" fillId="2" borderId="13" xfId="0" applyNumberFormat="1" applyFont="1" applyFill="1" applyBorder="1"/>
    <xf numFmtId="0" fontId="30" fillId="7" borderId="13" xfId="0" applyFont="1" applyFill="1" applyBorder="1"/>
    <xf numFmtId="1" fontId="2" fillId="0" borderId="1" xfId="0" applyNumberFormat="1" applyFont="1" applyFill="1" applyBorder="1"/>
    <xf numFmtId="0" fontId="30" fillId="0" borderId="1" xfId="0" applyFont="1" applyFill="1" applyBorder="1"/>
    <xf numFmtId="0" fontId="29" fillId="0" borderId="0" xfId="0" applyFont="1" applyAlignment="1"/>
    <xf numFmtId="0" fontId="0" fillId="7" borderId="0" xfId="0" applyFont="1" applyFill="1" applyAlignment="1"/>
    <xf numFmtId="0" fontId="30" fillId="7" borderId="0" xfId="0" applyFont="1" applyFill="1"/>
    <xf numFmtId="0" fontId="31" fillId="7" borderId="0" xfId="0" applyFont="1" applyFill="1" applyAlignment="1"/>
    <xf numFmtId="9" fontId="2" fillId="2" borderId="14" xfId="0" applyNumberFormat="1" applyFont="1" applyFill="1" applyBorder="1"/>
    <xf numFmtId="165" fontId="2" fillId="0" borderId="1" xfId="0" applyNumberFormat="1" applyFont="1" applyFill="1" applyBorder="1"/>
    <xf numFmtId="165" fontId="27" fillId="0" borderId="1" xfId="0" applyNumberFormat="1" applyFont="1" applyFill="1" applyBorder="1"/>
    <xf numFmtId="0" fontId="2" fillId="0" borderId="16" xfId="0" applyFont="1" applyBorder="1"/>
    <xf numFmtId="165" fontId="2" fillId="2" borderId="16" xfId="0" applyNumberFormat="1" applyFont="1" applyFill="1" applyBorder="1"/>
    <xf numFmtId="164" fontId="2" fillId="0" borderId="16" xfId="0" applyNumberFormat="1" applyFont="1" applyBorder="1"/>
    <xf numFmtId="9" fontId="2" fillId="0" borderId="14" xfId="0" applyNumberFormat="1" applyFont="1" applyBorder="1"/>
    <xf numFmtId="0" fontId="30" fillId="7" borderId="1" xfId="0" applyFont="1" applyFill="1" applyBorder="1"/>
    <xf numFmtId="0" fontId="31" fillId="7" borderId="1" xfId="0" applyFont="1" applyFill="1" applyBorder="1" applyAlignment="1"/>
    <xf numFmtId="9" fontId="2" fillId="2" borderId="15" xfId="0" applyNumberFormat="1" applyFont="1" applyFill="1" applyBorder="1"/>
    <xf numFmtId="3" fontId="2" fillId="0" borderId="1" xfId="0" applyNumberFormat="1" applyFont="1" applyFill="1" applyBorder="1"/>
    <xf numFmtId="3" fontId="27" fillId="0" borderId="1" xfId="0" applyNumberFormat="1" applyFont="1" applyFill="1" applyBorder="1"/>
    <xf numFmtId="1" fontId="2" fillId="0" borderId="13" xfId="0" applyNumberFormat="1" applyFont="1" applyBorder="1"/>
    <xf numFmtId="3" fontId="2" fillId="2" borderId="15" xfId="0" applyNumberFormat="1" applyFont="1" applyFill="1" applyBorder="1"/>
    <xf numFmtId="0" fontId="27" fillId="0" borderId="14" xfId="0" applyFont="1" applyBorder="1"/>
    <xf numFmtId="0" fontId="27" fillId="2" borderId="2" xfId="0" applyFont="1" applyFill="1" applyBorder="1"/>
    <xf numFmtId="0" fontId="28" fillId="7" borderId="0" xfId="0" applyFont="1" applyFill="1" applyAlignment="1"/>
    <xf numFmtId="0" fontId="6" fillId="0" borderId="14" xfId="0" applyFont="1" applyBorder="1" applyAlignment="1"/>
    <xf numFmtId="0" fontId="32" fillId="0" borderId="1" xfId="0" applyFont="1" applyFill="1" applyBorder="1" applyAlignment="1"/>
    <xf numFmtId="3" fontId="32" fillId="0" borderId="1" xfId="0" applyNumberFormat="1" applyFont="1" applyFill="1" applyBorder="1"/>
    <xf numFmtId="164" fontId="32" fillId="0" borderId="1" xfId="0" applyNumberFormat="1" applyFont="1" applyFill="1" applyBorder="1"/>
    <xf numFmtId="3" fontId="32" fillId="0" borderId="1" xfId="0" applyNumberFormat="1" applyFont="1" applyFill="1" applyBorder="1" applyAlignment="1"/>
    <xf numFmtId="0" fontId="6" fillId="0" borderId="15" xfId="0" applyFont="1" applyBorder="1" applyAlignment="1"/>
    <xf numFmtId="0" fontId="0" fillId="8" borderId="0" xfId="0" applyFont="1" applyFill="1" applyAlignment="1"/>
    <xf numFmtId="0" fontId="33" fillId="0" borderId="0" xfId="0" applyFont="1" applyAlignment="1"/>
    <xf numFmtId="0" fontId="0" fillId="9" borderId="0" xfId="0" applyFont="1" applyFill="1" applyAlignment="1"/>
    <xf numFmtId="0" fontId="34" fillId="2" borderId="1" xfId="0" applyFont="1" applyFill="1" applyBorder="1"/>
    <xf numFmtId="0" fontId="4" fillId="8" borderId="0" xfId="0" applyFont="1" applyFill="1"/>
    <xf numFmtId="0" fontId="2" fillId="8" borderId="0" xfId="0" applyFont="1" applyFill="1"/>
    <xf numFmtId="164" fontId="2" fillId="9" borderId="2" xfId="0" applyNumberFormat="1" applyFont="1" applyFill="1" applyBorder="1"/>
    <xf numFmtId="0" fontId="35" fillId="0" borderId="0" xfId="0" applyFont="1"/>
    <xf numFmtId="164" fontId="2" fillId="9" borderId="15" xfId="0" applyNumberFormat="1" applyFont="1" applyFill="1" applyBorder="1"/>
    <xf numFmtId="164" fontId="2" fillId="9" borderId="14" xfId="0" applyNumberFormat="1" applyFont="1" applyFill="1" applyBorder="1"/>
    <xf numFmtId="164" fontId="2" fillId="9" borderId="13" xfId="0" applyNumberFormat="1" applyFont="1" applyFill="1" applyBorder="1"/>
    <xf numFmtId="164" fontId="5" fillId="9" borderId="2" xfId="0" applyNumberFormat="1" applyFont="1" applyFill="1" applyBorder="1"/>
    <xf numFmtId="3" fontId="2" fillId="0" borderId="15" xfId="0" applyNumberFormat="1" applyFont="1" applyFill="1" applyBorder="1"/>
    <xf numFmtId="3" fontId="2" fillId="0" borderId="14" xfId="0" applyNumberFormat="1" applyFont="1" applyFill="1" applyBorder="1"/>
    <xf numFmtId="3" fontId="2" fillId="0" borderId="2" xfId="0" applyNumberFormat="1" applyFont="1" applyFill="1" applyBorder="1"/>
    <xf numFmtId="164" fontId="30" fillId="7" borderId="15" xfId="0" applyNumberFormat="1" applyFont="1" applyFill="1" applyBorder="1"/>
    <xf numFmtId="164" fontId="6" fillId="9" borderId="15" xfId="0" applyNumberFormat="1" applyFont="1" applyFill="1" applyBorder="1" applyAlignment="1"/>
    <xf numFmtId="164" fontId="6" fillId="9" borderId="14" xfId="0" applyNumberFormat="1" applyFont="1" applyFill="1" applyBorder="1" applyAlignment="1"/>
    <xf numFmtId="164" fontId="6" fillId="9" borderId="2" xfId="0" applyNumberFormat="1" applyFont="1" applyFill="1" applyBorder="1" applyAlignment="1"/>
    <xf numFmtId="3" fontId="35" fillId="0" borderId="0" xfId="0" applyNumberFormat="1" applyFont="1"/>
    <xf numFmtId="9" fontId="35" fillId="0" borderId="0" xfId="0" applyNumberFormat="1" applyFont="1"/>
    <xf numFmtId="165" fontId="35" fillId="0" borderId="1" xfId="0" applyNumberFormat="1" applyFont="1" applyFill="1" applyBorder="1"/>
    <xf numFmtId="9" fontId="3" fillId="0" borderId="0" xfId="0" applyNumberFormat="1" applyFont="1"/>
    <xf numFmtId="0" fontId="0" fillId="0" borderId="0" xfId="0" applyFont="1" applyAlignment="1"/>
    <xf numFmtId="0" fontId="0" fillId="0" borderId="0" xfId="0" applyFont="1" applyAlignment="1"/>
    <xf numFmtId="0" fontId="9" fillId="0" borderId="0" xfId="0" applyFont="1" applyAlignment="1"/>
    <xf numFmtId="0" fontId="36" fillId="0" borderId="0" xfId="0" applyFont="1" applyAlignment="1">
      <alignment wrapText="1"/>
    </xf>
    <xf numFmtId="0" fontId="36" fillId="0" borderId="1" xfId="0" applyFont="1" applyFill="1" applyBorder="1"/>
    <xf numFmtId="0" fontId="36" fillId="0" borderId="0" xfId="0" applyFont="1" applyAlignment="1"/>
    <xf numFmtId="0" fontId="37" fillId="4" borderId="1" xfId="0" applyFont="1" applyFill="1" applyBorder="1" applyAlignment="1">
      <alignment horizontal="left" vertical="center" wrapText="1"/>
    </xf>
    <xf numFmtId="1" fontId="27" fillId="0" borderId="1" xfId="0" applyNumberFormat="1" applyFont="1" applyBorder="1"/>
    <xf numFmtId="0" fontId="2" fillId="0" borderId="4" xfId="0" applyFont="1" applyBorder="1" applyAlignment="1">
      <alignment horizontal="center"/>
    </xf>
    <xf numFmtId="0" fontId="24" fillId="0" borderId="5" xfId="0" applyFont="1" applyBorder="1"/>
    <xf numFmtId="0" fontId="2" fillId="0" borderId="6" xfId="0" applyFont="1" applyBorder="1" applyAlignment="1">
      <alignment horizontal="center"/>
    </xf>
    <xf numFmtId="0" fontId="24" fillId="0" borderId="6" xfId="0" applyFont="1" applyBorder="1"/>
    <xf numFmtId="0" fontId="5" fillId="0" borderId="0" xfId="0" applyFont="1" applyAlignment="1">
      <alignment horizontal="left" wrapText="1"/>
    </xf>
    <xf numFmtId="0" fontId="0" fillId="0" borderId="0" xfId="0" applyFont="1" applyAlignment="1"/>
    <xf numFmtId="0" fontId="5"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Food (in tons of CO2e annually)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'Food and Waste'!$F$28</c:f>
              <c:strCache>
                <c:ptCount val="1"/>
                <c:pt idx="0">
                  <c:v>Meat lover</c:v>
                </c:pt>
              </c:strCache>
            </c:strRef>
          </c:tx>
          <c:spPr>
            <a:solidFill>
              <a:schemeClr val="accent1"/>
            </a:solidFill>
            <a:ln>
              <a:noFill/>
            </a:ln>
            <a:effectLst/>
            <a:sp3d/>
          </c:spPr>
          <c:invertIfNegative val="0"/>
          <c:dLbls>
            <c:dLbl>
              <c:idx val="0"/>
              <c:layout>
                <c:manualLayout>
                  <c:x val="1.4505891638324293E-2"/>
                  <c:y val="-3.2388659378698802E-2"/>
                </c:manualLayout>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ED33-46C1-BE8D-BC620412A1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'Food and Waste'!$G$28</c:f>
              <c:numCache>
                <c:formatCode>0.000</c:formatCode>
                <c:ptCount val="1"/>
                <c:pt idx="0">
                  <c:v>3.3</c:v>
                </c:pt>
              </c:numCache>
            </c:numRef>
          </c:val>
          <c:extLst>
            <c:ext xmlns:c16="http://schemas.microsoft.com/office/drawing/2014/chart" uri="{C3380CC4-5D6E-409C-BE32-E72D297353CC}">
              <c16:uniqueId val="{00000000-ED33-46C1-BE8D-BC620412A134}"/>
            </c:ext>
          </c:extLst>
        </c:ser>
        <c:ser>
          <c:idx val="1"/>
          <c:order val="1"/>
          <c:tx>
            <c:strRef>
              <c:f>'Food and Waste'!$F$29</c:f>
              <c:strCache>
                <c:ptCount val="1"/>
                <c:pt idx="0">
                  <c:v>Average meat</c:v>
                </c:pt>
              </c:strCache>
            </c:strRef>
          </c:tx>
          <c:spPr>
            <a:solidFill>
              <a:schemeClr val="accent2"/>
            </a:solidFill>
            <a:ln>
              <a:noFill/>
            </a:ln>
            <a:effectLst/>
            <a:sp3d/>
          </c:spPr>
          <c:invertIfNegative val="0"/>
          <c:dLbls>
            <c:dLbl>
              <c:idx val="0"/>
              <c:layout>
                <c:manualLayout>
                  <c:x val="6.0441215159684696E-2"/>
                  <c:y val="-2.8789919447732269E-2"/>
                </c:manualLayout>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D33-46C1-BE8D-BC620412A1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'Food and Waste'!$G$29</c:f>
              <c:numCache>
                <c:formatCode>0.000</c:formatCode>
                <c:ptCount val="1"/>
                <c:pt idx="0">
                  <c:v>2.5</c:v>
                </c:pt>
              </c:numCache>
            </c:numRef>
          </c:val>
          <c:extLst>
            <c:ext xmlns:c16="http://schemas.microsoft.com/office/drawing/2014/chart" uri="{C3380CC4-5D6E-409C-BE32-E72D297353CC}">
              <c16:uniqueId val="{00000001-ED33-46C1-BE8D-BC620412A134}"/>
            </c:ext>
          </c:extLst>
        </c:ser>
        <c:ser>
          <c:idx val="2"/>
          <c:order val="2"/>
          <c:tx>
            <c:strRef>
              <c:f>'Food and Waste'!$F$30</c:f>
              <c:strCache>
                <c:ptCount val="1"/>
                <c:pt idx="0">
                  <c:v>No beef</c:v>
                </c:pt>
              </c:strCache>
            </c:strRef>
          </c:tx>
          <c:spPr>
            <a:solidFill>
              <a:schemeClr val="accent3"/>
            </a:solidFill>
            <a:ln>
              <a:noFill/>
            </a:ln>
            <a:effectLst/>
            <a:sp3d/>
          </c:spPr>
          <c:invertIfNegative val="0"/>
          <c:dLbls>
            <c:dLbl>
              <c:idx val="0"/>
              <c:layout>
                <c:manualLayout>
                  <c:x val="3.1429431883035978E-2"/>
                  <c:y val="-3.2388659378698802E-2"/>
                </c:manualLayout>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ED33-46C1-BE8D-BC620412A1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'Food and Waste'!$G$30</c:f>
              <c:numCache>
                <c:formatCode>0.000</c:formatCode>
                <c:ptCount val="1"/>
                <c:pt idx="0">
                  <c:v>1.9</c:v>
                </c:pt>
              </c:numCache>
            </c:numRef>
          </c:val>
          <c:extLst>
            <c:ext xmlns:c16="http://schemas.microsoft.com/office/drawing/2014/chart" uri="{C3380CC4-5D6E-409C-BE32-E72D297353CC}">
              <c16:uniqueId val="{00000002-ED33-46C1-BE8D-BC620412A134}"/>
            </c:ext>
          </c:extLst>
        </c:ser>
        <c:ser>
          <c:idx val="3"/>
          <c:order val="3"/>
          <c:tx>
            <c:strRef>
              <c:f>'Food and Waste'!$F$31</c:f>
              <c:strCache>
                <c:ptCount val="1"/>
                <c:pt idx="0">
                  <c:v>Vegetarian</c:v>
                </c:pt>
              </c:strCache>
            </c:strRef>
          </c:tx>
          <c:spPr>
            <a:solidFill>
              <a:schemeClr val="accent4"/>
            </a:solidFill>
            <a:ln>
              <a:noFill/>
            </a:ln>
            <a:effectLst/>
            <a:sp3d/>
          </c:spPr>
          <c:invertIfNegative val="0"/>
          <c:dLbls>
            <c:dLbl>
              <c:idx val="0"/>
              <c:layout>
                <c:manualLayout>
                  <c:x val="4.5935323521360399E-2"/>
                  <c:y val="-3.2388659378698802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D33-46C1-BE8D-BC620412A134}"/>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'Food and Waste'!$G$31</c:f>
              <c:numCache>
                <c:formatCode>0.000</c:formatCode>
                <c:ptCount val="1"/>
                <c:pt idx="0">
                  <c:v>1.7</c:v>
                </c:pt>
              </c:numCache>
            </c:numRef>
          </c:val>
          <c:extLst>
            <c:ext xmlns:c16="http://schemas.microsoft.com/office/drawing/2014/chart" uri="{C3380CC4-5D6E-409C-BE32-E72D297353CC}">
              <c16:uniqueId val="{00000003-ED33-46C1-BE8D-BC620412A134}"/>
            </c:ext>
          </c:extLst>
        </c:ser>
        <c:ser>
          <c:idx val="4"/>
          <c:order val="4"/>
          <c:tx>
            <c:strRef>
              <c:f>'Food and Waste'!$F$32</c:f>
              <c:strCache>
                <c:ptCount val="1"/>
                <c:pt idx="0">
                  <c:v>Vegan</c:v>
                </c:pt>
              </c:strCache>
            </c:strRef>
          </c:tx>
          <c:spPr>
            <a:solidFill>
              <a:schemeClr val="accent5"/>
            </a:solidFill>
            <a:ln>
              <a:noFill/>
            </a:ln>
            <a:effectLst/>
            <a:sp3d/>
          </c:spPr>
          <c:invertIfNegative val="0"/>
          <c:dLbls>
            <c:dLbl>
              <c:idx val="0"/>
              <c:layout>
                <c:manualLayout>
                  <c:x val="4.110002630858562E-2"/>
                  <c:y val="-2.8789919447732334E-2"/>
                </c:manualLayout>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ED33-46C1-BE8D-BC620412A1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'Food and Waste'!$G$32</c:f>
              <c:numCache>
                <c:formatCode>0.000</c:formatCode>
                <c:ptCount val="1"/>
                <c:pt idx="0">
                  <c:v>1.5</c:v>
                </c:pt>
              </c:numCache>
            </c:numRef>
          </c:val>
          <c:extLst>
            <c:ext xmlns:c16="http://schemas.microsoft.com/office/drawing/2014/chart" uri="{C3380CC4-5D6E-409C-BE32-E72D297353CC}">
              <c16:uniqueId val="{00000004-ED33-46C1-BE8D-BC620412A134}"/>
            </c:ext>
          </c:extLst>
        </c:ser>
        <c:dLbls>
          <c:showLegendKey val="0"/>
          <c:showVal val="0"/>
          <c:showCatName val="0"/>
          <c:showSerName val="0"/>
          <c:showPercent val="0"/>
          <c:showBubbleSize val="0"/>
        </c:dLbls>
        <c:gapWidth val="150"/>
        <c:shape val="box"/>
        <c:axId val="485502728"/>
        <c:axId val="485505024"/>
        <c:axId val="0"/>
      </c:bar3DChart>
      <c:catAx>
        <c:axId val="485502728"/>
        <c:scaling>
          <c:orientation val="minMax"/>
        </c:scaling>
        <c:delete val="1"/>
        <c:axPos val="b"/>
        <c:numFmt formatCode="General" sourceLinked="1"/>
        <c:majorTickMark val="none"/>
        <c:minorTickMark val="none"/>
        <c:tickLblPos val="nextTo"/>
        <c:crossAx val="485505024"/>
        <c:crosses val="autoZero"/>
        <c:auto val="1"/>
        <c:lblAlgn val="ctr"/>
        <c:lblOffset val="100"/>
        <c:noMultiLvlLbl val="0"/>
      </c:catAx>
      <c:valAx>
        <c:axId val="48550502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5502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strRef>
          <c:f>Summary!$C$13</c:f>
          <c:strCache>
            <c:ptCount val="1"/>
            <c:pt idx="0">
              <c:v>Emissions Total: 69.478 Metric Tons per Year</c:v>
            </c:pt>
          </c:strCache>
        </c:strRef>
      </c:tx>
      <c:overlay val="0"/>
      <c:txPr>
        <a:bodyPr/>
        <a:lstStyle/>
        <a:p>
          <a:pPr lvl="0">
            <a:defRPr sz="1100" b="1">
              <a:solidFill>
                <a:srgbClr val="000000"/>
              </a:solidFill>
              <a:latin typeface="Calibri"/>
            </a:defRPr>
          </a:pPr>
          <a:endParaRPr lang="en-US"/>
        </a:p>
      </c:txPr>
    </c:title>
    <c:autoTitleDeleted val="0"/>
    <c:plotArea>
      <c:layout/>
      <c:barChart>
        <c:barDir val="col"/>
        <c:grouping val="stacked"/>
        <c:varyColors val="1"/>
        <c:ser>
          <c:idx val="0"/>
          <c:order val="0"/>
          <c:tx>
            <c:strRef>
              <c:f>Summary!$B$6</c:f>
              <c:strCache>
                <c:ptCount val="1"/>
                <c:pt idx="0">
                  <c:v>Emissions</c:v>
                </c:pt>
              </c:strCache>
            </c:strRef>
          </c:tx>
          <c:spPr>
            <a:solidFill>
              <a:srgbClr val="5B9BD5"/>
            </a:solidFill>
          </c:spPr>
          <c:invertIfNegative val="1"/>
          <c:dLbls>
            <c:dLbl>
              <c:idx val="0"/>
              <c:delete val="1"/>
              <c:extLst>
                <c:ext xmlns:c15="http://schemas.microsoft.com/office/drawing/2012/chart" uri="{CE6537A1-D6FC-4f65-9D91-7224C49458BB}"/>
                <c:ext xmlns:c16="http://schemas.microsoft.com/office/drawing/2014/chart" uri="{C3380CC4-5D6E-409C-BE32-E72D297353CC}">
                  <c16:uniqueId val="{00000008-7038-46B2-9C8A-588A0B23FACF}"/>
                </c:ext>
              </c:extLst>
            </c:dLbl>
            <c:spPr>
              <a:noFill/>
              <a:ln>
                <a:noFill/>
              </a:ln>
              <a:effectLst/>
            </c:spPr>
            <c:txPr>
              <a:bodyPr/>
              <a:lstStyle/>
              <a:p>
                <a:pPr lvl="0">
                  <a:defRPr sz="900" b="0" i="0">
                    <a:solidFill>
                      <a:srgbClr val="40404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Summary!$A$7:$A$12</c:f>
              <c:strCache>
                <c:ptCount val="6"/>
                <c:pt idx="0">
                  <c:v>Transportation</c:v>
                </c:pt>
                <c:pt idx="1">
                  <c:v>Heating</c:v>
                </c:pt>
                <c:pt idx="2">
                  <c:v>Electricity</c:v>
                </c:pt>
                <c:pt idx="3">
                  <c:v>Food and Waste</c:v>
                </c:pt>
                <c:pt idx="4">
                  <c:v>Goods/services</c:v>
                </c:pt>
                <c:pt idx="5">
                  <c:v>Zip code overhead</c:v>
                </c:pt>
              </c:strCache>
            </c:strRef>
          </c:cat>
          <c:val>
            <c:numRef>
              <c:f>Summary!$B$7:$B$12</c:f>
              <c:numCache>
                <c:formatCode>0.000</c:formatCode>
                <c:ptCount val="6"/>
                <c:pt idx="1">
                  <c:v>15.21727627397877</c:v>
                </c:pt>
                <c:pt idx="2">
                  <c:v>3.2029232939649326</c:v>
                </c:pt>
                <c:pt idx="3">
                  <c:v>0.80610394898334115</c:v>
                </c:pt>
                <c:pt idx="4">
                  <c:v>12.694000000000001</c:v>
                </c:pt>
                <c:pt idx="5">
                  <c:v>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7038-46B2-9C8A-588A0B23FACF}"/>
            </c:ext>
          </c:extLst>
        </c:ser>
        <c:ser>
          <c:idx val="1"/>
          <c:order val="1"/>
          <c:tx>
            <c:strRef>
              <c:f>Summary!$C$6</c:f>
              <c:strCache>
                <c:ptCount val="1"/>
                <c:pt idx="0">
                  <c:v>Cars</c:v>
                </c:pt>
              </c:strCache>
            </c:strRef>
          </c:tx>
          <c:spPr>
            <a:solidFill>
              <a:srgbClr val="ED7D31"/>
            </a:solidFill>
          </c:spPr>
          <c:invertIfNegative val="1"/>
          <c:dLbls>
            <c:dLbl>
              <c:idx val="0"/>
              <c:spPr>
                <a:noFill/>
                <a:ln>
                  <a:noFill/>
                </a:ln>
                <a:effectLst/>
              </c:spPr>
              <c:txPr>
                <a:bodyPr/>
                <a:lstStyle/>
                <a:p>
                  <a:pPr lvl="0">
                    <a:defRPr sz="900" b="0" i="0">
                      <a:solidFill>
                        <a:sysClr val="windowText" lastClr="000000"/>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4-7038-46B2-9C8A-588A0B23FACF}"/>
                </c:ext>
              </c:extLst>
            </c:dLbl>
            <c:dLbl>
              <c:idx val="1"/>
              <c:delete val="1"/>
              <c:extLst>
                <c:ext xmlns:c15="http://schemas.microsoft.com/office/drawing/2012/chart" uri="{CE6537A1-D6FC-4f65-9D91-7224C49458BB}"/>
                <c:ext xmlns:c16="http://schemas.microsoft.com/office/drawing/2014/chart" uri="{C3380CC4-5D6E-409C-BE32-E72D297353CC}">
                  <c16:uniqueId val="{00000014-7038-46B2-9C8A-588A0B23FACF}"/>
                </c:ext>
              </c:extLst>
            </c:dLbl>
            <c:dLbl>
              <c:idx val="2"/>
              <c:delete val="1"/>
              <c:extLst>
                <c:ext xmlns:c15="http://schemas.microsoft.com/office/drawing/2012/chart" uri="{CE6537A1-D6FC-4f65-9D91-7224C49458BB}"/>
                <c:ext xmlns:c16="http://schemas.microsoft.com/office/drawing/2014/chart" uri="{C3380CC4-5D6E-409C-BE32-E72D297353CC}">
                  <c16:uniqueId val="{00000013-7038-46B2-9C8A-588A0B23FACF}"/>
                </c:ext>
              </c:extLst>
            </c:dLbl>
            <c:dLbl>
              <c:idx val="3"/>
              <c:delete val="1"/>
              <c:extLst>
                <c:ext xmlns:c15="http://schemas.microsoft.com/office/drawing/2012/chart" uri="{CE6537A1-D6FC-4f65-9D91-7224C49458BB}"/>
                <c:ext xmlns:c16="http://schemas.microsoft.com/office/drawing/2014/chart" uri="{C3380CC4-5D6E-409C-BE32-E72D297353CC}">
                  <c16:uniqueId val="{00000010-7038-46B2-9C8A-588A0B23FACF}"/>
                </c:ext>
              </c:extLst>
            </c:dLbl>
            <c:dLbl>
              <c:idx val="4"/>
              <c:delete val="1"/>
              <c:extLst>
                <c:ext xmlns:c15="http://schemas.microsoft.com/office/drawing/2012/chart" uri="{CE6537A1-D6FC-4f65-9D91-7224C49458BB}"/>
                <c:ext xmlns:c16="http://schemas.microsoft.com/office/drawing/2014/chart" uri="{C3380CC4-5D6E-409C-BE32-E72D297353CC}">
                  <c16:uniqueId val="{00000007-7038-46B2-9C8A-588A0B23FACF}"/>
                </c:ext>
              </c:extLst>
            </c:dLbl>
            <c:dLbl>
              <c:idx val="5"/>
              <c:delete val="1"/>
              <c:extLst>
                <c:ext xmlns:c15="http://schemas.microsoft.com/office/drawing/2012/chart" uri="{CE6537A1-D6FC-4f65-9D91-7224C49458BB}"/>
                <c:ext xmlns:c16="http://schemas.microsoft.com/office/drawing/2014/chart" uri="{C3380CC4-5D6E-409C-BE32-E72D297353CC}">
                  <c16:uniqueId val="{0000000F-7038-46B2-9C8A-588A0B23FACF}"/>
                </c:ext>
              </c:extLst>
            </c:dLbl>
            <c:spPr>
              <a:noFill/>
              <a:ln>
                <a:noFill/>
              </a:ln>
              <a:effectLst/>
            </c:spPr>
            <c:txPr>
              <a:bodyPr/>
              <a:lstStyle/>
              <a:p>
                <a:pPr lvl="0">
                  <a:defRPr sz="900" b="0" i="0">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Summary!$A$7:$A$12</c:f>
              <c:strCache>
                <c:ptCount val="6"/>
                <c:pt idx="0">
                  <c:v>Transportation</c:v>
                </c:pt>
                <c:pt idx="1">
                  <c:v>Heating</c:v>
                </c:pt>
                <c:pt idx="2">
                  <c:v>Electricity</c:v>
                </c:pt>
                <c:pt idx="3">
                  <c:v>Food and Waste</c:v>
                </c:pt>
                <c:pt idx="4">
                  <c:v>Goods/services</c:v>
                </c:pt>
                <c:pt idx="5">
                  <c:v>Zip code overhead</c:v>
                </c:pt>
              </c:strCache>
            </c:strRef>
          </c:cat>
          <c:val>
            <c:numRef>
              <c:f>Summary!$C$7:$C$12</c:f>
              <c:numCache>
                <c:formatCode>0.000</c:formatCode>
                <c:ptCount val="6"/>
                <c:pt idx="0">
                  <c:v>18.765351558680152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7038-46B2-9C8A-588A0B23FACF}"/>
            </c:ext>
          </c:extLst>
        </c:ser>
        <c:ser>
          <c:idx val="2"/>
          <c:order val="2"/>
          <c:tx>
            <c:strRef>
              <c:f>Summary!$D$6</c:f>
              <c:strCache>
                <c:ptCount val="1"/>
                <c:pt idx="0">
                  <c:v>Flights</c:v>
                </c:pt>
              </c:strCache>
            </c:strRef>
          </c:tx>
          <c:spPr>
            <a:solidFill>
              <a:srgbClr val="A5A5A5"/>
            </a:solidFill>
          </c:spPr>
          <c:invertIfNegative val="1"/>
          <c:dLbls>
            <c:dLbl>
              <c:idx val="1"/>
              <c:delete val="1"/>
              <c:extLst>
                <c:ext xmlns:c15="http://schemas.microsoft.com/office/drawing/2012/chart" uri="{CE6537A1-D6FC-4f65-9D91-7224C49458BB}"/>
                <c:ext xmlns:c16="http://schemas.microsoft.com/office/drawing/2014/chart" uri="{C3380CC4-5D6E-409C-BE32-E72D297353CC}">
                  <c16:uniqueId val="{0000000A-7038-46B2-9C8A-588A0B23FACF}"/>
                </c:ext>
              </c:extLst>
            </c:dLbl>
            <c:dLbl>
              <c:idx val="2"/>
              <c:delete val="1"/>
              <c:extLst>
                <c:ext xmlns:c15="http://schemas.microsoft.com/office/drawing/2012/chart" uri="{CE6537A1-D6FC-4f65-9D91-7224C49458BB}"/>
                <c:ext xmlns:c16="http://schemas.microsoft.com/office/drawing/2014/chart" uri="{C3380CC4-5D6E-409C-BE32-E72D297353CC}">
                  <c16:uniqueId val="{00000012-7038-46B2-9C8A-588A0B23FACF}"/>
                </c:ext>
              </c:extLst>
            </c:dLbl>
            <c:dLbl>
              <c:idx val="3"/>
              <c:delete val="1"/>
              <c:extLst>
                <c:ext xmlns:c15="http://schemas.microsoft.com/office/drawing/2012/chart" uri="{CE6537A1-D6FC-4f65-9D91-7224C49458BB}"/>
                <c:ext xmlns:c16="http://schemas.microsoft.com/office/drawing/2014/chart" uri="{C3380CC4-5D6E-409C-BE32-E72D297353CC}">
                  <c16:uniqueId val="{0000000C-7038-46B2-9C8A-588A0B23FACF}"/>
                </c:ext>
              </c:extLst>
            </c:dLbl>
            <c:dLbl>
              <c:idx val="4"/>
              <c:delete val="1"/>
              <c:extLst>
                <c:ext xmlns:c15="http://schemas.microsoft.com/office/drawing/2012/chart" uri="{CE6537A1-D6FC-4f65-9D91-7224C49458BB}"/>
                <c:ext xmlns:c16="http://schemas.microsoft.com/office/drawing/2014/chart" uri="{C3380CC4-5D6E-409C-BE32-E72D297353CC}">
                  <c16:uniqueId val="{0000000E-7038-46B2-9C8A-588A0B23FACF}"/>
                </c:ext>
              </c:extLst>
            </c:dLbl>
            <c:dLbl>
              <c:idx val="5"/>
              <c:delete val="1"/>
              <c:extLst>
                <c:ext xmlns:c15="http://schemas.microsoft.com/office/drawing/2012/chart" uri="{CE6537A1-D6FC-4f65-9D91-7224C49458BB}"/>
                <c:ext xmlns:c16="http://schemas.microsoft.com/office/drawing/2014/chart" uri="{C3380CC4-5D6E-409C-BE32-E72D297353CC}">
                  <c16:uniqueId val="{00000006-7038-46B2-9C8A-588A0B23FACF}"/>
                </c:ext>
              </c:extLst>
            </c:dLbl>
            <c:spPr>
              <a:noFill/>
              <a:ln>
                <a:noFill/>
              </a:ln>
              <a:effectLst/>
            </c:spPr>
            <c:txPr>
              <a:bodyPr/>
              <a:lstStyle/>
              <a:p>
                <a:pPr lvl="0">
                  <a:defRPr sz="900" b="0" i="0">
                    <a:solidFill>
                      <a:srgbClr val="40404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Summary!$A$7:$A$12</c:f>
              <c:strCache>
                <c:ptCount val="6"/>
                <c:pt idx="0">
                  <c:v>Transportation</c:v>
                </c:pt>
                <c:pt idx="1">
                  <c:v>Heating</c:v>
                </c:pt>
                <c:pt idx="2">
                  <c:v>Electricity</c:v>
                </c:pt>
                <c:pt idx="3">
                  <c:v>Food and Waste</c:v>
                </c:pt>
                <c:pt idx="4">
                  <c:v>Goods/services</c:v>
                </c:pt>
                <c:pt idx="5">
                  <c:v>Zip code overhead</c:v>
                </c:pt>
              </c:strCache>
            </c:strRef>
          </c:cat>
          <c:val>
            <c:numRef>
              <c:f>Summary!$D$7:$D$12</c:f>
              <c:numCache>
                <c:formatCode>General</c:formatCode>
                <c:ptCount val="6"/>
                <c:pt idx="0" formatCode="0.000">
                  <c:v>13.324999999999999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2-7038-46B2-9C8A-588A0B23FACF}"/>
            </c:ext>
          </c:extLst>
        </c:ser>
        <c:ser>
          <c:idx val="3"/>
          <c:order val="3"/>
          <c:tx>
            <c:strRef>
              <c:f>Summary!$E$6</c:f>
              <c:strCache>
                <c:ptCount val="1"/>
                <c:pt idx="0">
                  <c:v>Rail</c:v>
                </c:pt>
              </c:strCache>
            </c:strRef>
          </c:tx>
          <c:spPr>
            <a:solidFill>
              <a:srgbClr val="FFC000"/>
            </a:solidFill>
          </c:spPr>
          <c:invertIfNegative val="1"/>
          <c:dLbls>
            <c:dLbl>
              <c:idx val="1"/>
              <c:delete val="1"/>
              <c:extLst>
                <c:ext xmlns:c15="http://schemas.microsoft.com/office/drawing/2012/chart" uri="{CE6537A1-D6FC-4f65-9D91-7224C49458BB}"/>
                <c:ext xmlns:c16="http://schemas.microsoft.com/office/drawing/2014/chart" uri="{C3380CC4-5D6E-409C-BE32-E72D297353CC}">
                  <c16:uniqueId val="{00000009-7038-46B2-9C8A-588A0B23FACF}"/>
                </c:ext>
              </c:extLst>
            </c:dLbl>
            <c:dLbl>
              <c:idx val="2"/>
              <c:delete val="1"/>
              <c:extLst>
                <c:ext xmlns:c15="http://schemas.microsoft.com/office/drawing/2012/chart" uri="{CE6537A1-D6FC-4f65-9D91-7224C49458BB}"/>
                <c:ext xmlns:c16="http://schemas.microsoft.com/office/drawing/2014/chart" uri="{C3380CC4-5D6E-409C-BE32-E72D297353CC}">
                  <c16:uniqueId val="{00000011-7038-46B2-9C8A-588A0B23FACF}"/>
                </c:ext>
              </c:extLst>
            </c:dLbl>
            <c:dLbl>
              <c:idx val="3"/>
              <c:delete val="1"/>
              <c:extLst>
                <c:ext xmlns:c15="http://schemas.microsoft.com/office/drawing/2012/chart" uri="{CE6537A1-D6FC-4f65-9D91-7224C49458BB}"/>
                <c:ext xmlns:c16="http://schemas.microsoft.com/office/drawing/2014/chart" uri="{C3380CC4-5D6E-409C-BE32-E72D297353CC}">
                  <c16:uniqueId val="{0000000B-7038-46B2-9C8A-588A0B23FACF}"/>
                </c:ext>
              </c:extLst>
            </c:dLbl>
            <c:dLbl>
              <c:idx val="4"/>
              <c:delete val="1"/>
              <c:extLst>
                <c:ext xmlns:c15="http://schemas.microsoft.com/office/drawing/2012/chart" uri="{CE6537A1-D6FC-4f65-9D91-7224C49458BB}"/>
                <c:ext xmlns:c16="http://schemas.microsoft.com/office/drawing/2014/chart" uri="{C3380CC4-5D6E-409C-BE32-E72D297353CC}">
                  <c16:uniqueId val="{0000000D-7038-46B2-9C8A-588A0B23FACF}"/>
                </c:ext>
              </c:extLst>
            </c:dLbl>
            <c:dLbl>
              <c:idx val="5"/>
              <c:delete val="1"/>
              <c:extLst>
                <c:ext xmlns:c15="http://schemas.microsoft.com/office/drawing/2012/chart" uri="{CE6537A1-D6FC-4f65-9D91-7224C49458BB}"/>
                <c:ext xmlns:c16="http://schemas.microsoft.com/office/drawing/2014/chart" uri="{C3380CC4-5D6E-409C-BE32-E72D297353CC}">
                  <c16:uniqueId val="{00000005-7038-46B2-9C8A-588A0B23FACF}"/>
                </c:ext>
              </c:extLst>
            </c:dLbl>
            <c:spPr>
              <a:noFill/>
              <a:ln>
                <a:noFill/>
              </a:ln>
              <a:effectLst/>
            </c:spPr>
            <c:txPr>
              <a:bodyPr/>
              <a:lstStyle/>
              <a:p>
                <a:pPr lvl="0">
                  <a:defRPr sz="900" b="0" i="0">
                    <a:solidFill>
                      <a:srgbClr val="40404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Summary!$A$7:$A$12</c:f>
              <c:strCache>
                <c:ptCount val="6"/>
                <c:pt idx="0">
                  <c:v>Transportation</c:v>
                </c:pt>
                <c:pt idx="1">
                  <c:v>Heating</c:v>
                </c:pt>
                <c:pt idx="2">
                  <c:v>Electricity</c:v>
                </c:pt>
                <c:pt idx="3">
                  <c:v>Food and Waste</c:v>
                </c:pt>
                <c:pt idx="4">
                  <c:v>Goods/services</c:v>
                </c:pt>
                <c:pt idx="5">
                  <c:v>Zip code overhead</c:v>
                </c:pt>
              </c:strCache>
            </c:strRef>
          </c:cat>
          <c:val>
            <c:numRef>
              <c:f>Summary!$E$7:$E$12</c:f>
              <c:numCache>
                <c:formatCode>General</c:formatCode>
                <c:ptCount val="6"/>
                <c:pt idx="0" formatCode="0.000">
                  <c:v>0.46701870454363742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7038-46B2-9C8A-588A0B23FACF}"/>
            </c:ext>
          </c:extLst>
        </c:ser>
        <c:dLbls>
          <c:showLegendKey val="0"/>
          <c:showVal val="0"/>
          <c:showCatName val="0"/>
          <c:showSerName val="0"/>
          <c:showPercent val="0"/>
          <c:showBubbleSize val="0"/>
        </c:dLbls>
        <c:gapWidth val="150"/>
        <c:overlap val="100"/>
        <c:axId val="1005277486"/>
        <c:axId val="400561723"/>
      </c:barChart>
      <c:catAx>
        <c:axId val="1005277486"/>
        <c:scaling>
          <c:orientation val="minMax"/>
        </c:scaling>
        <c:delete val="0"/>
        <c:axPos val="b"/>
        <c:title>
          <c:tx>
            <c:rich>
              <a:bodyPr/>
              <a:lstStyle/>
              <a:p>
                <a:pPr lvl="0">
                  <a:defRPr b="0">
                    <a:solidFill>
                      <a:srgbClr val="000000"/>
                    </a:solidFill>
                    <a:latin typeface="Calibri"/>
                  </a:defRPr>
                </a:pPr>
                <a:endParaRPr lang="en-US"/>
              </a:p>
            </c:rich>
          </c:tx>
          <c:overlay val="0"/>
        </c:title>
        <c:numFmt formatCode="General" sourceLinked="1"/>
        <c:majorTickMark val="cross"/>
        <c:minorTickMark val="cross"/>
        <c:tickLblPos val="nextTo"/>
        <c:txPr>
          <a:bodyPr/>
          <a:lstStyle/>
          <a:p>
            <a:pPr lvl="0">
              <a:defRPr sz="900" b="0" i="0">
                <a:solidFill>
                  <a:srgbClr val="595959"/>
                </a:solidFill>
                <a:latin typeface="+mn-lt"/>
              </a:defRPr>
            </a:pPr>
            <a:endParaRPr lang="en-US"/>
          </a:p>
        </c:txPr>
        <c:crossAx val="400561723"/>
        <c:crosses val="autoZero"/>
        <c:auto val="1"/>
        <c:lblAlgn val="ctr"/>
        <c:lblOffset val="100"/>
        <c:noMultiLvlLbl val="1"/>
      </c:catAx>
      <c:valAx>
        <c:axId val="400561723"/>
        <c:scaling>
          <c:orientation val="minMax"/>
        </c:scaling>
        <c:delete val="0"/>
        <c:axPos val="l"/>
        <c:majorGridlines>
          <c:spPr>
            <a:ln>
              <a:solidFill>
                <a:srgbClr val="D9D9D9"/>
              </a:solidFill>
            </a:ln>
          </c:spPr>
        </c:majorGridlines>
        <c:minorGridlines>
          <c:spPr>
            <a:ln>
              <a:solidFill>
                <a:srgbClr val="CCCCCC">
                  <a:alpha val="0"/>
                </a:srgbClr>
              </a:solidFill>
            </a:ln>
          </c:spPr>
        </c:minorGridlines>
        <c:title>
          <c:tx>
            <c:rich>
              <a:bodyPr/>
              <a:lstStyle/>
              <a:p>
                <a:pPr lvl="0">
                  <a:defRPr b="0">
                    <a:solidFill>
                      <a:srgbClr val="000000"/>
                    </a:solidFill>
                    <a:latin typeface="Calibri"/>
                  </a:defRPr>
                </a:pPr>
                <a:endParaRPr lang="en-US"/>
              </a:p>
            </c:rich>
          </c:tx>
          <c:overlay val="0"/>
        </c:title>
        <c:numFmt formatCode="General" sourceLinked="1"/>
        <c:majorTickMark val="cross"/>
        <c:minorTickMark val="cross"/>
        <c:tickLblPos val="nextTo"/>
        <c:spPr>
          <a:ln w="47625">
            <a:noFill/>
          </a:ln>
        </c:spPr>
        <c:txPr>
          <a:bodyPr/>
          <a:lstStyle/>
          <a:p>
            <a:pPr lvl="0">
              <a:defRPr sz="900" b="0" i="0">
                <a:solidFill>
                  <a:srgbClr val="595959"/>
                </a:solidFill>
                <a:latin typeface="+mn-lt"/>
              </a:defRPr>
            </a:pPr>
            <a:endParaRPr lang="en-US"/>
          </a:p>
        </c:txPr>
        <c:crossAx val="1005277486"/>
        <c:crosses val="autoZero"/>
        <c:crossBetween val="between"/>
      </c:valAx>
    </c:plotArea>
    <c:legend>
      <c:legendPos val="b"/>
      <c:overlay val="0"/>
      <c:txPr>
        <a:bodyPr/>
        <a:lstStyle/>
        <a:p>
          <a:pPr lvl="0">
            <a:defRPr sz="900" b="0" i="0">
              <a:solidFill>
                <a:srgbClr val="595959"/>
              </a:solidFill>
              <a:latin typeface="+mn-lt"/>
            </a:defRPr>
          </a:pPr>
          <a:endParaRPr lang="en-US"/>
        </a:p>
      </c:txPr>
    </c:legend>
    <c:plotVisOnly val="1"/>
    <c:dispBlanksAs val="zero"/>
    <c:showDLblsOverMax val="1"/>
  </c:chart>
  <c:spPr>
    <a:solidFill>
      <a:schemeClr val="lt1"/>
    </a:solidFill>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g"/><Relationship Id="rId1" Type="http://schemas.openxmlformats.org/officeDocument/2006/relationships/image" Target="../media/image6.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09700" cy="91440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66675</xdr:colOff>
      <xdr:row>23</xdr:row>
      <xdr:rowOff>76200</xdr:rowOff>
    </xdr:from>
    <xdr:to>
      <xdr:col>7</xdr:col>
      <xdr:colOff>209550</xdr:colOff>
      <xdr:row>46</xdr:row>
      <xdr:rowOff>85725</xdr:rowOff>
    </xdr:to>
    <xdr:pic>
      <xdr:nvPicPr>
        <xdr:cNvPr id="4" name="Picture 3">
          <a:extLst>
            <a:ext uri="{FF2B5EF4-FFF2-40B4-BE49-F238E27FC236}">
              <a16:creationId xmlns:a16="http://schemas.microsoft.com/office/drawing/2014/main" id="{E2BC18F2-338E-40F7-9023-9E0C0BFC3CD9}"/>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647700" y="4467225"/>
          <a:ext cx="3629025" cy="461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72</xdr:row>
      <xdr:rowOff>0</xdr:rowOff>
    </xdr:from>
    <xdr:ext cx="5924550" cy="37719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466850" cy="914400"/>
    <xdr:pic>
      <xdr:nvPicPr>
        <xdr:cNvPr id="3" name="image2.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47</xdr:row>
      <xdr:rowOff>0</xdr:rowOff>
    </xdr:from>
    <xdr:ext cx="6315075" cy="4143375"/>
    <xdr:pic>
      <xdr:nvPicPr>
        <xdr:cNvPr id="2" name="image4.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19050</xdr:rowOff>
    </xdr:from>
    <xdr:ext cx="1466850" cy="914400"/>
    <xdr:pic>
      <xdr:nvPicPr>
        <xdr:cNvPr id="3" name="image2.jp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27</xdr:row>
      <xdr:rowOff>114300</xdr:rowOff>
    </xdr:from>
    <xdr:ext cx="6334125" cy="376237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xdr:colOff>
      <xdr:row>0</xdr:row>
      <xdr:rowOff>19050</xdr:rowOff>
    </xdr:from>
    <xdr:ext cx="1466850" cy="914400"/>
    <xdr:pic>
      <xdr:nvPicPr>
        <xdr:cNvPr id="3" name="image2.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38100</xdr:rowOff>
    </xdr:from>
    <xdr:ext cx="5381625" cy="34004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466850" cy="914400"/>
    <xdr:pic>
      <xdr:nvPicPr>
        <xdr:cNvPr id="3" name="image2.jp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xdr:from>
      <xdr:col>3</xdr:col>
      <xdr:colOff>423862</xdr:colOff>
      <xdr:row>36</xdr:row>
      <xdr:rowOff>4761</xdr:rowOff>
    </xdr:from>
    <xdr:to>
      <xdr:col>10</xdr:col>
      <xdr:colOff>361950</xdr:colOff>
      <xdr:row>53</xdr:row>
      <xdr:rowOff>190499</xdr:rowOff>
    </xdr:to>
    <xdr:graphicFrame macro="">
      <xdr:nvGraphicFramePr>
        <xdr:cNvPr id="4" name="Chart 3">
          <a:extLst>
            <a:ext uri="{FF2B5EF4-FFF2-40B4-BE49-F238E27FC236}">
              <a16:creationId xmlns:a16="http://schemas.microsoft.com/office/drawing/2014/main" id="{0E0467F3-672C-44A6-8FFD-8EFC2F553D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55</xdr:row>
      <xdr:rowOff>0</xdr:rowOff>
    </xdr:from>
    <xdr:to>
      <xdr:col>3</xdr:col>
      <xdr:colOff>942320</xdr:colOff>
      <xdr:row>74</xdr:row>
      <xdr:rowOff>9049</xdr:rowOff>
    </xdr:to>
    <xdr:pic>
      <xdr:nvPicPr>
        <xdr:cNvPr id="5" name="Picture 4">
          <a:extLst>
            <a:ext uri="{FF2B5EF4-FFF2-40B4-BE49-F238E27FC236}">
              <a16:creationId xmlns:a16="http://schemas.microsoft.com/office/drawing/2014/main" id="{1BC018A5-80FE-4401-9F06-9A17DEE3EC7D}"/>
            </a:ext>
          </a:extLst>
        </xdr:cNvPr>
        <xdr:cNvPicPr>
          <a:picLocks noChangeAspect="1"/>
        </xdr:cNvPicPr>
      </xdr:nvPicPr>
      <xdr:blipFill>
        <a:blip xmlns:r="http://schemas.openxmlformats.org/officeDocument/2006/relationships" r:embed="rId4"/>
        <a:stretch>
          <a:fillRect/>
        </a:stretch>
      </xdr:blipFill>
      <xdr:spPr>
        <a:xfrm>
          <a:off x="0" y="8124825"/>
          <a:ext cx="5238095" cy="3809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466850" cy="914400"/>
    <xdr:pic>
      <xdr:nvPicPr>
        <xdr:cNvPr id="2" name="image2.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14</xdr:row>
      <xdr:rowOff>0</xdr:rowOff>
    </xdr:from>
    <xdr:ext cx="5153025" cy="3476625"/>
    <xdr:graphicFrame macro="">
      <xdr:nvGraphicFramePr>
        <xdr:cNvPr id="1900472704" name="Chart 1" title="Chart">
          <a:extLst>
            <a:ext uri="{FF2B5EF4-FFF2-40B4-BE49-F238E27FC236}">
              <a16:creationId xmlns:a16="http://schemas.microsoft.com/office/drawing/2014/main" id="{00000000-0008-0000-0600-000080E946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0</xdr:colOff>
      <xdr:row>0</xdr:row>
      <xdr:rowOff>0</xdr:rowOff>
    </xdr:from>
    <xdr:ext cx="1466850" cy="914400"/>
    <xdr:pic>
      <xdr:nvPicPr>
        <xdr:cNvPr id="2" name="image2.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fdc.energy.gov/files/pdfs/308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340F7-455D-4F90-A564-08DC6FE4EFD6}">
  <dimension ref="A3:B7"/>
  <sheetViews>
    <sheetView tabSelected="1" workbookViewId="0">
      <selection activeCell="B7" sqref="B7"/>
    </sheetView>
  </sheetViews>
  <sheetFormatPr defaultRowHeight="14.25" x14ac:dyDescent="0.2"/>
  <cols>
    <col min="1" max="1" width="16.75" customWidth="1"/>
    <col min="2" max="2" width="22.625" customWidth="1"/>
  </cols>
  <sheetData>
    <row r="3" spans="1:2" x14ac:dyDescent="0.2">
      <c r="A3" s="212"/>
      <c r="B3" s="185" t="s">
        <v>644</v>
      </c>
    </row>
    <row r="4" spans="1:2" x14ac:dyDescent="0.2">
      <c r="A4" s="188" t="s">
        <v>643</v>
      </c>
      <c r="B4" t="s">
        <v>637</v>
      </c>
    </row>
    <row r="5" spans="1:2" x14ac:dyDescent="0.2">
      <c r="A5" s="213" t="s">
        <v>639</v>
      </c>
      <c r="B5" t="s">
        <v>638</v>
      </c>
    </row>
    <row r="6" spans="1:2" x14ac:dyDescent="0.2">
      <c r="A6" s="185" t="s">
        <v>640</v>
      </c>
      <c r="B6" s="185" t="s">
        <v>648</v>
      </c>
    </row>
    <row r="7" spans="1:2" x14ac:dyDescent="0.2">
      <c r="A7" s="214"/>
      <c r="B7" s="185" t="s">
        <v>641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heetViews>
  <sheetFormatPr defaultColWidth="12.625" defaultRowHeight="15" customHeight="1" x14ac:dyDescent="0.2"/>
  <cols>
    <col min="1" max="3" width="21.25" customWidth="1"/>
    <col min="4" max="8" width="8" customWidth="1"/>
    <col min="9" max="26" width="7.625" customWidth="1"/>
  </cols>
  <sheetData>
    <row r="1" spans="1:26" ht="12.75" customHeight="1" x14ac:dyDescent="0.2">
      <c r="A1" s="30" t="s">
        <v>140</v>
      </c>
      <c r="B1" s="32"/>
      <c r="C1" s="33"/>
      <c r="D1" s="35"/>
      <c r="E1" s="35"/>
      <c r="F1" s="35"/>
      <c r="G1" s="35"/>
      <c r="H1" s="35"/>
      <c r="I1" s="35"/>
      <c r="J1" s="35"/>
      <c r="K1" s="35"/>
      <c r="L1" s="35"/>
      <c r="M1" s="35"/>
      <c r="N1" s="35"/>
      <c r="O1" s="35"/>
      <c r="P1" s="35"/>
      <c r="Q1" s="35"/>
      <c r="R1" s="35"/>
      <c r="S1" s="35"/>
      <c r="T1" s="35"/>
      <c r="U1" s="35"/>
      <c r="V1" s="35"/>
      <c r="W1" s="35"/>
      <c r="X1" s="35"/>
      <c r="Y1" s="35"/>
      <c r="Z1" s="35"/>
    </row>
    <row r="2" spans="1:26" ht="12.75" customHeight="1" x14ac:dyDescent="0.2">
      <c r="A2" s="35"/>
      <c r="B2" s="32"/>
      <c r="C2" s="33"/>
      <c r="D2" s="35"/>
      <c r="E2" s="35"/>
      <c r="F2" s="35"/>
      <c r="G2" s="35"/>
      <c r="H2" s="35"/>
      <c r="I2" s="35"/>
      <c r="J2" s="35"/>
      <c r="K2" s="35"/>
      <c r="L2" s="35"/>
      <c r="M2" s="35"/>
      <c r="N2" s="35"/>
      <c r="O2" s="35"/>
      <c r="P2" s="35"/>
      <c r="Q2" s="35"/>
      <c r="R2" s="35"/>
      <c r="S2" s="35"/>
      <c r="T2" s="35"/>
      <c r="U2" s="35"/>
      <c r="V2" s="35"/>
      <c r="W2" s="35"/>
      <c r="X2" s="35"/>
      <c r="Y2" s="35"/>
      <c r="Z2" s="35"/>
    </row>
    <row r="3" spans="1:26" ht="12.75" customHeight="1" x14ac:dyDescent="0.2">
      <c r="A3" s="32"/>
      <c r="B3" s="32"/>
      <c r="C3" s="33"/>
      <c r="D3" s="35"/>
      <c r="E3" s="35"/>
      <c r="F3" s="35"/>
      <c r="G3" s="35"/>
      <c r="H3" s="35"/>
      <c r="I3" s="35"/>
      <c r="J3" s="35"/>
      <c r="K3" s="35"/>
      <c r="L3" s="35"/>
      <c r="M3" s="35"/>
      <c r="N3" s="35"/>
      <c r="O3" s="35"/>
      <c r="P3" s="35"/>
      <c r="Q3" s="35"/>
      <c r="R3" s="35"/>
      <c r="S3" s="35"/>
      <c r="T3" s="35"/>
      <c r="U3" s="35"/>
      <c r="V3" s="35"/>
      <c r="W3" s="35"/>
      <c r="X3" s="35"/>
      <c r="Y3" s="35"/>
      <c r="Z3" s="35"/>
    </row>
    <row r="4" spans="1:26" ht="12.75" customHeight="1" x14ac:dyDescent="0.2">
      <c r="A4" s="40" t="s">
        <v>149</v>
      </c>
      <c r="B4" s="40" t="s">
        <v>150</v>
      </c>
      <c r="C4" s="42" t="s">
        <v>151</v>
      </c>
      <c r="D4" s="35"/>
      <c r="E4" s="43"/>
      <c r="F4" s="44"/>
      <c r="G4" s="43"/>
      <c r="H4" s="43"/>
      <c r="I4" s="35"/>
      <c r="J4" s="35"/>
      <c r="K4" s="35"/>
      <c r="L4" s="35"/>
      <c r="M4" s="35"/>
      <c r="N4" s="35"/>
      <c r="O4" s="35"/>
      <c r="P4" s="35"/>
      <c r="Q4" s="35"/>
      <c r="R4" s="35"/>
      <c r="S4" s="35"/>
      <c r="T4" s="35"/>
      <c r="U4" s="35"/>
      <c r="V4" s="35"/>
      <c r="W4" s="35"/>
      <c r="X4" s="35"/>
      <c r="Y4" s="35"/>
      <c r="Z4" s="35"/>
    </row>
    <row r="5" spans="1:26" ht="12.75" customHeight="1" x14ac:dyDescent="0.2">
      <c r="A5" s="45" t="s">
        <v>152</v>
      </c>
      <c r="B5" s="45" t="s">
        <v>153</v>
      </c>
      <c r="C5" s="45" t="s">
        <v>154</v>
      </c>
      <c r="D5" s="35"/>
      <c r="E5" s="47"/>
      <c r="F5" s="53"/>
      <c r="G5" s="54"/>
      <c r="H5" s="54"/>
      <c r="I5" s="35"/>
      <c r="J5" s="35"/>
      <c r="K5" s="35"/>
      <c r="L5" s="35"/>
      <c r="M5" s="35"/>
      <c r="N5" s="35"/>
      <c r="O5" s="35"/>
      <c r="P5" s="35"/>
      <c r="Q5" s="35"/>
      <c r="R5" s="35"/>
      <c r="S5" s="35"/>
      <c r="T5" s="35"/>
      <c r="U5" s="35"/>
      <c r="V5" s="35"/>
      <c r="W5" s="35"/>
      <c r="X5" s="35"/>
      <c r="Y5" s="35"/>
      <c r="Z5" s="35"/>
    </row>
    <row r="6" spans="1:26" ht="12.75" customHeight="1" x14ac:dyDescent="0.2">
      <c r="A6" s="35" t="s">
        <v>156</v>
      </c>
      <c r="B6" s="55" t="s">
        <v>157</v>
      </c>
      <c r="C6" s="56">
        <v>1259.6389999999999</v>
      </c>
      <c r="D6" s="57"/>
      <c r="E6" s="59"/>
      <c r="F6" s="59"/>
      <c r="G6" s="60"/>
      <c r="H6" s="57"/>
      <c r="I6" s="35"/>
      <c r="J6" s="35"/>
      <c r="K6" s="35"/>
      <c r="L6" s="35"/>
      <c r="M6" s="35"/>
      <c r="N6" s="35"/>
      <c r="O6" s="35"/>
      <c r="P6" s="35"/>
      <c r="Q6" s="35"/>
      <c r="R6" s="35"/>
      <c r="S6" s="35"/>
      <c r="T6" s="35"/>
      <c r="U6" s="35"/>
      <c r="V6" s="35"/>
      <c r="W6" s="35"/>
      <c r="X6" s="35"/>
      <c r="Y6" s="35"/>
      <c r="Z6" s="35"/>
    </row>
    <row r="7" spans="1:26" ht="12.75" customHeight="1" x14ac:dyDescent="0.2">
      <c r="A7" s="35" t="s">
        <v>162</v>
      </c>
      <c r="B7" s="61" t="s">
        <v>163</v>
      </c>
      <c r="C7" s="56">
        <v>450.1044</v>
      </c>
      <c r="D7" s="57"/>
      <c r="E7" s="35"/>
      <c r="F7" s="59"/>
      <c r="G7" s="60"/>
      <c r="H7" s="57"/>
      <c r="I7" s="35"/>
      <c r="J7" s="35"/>
      <c r="K7" s="35"/>
      <c r="L7" s="35"/>
      <c r="M7" s="35"/>
      <c r="N7" s="35"/>
      <c r="O7" s="35"/>
      <c r="P7" s="35"/>
      <c r="Q7" s="35"/>
      <c r="R7" s="35"/>
      <c r="S7" s="35"/>
      <c r="T7" s="35"/>
      <c r="U7" s="35"/>
      <c r="V7" s="35"/>
      <c r="W7" s="35"/>
      <c r="X7" s="35"/>
      <c r="Y7" s="35"/>
      <c r="Z7" s="35"/>
    </row>
    <row r="8" spans="1:26" ht="12.75" customHeight="1" x14ac:dyDescent="0.2">
      <c r="A8" s="35" t="s">
        <v>165</v>
      </c>
      <c r="B8" s="61" t="s">
        <v>166</v>
      </c>
      <c r="C8" s="56">
        <v>1222.8831</v>
      </c>
      <c r="D8" s="57"/>
      <c r="E8" s="35"/>
      <c r="F8" s="59"/>
      <c r="G8" s="60"/>
      <c r="H8" s="57"/>
      <c r="I8" s="35"/>
      <c r="J8" s="35"/>
      <c r="K8" s="35"/>
      <c r="L8" s="35"/>
      <c r="M8" s="35"/>
      <c r="N8" s="35"/>
      <c r="O8" s="35"/>
      <c r="P8" s="35"/>
      <c r="Q8" s="35"/>
      <c r="R8" s="35"/>
      <c r="S8" s="35"/>
      <c r="T8" s="35"/>
      <c r="U8" s="35"/>
      <c r="V8" s="35"/>
      <c r="W8" s="35"/>
      <c r="X8" s="35"/>
      <c r="Y8" s="35"/>
      <c r="Z8" s="35"/>
    </row>
    <row r="9" spans="1:26" ht="12.75" customHeight="1" x14ac:dyDescent="0.2">
      <c r="A9" s="35" t="s">
        <v>167</v>
      </c>
      <c r="B9" s="61" t="s">
        <v>168</v>
      </c>
      <c r="C9" s="56">
        <v>1201.7931000000001</v>
      </c>
      <c r="D9" s="57"/>
      <c r="E9" s="35"/>
      <c r="F9" s="59"/>
      <c r="G9" s="60"/>
      <c r="H9" s="57"/>
      <c r="I9" s="35"/>
      <c r="J9" s="35"/>
      <c r="K9" s="35"/>
      <c r="L9" s="35"/>
      <c r="M9" s="35"/>
      <c r="N9" s="35"/>
      <c r="O9" s="35"/>
      <c r="P9" s="35"/>
      <c r="Q9" s="35"/>
      <c r="R9" s="35"/>
      <c r="S9" s="35"/>
      <c r="T9" s="35"/>
      <c r="U9" s="35"/>
      <c r="V9" s="35"/>
      <c r="W9" s="35"/>
      <c r="X9" s="35"/>
      <c r="Y9" s="35"/>
      <c r="Z9" s="35"/>
    </row>
    <row r="10" spans="1:26" ht="12.75" customHeight="1" x14ac:dyDescent="0.2">
      <c r="A10" s="35" t="s">
        <v>173</v>
      </c>
      <c r="B10" s="61" t="s">
        <v>174</v>
      </c>
      <c r="C10" s="56">
        <v>1336.0210999999999</v>
      </c>
      <c r="D10" s="57"/>
      <c r="E10" s="35"/>
      <c r="F10" s="59"/>
      <c r="G10" s="60"/>
      <c r="H10" s="57"/>
      <c r="I10" s="35"/>
      <c r="J10" s="35"/>
      <c r="K10" s="35"/>
      <c r="L10" s="35"/>
      <c r="M10" s="35"/>
      <c r="N10" s="35"/>
      <c r="O10" s="35"/>
      <c r="P10" s="35"/>
      <c r="Q10" s="35"/>
      <c r="R10" s="35"/>
      <c r="S10" s="35"/>
      <c r="T10" s="35"/>
      <c r="U10" s="35"/>
      <c r="V10" s="35"/>
      <c r="W10" s="35"/>
      <c r="X10" s="35"/>
      <c r="Y10" s="35"/>
      <c r="Z10" s="35"/>
    </row>
    <row r="11" spans="1:26" ht="12.75" customHeight="1" x14ac:dyDescent="0.2">
      <c r="A11" s="35" t="s">
        <v>177</v>
      </c>
      <c r="B11" s="61" t="s">
        <v>178</v>
      </c>
      <c r="C11" s="56">
        <v>1630.8969999999999</v>
      </c>
      <c r="D11" s="57"/>
      <c r="E11" s="35"/>
      <c r="F11" s="59"/>
      <c r="G11" s="60"/>
      <c r="H11" s="57"/>
      <c r="I11" s="35"/>
      <c r="J11" s="35"/>
      <c r="K11" s="35"/>
      <c r="L11" s="35"/>
      <c r="M11" s="35"/>
      <c r="N11" s="35"/>
      <c r="O11" s="35"/>
      <c r="P11" s="35"/>
      <c r="Q11" s="35"/>
      <c r="R11" s="35"/>
      <c r="S11" s="35"/>
      <c r="T11" s="35"/>
      <c r="U11" s="35"/>
      <c r="V11" s="35"/>
      <c r="W11" s="35"/>
      <c r="X11" s="35"/>
      <c r="Y11" s="35"/>
      <c r="Z11" s="35"/>
    </row>
    <row r="12" spans="1:26" ht="12.75" customHeight="1" x14ac:dyDescent="0.2">
      <c r="A12" s="35" t="s">
        <v>180</v>
      </c>
      <c r="B12" s="61" t="s">
        <v>181</v>
      </c>
      <c r="C12" s="56">
        <v>1619.8447000000001</v>
      </c>
      <c r="D12" s="57"/>
      <c r="E12" s="35"/>
      <c r="F12" s="59"/>
      <c r="G12" s="60"/>
      <c r="H12" s="57"/>
      <c r="I12" s="35"/>
      <c r="J12" s="35"/>
      <c r="K12" s="35"/>
      <c r="L12" s="35"/>
      <c r="M12" s="35"/>
      <c r="N12" s="35"/>
      <c r="O12" s="35"/>
      <c r="P12" s="35"/>
      <c r="Q12" s="35"/>
      <c r="R12" s="35"/>
      <c r="S12" s="35"/>
      <c r="T12" s="35"/>
      <c r="U12" s="35"/>
      <c r="V12" s="35"/>
      <c r="W12" s="35"/>
      <c r="X12" s="35"/>
      <c r="Y12" s="35"/>
      <c r="Z12" s="35"/>
    </row>
    <row r="13" spans="1:26" ht="12.75" customHeight="1" x14ac:dyDescent="0.2">
      <c r="A13" s="35" t="s">
        <v>183</v>
      </c>
      <c r="B13" s="61" t="s">
        <v>184</v>
      </c>
      <c r="C13" s="56">
        <v>1545.1098</v>
      </c>
      <c r="D13" s="57"/>
      <c r="E13" s="35"/>
      <c r="F13" s="59"/>
      <c r="G13" s="60"/>
      <c r="H13" s="57"/>
      <c r="I13" s="35"/>
      <c r="J13" s="35"/>
      <c r="K13" s="35"/>
      <c r="L13" s="35"/>
      <c r="M13" s="35"/>
      <c r="N13" s="35"/>
      <c r="O13" s="35"/>
      <c r="P13" s="35"/>
      <c r="Q13" s="35"/>
      <c r="R13" s="35"/>
      <c r="S13" s="35"/>
      <c r="T13" s="35"/>
      <c r="U13" s="35"/>
      <c r="V13" s="35"/>
      <c r="W13" s="35"/>
      <c r="X13" s="35"/>
      <c r="Y13" s="35"/>
      <c r="Z13" s="35"/>
    </row>
    <row r="14" spans="1:26" ht="12.75" customHeight="1" x14ac:dyDescent="0.2">
      <c r="A14" s="35" t="s">
        <v>186</v>
      </c>
      <c r="B14" s="61" t="s">
        <v>187</v>
      </c>
      <c r="C14" s="56">
        <v>1341.0096000000001</v>
      </c>
      <c r="D14" s="57"/>
      <c r="E14" s="35"/>
      <c r="F14" s="59"/>
      <c r="G14" s="60"/>
      <c r="H14" s="57"/>
      <c r="I14" s="35"/>
      <c r="J14" s="35"/>
      <c r="K14" s="35"/>
      <c r="L14" s="35"/>
      <c r="M14" s="35"/>
      <c r="N14" s="35"/>
      <c r="O14" s="35"/>
      <c r="P14" s="35"/>
      <c r="Q14" s="35"/>
      <c r="R14" s="35"/>
      <c r="S14" s="35"/>
      <c r="T14" s="35"/>
      <c r="U14" s="35"/>
      <c r="V14" s="35"/>
      <c r="W14" s="35"/>
      <c r="X14" s="35"/>
      <c r="Y14" s="35"/>
      <c r="Z14" s="35"/>
    </row>
    <row r="15" spans="1:26" ht="12.75" customHeight="1" x14ac:dyDescent="0.2">
      <c r="A15" s="35" t="s">
        <v>188</v>
      </c>
      <c r="B15" s="61" t="s">
        <v>190</v>
      </c>
      <c r="C15" s="56">
        <v>727.60299999999995</v>
      </c>
      <c r="D15" s="57"/>
      <c r="E15" s="35"/>
      <c r="F15" s="59"/>
      <c r="G15" s="60"/>
      <c r="H15" s="57"/>
      <c r="I15" s="35"/>
      <c r="J15" s="35"/>
      <c r="K15" s="35"/>
      <c r="L15" s="35"/>
      <c r="M15" s="35"/>
      <c r="N15" s="35"/>
      <c r="O15" s="35"/>
      <c r="P15" s="35"/>
      <c r="Q15" s="35"/>
      <c r="R15" s="35"/>
      <c r="S15" s="35"/>
      <c r="T15" s="35"/>
      <c r="U15" s="35"/>
      <c r="V15" s="35"/>
      <c r="W15" s="35"/>
      <c r="X15" s="35"/>
      <c r="Y15" s="35"/>
      <c r="Z15" s="35"/>
    </row>
    <row r="16" spans="1:26" ht="12.75" customHeight="1" x14ac:dyDescent="0.2">
      <c r="A16" s="35" t="s">
        <v>191</v>
      </c>
      <c r="B16" s="61" t="s">
        <v>192</v>
      </c>
      <c r="C16" s="56">
        <v>623.78420000000006</v>
      </c>
      <c r="D16" s="57"/>
      <c r="E16" s="35"/>
      <c r="F16" s="59"/>
      <c r="G16" s="60"/>
      <c r="H16" s="57"/>
      <c r="I16" s="35"/>
      <c r="J16" s="35"/>
      <c r="K16" s="35"/>
      <c r="L16" s="35"/>
      <c r="M16" s="35"/>
      <c r="N16" s="35"/>
      <c r="O16" s="35"/>
      <c r="P16" s="35"/>
      <c r="Q16" s="35"/>
      <c r="R16" s="35"/>
      <c r="S16" s="35"/>
      <c r="T16" s="35"/>
      <c r="U16" s="35"/>
      <c r="V16" s="35"/>
      <c r="W16" s="35"/>
      <c r="X16" s="35"/>
      <c r="Y16" s="35"/>
      <c r="Z16" s="35"/>
    </row>
    <row r="17" spans="1:26" ht="12.75" customHeight="1" x14ac:dyDescent="0.2">
      <c r="A17" s="35" t="s">
        <v>193</v>
      </c>
      <c r="B17" s="61" t="s">
        <v>194</v>
      </c>
      <c r="C17" s="56">
        <v>548.3741</v>
      </c>
      <c r="D17" s="57"/>
      <c r="E17" s="35"/>
      <c r="F17" s="59"/>
      <c r="G17" s="60"/>
      <c r="H17" s="57"/>
      <c r="I17" s="35"/>
      <c r="J17" s="35"/>
      <c r="K17" s="35"/>
      <c r="L17" s="35"/>
      <c r="M17" s="35"/>
      <c r="N17" s="35"/>
      <c r="O17" s="35"/>
      <c r="P17" s="35"/>
      <c r="Q17" s="35"/>
      <c r="R17" s="35"/>
      <c r="S17" s="35"/>
      <c r="T17" s="35"/>
      <c r="U17" s="35"/>
      <c r="V17" s="35"/>
      <c r="W17" s="35"/>
      <c r="X17" s="35"/>
      <c r="Y17" s="35"/>
      <c r="Z17" s="35"/>
    </row>
    <row r="18" spans="1:26" ht="12.75" customHeight="1" x14ac:dyDescent="0.2">
      <c r="A18" s="35" t="s">
        <v>198</v>
      </c>
      <c r="B18" s="61" t="s">
        <v>199</v>
      </c>
      <c r="C18" s="56">
        <v>1007.0368999999999</v>
      </c>
      <c r="D18" s="57"/>
      <c r="E18" s="35"/>
      <c r="F18" s="59"/>
      <c r="G18" s="60"/>
      <c r="H18" s="57"/>
      <c r="I18" s="35"/>
      <c r="J18" s="35"/>
      <c r="K18" s="35"/>
      <c r="L18" s="35"/>
      <c r="M18" s="35"/>
      <c r="N18" s="35"/>
      <c r="O18" s="35"/>
      <c r="P18" s="35"/>
      <c r="Q18" s="35"/>
      <c r="R18" s="35"/>
      <c r="S18" s="35"/>
      <c r="T18" s="35"/>
      <c r="U18" s="35"/>
      <c r="V18" s="35"/>
      <c r="W18" s="35"/>
      <c r="X18" s="35"/>
      <c r="Y18" s="35"/>
      <c r="Z18" s="35"/>
    </row>
    <row r="19" spans="1:26" ht="12.75" customHeight="1" x14ac:dyDescent="0.2">
      <c r="A19" s="35" t="s">
        <v>201</v>
      </c>
      <c r="B19" s="61" t="s">
        <v>202</v>
      </c>
      <c r="C19" s="56">
        <v>1638.3423</v>
      </c>
      <c r="D19" s="57"/>
      <c r="E19" s="35"/>
      <c r="F19" s="59"/>
      <c r="G19" s="60"/>
      <c r="H19" s="57"/>
      <c r="I19" s="35"/>
      <c r="J19" s="35"/>
      <c r="K19" s="35"/>
      <c r="L19" s="35"/>
      <c r="M19" s="35"/>
      <c r="N19" s="35"/>
      <c r="O19" s="35"/>
      <c r="P19" s="35"/>
      <c r="Q19" s="35"/>
      <c r="R19" s="35"/>
      <c r="S19" s="35"/>
      <c r="T19" s="35"/>
      <c r="U19" s="35"/>
      <c r="V19" s="35"/>
      <c r="W19" s="35"/>
      <c r="X19" s="35"/>
      <c r="Y19" s="35"/>
      <c r="Z19" s="35"/>
    </row>
    <row r="20" spans="1:26" ht="12.75" customHeight="1" x14ac:dyDescent="0.2">
      <c r="A20" s="35" t="s">
        <v>203</v>
      </c>
      <c r="B20" s="61" t="s">
        <v>204</v>
      </c>
      <c r="C20" s="56">
        <v>1511.5245</v>
      </c>
      <c r="D20" s="57"/>
      <c r="E20" s="35"/>
      <c r="F20" s="59"/>
      <c r="G20" s="60"/>
      <c r="H20" s="57"/>
      <c r="I20" s="35"/>
      <c r="J20" s="35"/>
      <c r="K20" s="35"/>
      <c r="L20" s="35"/>
      <c r="M20" s="35"/>
      <c r="N20" s="35"/>
      <c r="O20" s="35"/>
      <c r="P20" s="35"/>
      <c r="Q20" s="35"/>
      <c r="R20" s="35"/>
      <c r="S20" s="35"/>
      <c r="T20" s="35"/>
      <c r="U20" s="35"/>
      <c r="V20" s="35"/>
      <c r="W20" s="35"/>
      <c r="X20" s="35"/>
      <c r="Y20" s="35"/>
      <c r="Z20" s="35"/>
    </row>
    <row r="21" spans="1:26" ht="12.75" customHeight="1" x14ac:dyDescent="0.2">
      <c r="A21" s="35" t="s">
        <v>205</v>
      </c>
      <c r="B21" s="61" t="s">
        <v>206</v>
      </c>
      <c r="C21" s="56">
        <v>1820.425</v>
      </c>
      <c r="D21" s="57"/>
      <c r="E21" s="35"/>
      <c r="F21" s="59"/>
      <c r="G21" s="60"/>
      <c r="H21" s="57"/>
      <c r="I21" s="35"/>
      <c r="J21" s="35"/>
      <c r="K21" s="35"/>
      <c r="L21" s="35"/>
      <c r="M21" s="35"/>
      <c r="N21" s="35"/>
      <c r="O21" s="35"/>
      <c r="P21" s="35"/>
      <c r="Q21" s="35"/>
      <c r="R21" s="35"/>
      <c r="S21" s="35"/>
      <c r="T21" s="35"/>
      <c r="U21" s="35"/>
      <c r="V21" s="35"/>
      <c r="W21" s="35"/>
      <c r="X21" s="35"/>
      <c r="Y21" s="35"/>
      <c r="Z21" s="35"/>
    </row>
    <row r="22" spans="1:26" ht="12.75" customHeight="1" x14ac:dyDescent="0.2">
      <c r="A22" s="35" t="s">
        <v>207</v>
      </c>
      <c r="B22" s="61" t="s">
        <v>208</v>
      </c>
      <c r="C22" s="56">
        <v>1033.5843</v>
      </c>
      <c r="D22" s="57"/>
      <c r="E22" s="35"/>
      <c r="F22" s="59"/>
      <c r="G22" s="60"/>
      <c r="H22" s="57"/>
      <c r="I22" s="35"/>
      <c r="J22" s="35"/>
      <c r="K22" s="35"/>
      <c r="L22" s="35"/>
      <c r="M22" s="35"/>
      <c r="N22" s="35"/>
      <c r="O22" s="35"/>
      <c r="P22" s="35"/>
      <c r="Q22" s="35"/>
      <c r="R22" s="35"/>
      <c r="S22" s="35"/>
      <c r="T22" s="35"/>
      <c r="U22" s="35"/>
      <c r="V22" s="35"/>
      <c r="W22" s="35"/>
      <c r="X22" s="35"/>
      <c r="Y22" s="35"/>
      <c r="Z22" s="35"/>
    </row>
    <row r="23" spans="1:26" ht="12.75" customHeight="1" x14ac:dyDescent="0.2">
      <c r="A23" s="35" t="s">
        <v>209</v>
      </c>
      <c r="B23" s="61" t="s">
        <v>210</v>
      </c>
      <c r="C23" s="56">
        <v>1361.0491999999999</v>
      </c>
      <c r="D23" s="57"/>
      <c r="E23" s="35"/>
      <c r="F23" s="59"/>
      <c r="G23" s="60"/>
      <c r="H23" s="57"/>
      <c r="I23" s="35"/>
      <c r="J23" s="35"/>
      <c r="K23" s="35"/>
      <c r="L23" s="35"/>
      <c r="M23" s="35"/>
      <c r="N23" s="35"/>
      <c r="O23" s="35"/>
      <c r="P23" s="35"/>
      <c r="Q23" s="35"/>
      <c r="R23" s="35"/>
      <c r="S23" s="35"/>
      <c r="T23" s="35"/>
      <c r="U23" s="35"/>
      <c r="V23" s="35"/>
      <c r="W23" s="35"/>
      <c r="X23" s="35"/>
      <c r="Y23" s="35"/>
      <c r="Z23" s="35"/>
    </row>
    <row r="24" spans="1:26" ht="12.75" customHeight="1" x14ac:dyDescent="0.2">
      <c r="A24" s="35" t="s">
        <v>211</v>
      </c>
      <c r="B24" s="61" t="s">
        <v>212</v>
      </c>
      <c r="C24" s="56">
        <v>1396.5197000000001</v>
      </c>
      <c r="D24" s="57"/>
      <c r="E24" s="35"/>
      <c r="F24" s="59"/>
      <c r="G24" s="60"/>
      <c r="H24" s="57"/>
      <c r="I24" s="35"/>
      <c r="J24" s="35"/>
      <c r="K24" s="35"/>
      <c r="L24" s="35"/>
      <c r="M24" s="35"/>
      <c r="N24" s="35"/>
      <c r="O24" s="35"/>
      <c r="P24" s="35"/>
      <c r="Q24" s="35"/>
      <c r="R24" s="35"/>
      <c r="S24" s="35"/>
      <c r="T24" s="35"/>
      <c r="U24" s="35"/>
      <c r="V24" s="35"/>
      <c r="W24" s="35"/>
      <c r="X24" s="35"/>
      <c r="Y24" s="35"/>
      <c r="Z24" s="35"/>
    </row>
    <row r="25" spans="1:26" ht="12.75" customHeight="1" x14ac:dyDescent="0.2">
      <c r="A25" s="35" t="s">
        <v>213</v>
      </c>
      <c r="B25" s="61" t="s">
        <v>214</v>
      </c>
      <c r="C25" s="56">
        <v>1079.5717999999999</v>
      </c>
      <c r="D25" s="57"/>
      <c r="E25" s="35"/>
      <c r="F25" s="59"/>
      <c r="G25" s="60"/>
      <c r="H25" s="57"/>
      <c r="I25" s="35"/>
      <c r="J25" s="35"/>
      <c r="K25" s="35"/>
      <c r="L25" s="35"/>
      <c r="M25" s="35"/>
      <c r="N25" s="35"/>
      <c r="O25" s="35"/>
      <c r="P25" s="35"/>
      <c r="Q25" s="35"/>
      <c r="R25" s="35"/>
      <c r="S25" s="35"/>
      <c r="T25" s="35"/>
      <c r="U25" s="35"/>
      <c r="V25" s="35"/>
      <c r="W25" s="35"/>
      <c r="X25" s="35"/>
      <c r="Y25" s="35"/>
      <c r="Z25" s="35"/>
    </row>
    <row r="26" spans="1:26" ht="12.75" customHeight="1" x14ac:dyDescent="0.2">
      <c r="A26" s="35" t="s">
        <v>216</v>
      </c>
      <c r="B26" s="61" t="s">
        <v>217</v>
      </c>
      <c r="C26" s="56">
        <v>1808.7584999999999</v>
      </c>
      <c r="D26" s="57"/>
      <c r="E26" s="35"/>
      <c r="F26" s="59"/>
      <c r="G26" s="60"/>
      <c r="H26" s="57"/>
      <c r="I26" s="35"/>
      <c r="J26" s="35"/>
      <c r="K26" s="35"/>
      <c r="L26" s="35"/>
      <c r="M26" s="35"/>
      <c r="N26" s="35"/>
      <c r="O26" s="35"/>
      <c r="P26" s="35"/>
      <c r="Q26" s="35"/>
      <c r="R26" s="35"/>
      <c r="S26" s="35"/>
      <c r="T26" s="35"/>
      <c r="U26" s="35"/>
      <c r="V26" s="35"/>
      <c r="W26" s="35"/>
      <c r="X26" s="35"/>
      <c r="Y26" s="35"/>
      <c r="Z26" s="35"/>
    </row>
    <row r="27" spans="1:26" ht="12.75" customHeight="1" x14ac:dyDescent="0.2">
      <c r="A27" s="35" t="s">
        <v>222</v>
      </c>
      <c r="B27" s="61" t="s">
        <v>223</v>
      </c>
      <c r="C27" s="56">
        <v>1587.5541000000001</v>
      </c>
      <c r="D27" s="57"/>
      <c r="E27" s="35"/>
      <c r="F27" s="59"/>
      <c r="G27" s="60"/>
      <c r="H27" s="57"/>
      <c r="I27" s="35"/>
      <c r="J27" s="35"/>
      <c r="K27" s="35"/>
      <c r="L27" s="35"/>
      <c r="M27" s="35"/>
      <c r="N27" s="35"/>
      <c r="O27" s="35"/>
      <c r="P27" s="35"/>
      <c r="Q27" s="35"/>
      <c r="R27" s="35"/>
      <c r="S27" s="35"/>
      <c r="T27" s="35"/>
      <c r="U27" s="35"/>
      <c r="V27" s="35"/>
      <c r="W27" s="35"/>
      <c r="X27" s="35"/>
      <c r="Y27" s="35"/>
      <c r="Z27" s="35"/>
    </row>
    <row r="28" spans="1:26" ht="12.75" customHeight="1" x14ac:dyDescent="0.2">
      <c r="A28" s="35" t="s">
        <v>227</v>
      </c>
      <c r="B28" s="61" t="s">
        <v>228</v>
      </c>
      <c r="C28" s="56">
        <v>613.28449999999998</v>
      </c>
      <c r="D28" s="57"/>
      <c r="E28" s="35"/>
      <c r="F28" s="59"/>
      <c r="G28" s="60"/>
      <c r="H28" s="57"/>
      <c r="I28" s="35"/>
      <c r="J28" s="35"/>
      <c r="K28" s="35"/>
      <c r="L28" s="35"/>
      <c r="M28" s="35"/>
      <c r="N28" s="35"/>
      <c r="O28" s="35"/>
      <c r="P28" s="35"/>
      <c r="Q28" s="35"/>
      <c r="R28" s="35"/>
      <c r="S28" s="35"/>
      <c r="T28" s="35"/>
      <c r="U28" s="35"/>
      <c r="V28" s="35"/>
      <c r="W28" s="35"/>
      <c r="X28" s="35"/>
      <c r="Y28" s="35"/>
      <c r="Z28" s="35"/>
    </row>
    <row r="29" spans="1:26" ht="12.75" customHeight="1" x14ac:dyDescent="0.2">
      <c r="A29" s="35" t="s">
        <v>229</v>
      </c>
      <c r="B29" s="61" t="s">
        <v>230</v>
      </c>
      <c r="C29" s="56">
        <v>846.96879999999999</v>
      </c>
      <c r="D29" s="57"/>
      <c r="E29" s="35"/>
      <c r="F29" s="59"/>
      <c r="G29" s="60"/>
      <c r="H29" s="57"/>
      <c r="I29" s="35"/>
      <c r="J29" s="35"/>
      <c r="K29" s="35"/>
      <c r="L29" s="35"/>
      <c r="M29" s="35"/>
      <c r="N29" s="35"/>
      <c r="O29" s="35"/>
      <c r="P29" s="35"/>
      <c r="Q29" s="35"/>
      <c r="R29" s="35"/>
      <c r="S29" s="35"/>
      <c r="T29" s="35"/>
      <c r="U29" s="35"/>
      <c r="V29" s="35"/>
      <c r="W29" s="35"/>
      <c r="X29" s="35"/>
      <c r="Y29" s="35"/>
      <c r="Z29" s="35"/>
    </row>
    <row r="30" spans="1:26" ht="12.75" customHeight="1" x14ac:dyDescent="0.2">
      <c r="A30" s="35" t="s">
        <v>231</v>
      </c>
      <c r="B30" s="61" t="s">
        <v>232</v>
      </c>
      <c r="C30" s="56">
        <v>1906.2696000000001</v>
      </c>
      <c r="D30" s="57"/>
      <c r="E30" s="35"/>
      <c r="F30" s="59"/>
      <c r="G30" s="60"/>
      <c r="H30" s="57"/>
      <c r="I30" s="35"/>
      <c r="J30" s="35"/>
      <c r="K30" s="35"/>
      <c r="L30" s="35"/>
      <c r="M30" s="35"/>
      <c r="N30" s="35"/>
      <c r="O30" s="35"/>
      <c r="P30" s="35"/>
      <c r="Q30" s="35"/>
      <c r="R30" s="35"/>
      <c r="S30" s="35"/>
      <c r="T30" s="35"/>
      <c r="U30" s="35"/>
      <c r="V30" s="35"/>
      <c r="W30" s="35"/>
      <c r="X30" s="35"/>
      <c r="Y30" s="35"/>
      <c r="Z30" s="35"/>
    </row>
    <row r="31" spans="1:26" ht="12.75" customHeight="1" x14ac:dyDescent="0.2">
      <c r="A31" s="35" t="s">
        <v>233</v>
      </c>
      <c r="B31" s="61" t="s">
        <v>234</v>
      </c>
      <c r="C31" s="56">
        <v>1182.8918000000001</v>
      </c>
      <c r="D31" s="57"/>
      <c r="E31" s="35"/>
      <c r="F31" s="59"/>
      <c r="G31" s="60"/>
      <c r="H31" s="57"/>
      <c r="I31" s="35"/>
      <c r="J31" s="35"/>
      <c r="K31" s="35"/>
      <c r="L31" s="35"/>
      <c r="M31" s="35"/>
      <c r="N31" s="35"/>
      <c r="O31" s="35"/>
      <c r="P31" s="35"/>
      <c r="Q31" s="35"/>
      <c r="R31" s="35"/>
      <c r="S31" s="35"/>
      <c r="T31" s="35"/>
      <c r="U31" s="35"/>
      <c r="V31" s="35"/>
      <c r="W31" s="35"/>
      <c r="X31" s="35"/>
      <c r="Y31" s="35"/>
      <c r="Z31" s="35"/>
    </row>
    <row r="32" spans="1:26" ht="12.75" customHeight="1" x14ac:dyDescent="0.2">
      <c r="A32" s="35"/>
      <c r="B32" s="35"/>
      <c r="C32" s="56"/>
      <c r="D32" s="35"/>
      <c r="E32" s="35"/>
      <c r="F32" s="35"/>
      <c r="G32" s="35"/>
      <c r="H32" s="35"/>
      <c r="I32" s="35"/>
      <c r="J32" s="35"/>
      <c r="K32" s="35"/>
      <c r="L32" s="35"/>
      <c r="M32" s="35"/>
      <c r="N32" s="35"/>
      <c r="O32" s="35"/>
      <c r="P32" s="35"/>
      <c r="Q32" s="35"/>
      <c r="R32" s="35"/>
      <c r="S32" s="35"/>
      <c r="T32" s="35"/>
      <c r="U32" s="35"/>
      <c r="V32" s="35"/>
      <c r="W32" s="35"/>
      <c r="X32" s="35"/>
      <c r="Y32" s="35"/>
      <c r="Z32" s="35"/>
    </row>
    <row r="33" spans="1:26" ht="12.75" customHeight="1" x14ac:dyDescent="0.2">
      <c r="A33" s="72" t="s">
        <v>238</v>
      </c>
      <c r="B33" s="72"/>
      <c r="C33" s="73">
        <v>1238.5156999999999</v>
      </c>
      <c r="D33" s="35"/>
      <c r="E33" s="35"/>
      <c r="F33" s="56"/>
      <c r="G33" s="35"/>
      <c r="H33" s="35"/>
      <c r="I33" s="35"/>
      <c r="J33" s="35"/>
      <c r="K33" s="35"/>
      <c r="L33" s="35"/>
      <c r="M33" s="35"/>
      <c r="N33" s="35"/>
      <c r="O33" s="35"/>
      <c r="P33" s="35"/>
      <c r="Q33" s="35"/>
      <c r="R33" s="35"/>
      <c r="S33" s="35"/>
      <c r="T33" s="35"/>
      <c r="U33" s="35"/>
      <c r="V33" s="35"/>
      <c r="W33" s="35"/>
      <c r="X33" s="35"/>
      <c r="Y33" s="35"/>
      <c r="Z33" s="35"/>
    </row>
    <row r="34" spans="1:26" ht="12.75" customHeight="1" x14ac:dyDescent="0.2">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2.75" customHeight="1" x14ac:dyDescent="0.2">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2.75" customHeight="1" x14ac:dyDescent="0.2">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2.75" customHeight="1" x14ac:dyDescent="0.2">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2.75" customHeight="1" x14ac:dyDescent="0.2">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2.75" customHeight="1" x14ac:dyDescent="0.2">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2.75" customHeight="1" x14ac:dyDescent="0.2">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2.75" customHeight="1" x14ac:dyDescent="0.2">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2.75" customHeight="1" x14ac:dyDescent="0.2">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2.75" customHeight="1" x14ac:dyDescent="0.2">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2.75" customHeight="1" x14ac:dyDescent="0.2">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2.75" customHeight="1" x14ac:dyDescent="0.2">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2.75"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2.75" customHeight="1" x14ac:dyDescent="0.2">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2.75" customHeight="1" x14ac:dyDescent="0.2">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2.75"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2.75"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2.75" customHeight="1" x14ac:dyDescent="0.2">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2.75" customHeight="1" x14ac:dyDescent="0.2">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2.75" customHeight="1" x14ac:dyDescent="0.2">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2.75" customHeight="1" x14ac:dyDescent="0.2">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2.75" customHeight="1" x14ac:dyDescent="0.2">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2.75" customHeight="1" x14ac:dyDescent="0.2">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2.75" customHeight="1" x14ac:dyDescent="0.2">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2.75" customHeight="1" x14ac:dyDescent="0.2">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2.75" customHeight="1" x14ac:dyDescent="0.2">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2.75" customHeight="1" x14ac:dyDescent="0.2">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2.75" customHeight="1" x14ac:dyDescent="0.2">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2.75" customHeight="1" x14ac:dyDescent="0.2">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2.75" customHeight="1" x14ac:dyDescent="0.2">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2.75" customHeight="1" x14ac:dyDescent="0.2">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2.75" customHeight="1" x14ac:dyDescent="0.2">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2.75" customHeigh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2.75" customHeight="1" x14ac:dyDescent="0.2">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2.75" customHeight="1" x14ac:dyDescent="0.2">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2.75" customHeight="1" x14ac:dyDescent="0.2">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2.75" customHeight="1" x14ac:dyDescent="0.2">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2.75" customHeight="1" x14ac:dyDescent="0.2">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2.75" customHeight="1" x14ac:dyDescent="0.2">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2.75" customHeight="1" x14ac:dyDescent="0.2">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2.75" customHeight="1" x14ac:dyDescent="0.2">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2.75" customHeight="1" x14ac:dyDescent="0.2">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2.75" customHeight="1"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2.75" customHeight="1"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2.75" customHeight="1"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2.75" customHeight="1"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2.75"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2.75" customHeight="1" x14ac:dyDescent="0.2">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2.75" customHeight="1" x14ac:dyDescent="0.2">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2.75" customHeight="1" x14ac:dyDescent="0.2">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2.75" customHeight="1" x14ac:dyDescent="0.2">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2.75" customHeight="1" x14ac:dyDescent="0.2">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2.75" customHeight="1" x14ac:dyDescent="0.2">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2.75" customHeight="1" x14ac:dyDescent="0.2">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2.75" customHeight="1" x14ac:dyDescent="0.2">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2.75" customHeight="1" x14ac:dyDescent="0.2">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2.75" customHeight="1" x14ac:dyDescent="0.2">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2.75" customHeight="1" x14ac:dyDescent="0.2">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2.75" customHeight="1" x14ac:dyDescent="0.2">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2.75" customHeight="1" x14ac:dyDescent="0.2">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2.75" customHeight="1" x14ac:dyDescent="0.2">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2.75"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2.75"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2.75" customHeight="1" x14ac:dyDescent="0.2">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2.75" customHeight="1" x14ac:dyDescent="0.2">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2.75" customHeight="1" x14ac:dyDescent="0.2">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2.75" customHeight="1" x14ac:dyDescent="0.2">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2.75" customHeight="1" x14ac:dyDescent="0.2">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2.75" customHeight="1" x14ac:dyDescent="0.2">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2.75" customHeight="1" x14ac:dyDescent="0.2">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2.75" customHeight="1" x14ac:dyDescent="0.2">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2.75" customHeight="1" x14ac:dyDescent="0.2">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2.75" customHeight="1" x14ac:dyDescent="0.2">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2.75" customHeight="1" x14ac:dyDescent="0.2">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2.75" customHeight="1" x14ac:dyDescent="0.2">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2.75" customHeight="1" x14ac:dyDescent="0.2">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2.75" customHeight="1"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2.75" customHeight="1"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2.75" customHeight="1"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2.75" customHeight="1"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2.75" customHeight="1"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2.75" customHeight="1"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2.75" customHeight="1" x14ac:dyDescent="0.2">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2.75" customHeight="1" x14ac:dyDescent="0.2">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2.75" customHeight="1" x14ac:dyDescent="0.2">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2.75" customHeight="1" x14ac:dyDescent="0.2">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2.75" customHeight="1" x14ac:dyDescent="0.2">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2.75" customHeight="1" x14ac:dyDescent="0.2">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2.75" customHeight="1" x14ac:dyDescent="0.2">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2.75" customHeight="1" x14ac:dyDescent="0.2">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2.75" customHeight="1" x14ac:dyDescent="0.2">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2.75" customHeight="1" x14ac:dyDescent="0.2">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2.75" customHeight="1" x14ac:dyDescent="0.2">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2.75" customHeight="1" x14ac:dyDescent="0.2">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2.75" customHeight="1" x14ac:dyDescent="0.2">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2.75" customHeight="1" x14ac:dyDescent="0.2">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2.75" customHeight="1" x14ac:dyDescent="0.2">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2.75" customHeight="1" x14ac:dyDescent="0.2">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2.75" customHeight="1" x14ac:dyDescent="0.2">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2.75" customHeight="1" x14ac:dyDescent="0.2">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2.75" customHeight="1" x14ac:dyDescent="0.2">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2.75" customHeight="1" x14ac:dyDescent="0.2">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2.75" customHeight="1"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2.75" customHeight="1" x14ac:dyDescent="0.2">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2.75" customHeight="1" x14ac:dyDescent="0.2">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2.75" customHeight="1"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2.75" customHeight="1"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2.75" customHeight="1" x14ac:dyDescent="0.2">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2.75" customHeight="1" x14ac:dyDescent="0.2">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2.75" customHeight="1" x14ac:dyDescent="0.2">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2.75" customHeight="1" x14ac:dyDescent="0.2">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2.75" customHeight="1" x14ac:dyDescent="0.2">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2.75" customHeight="1" x14ac:dyDescent="0.2">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2.75" customHeight="1" x14ac:dyDescent="0.2">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2.75" customHeight="1" x14ac:dyDescent="0.2">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2.75" customHeight="1" x14ac:dyDescent="0.2">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2.75" customHeight="1" x14ac:dyDescent="0.2">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2.75" customHeight="1" x14ac:dyDescent="0.2">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2.75" customHeight="1" x14ac:dyDescent="0.2">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2.75" customHeight="1" x14ac:dyDescent="0.2">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2.75" customHeight="1" x14ac:dyDescent="0.2">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2.75" customHeight="1" x14ac:dyDescent="0.2">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2.75" customHeight="1" x14ac:dyDescent="0.2">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2.75" customHeight="1" x14ac:dyDescent="0.2">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2.75" customHeight="1" x14ac:dyDescent="0.2">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2.75" customHeight="1" x14ac:dyDescent="0.2">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2.75" customHeight="1" x14ac:dyDescent="0.2">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2.75" customHeight="1" x14ac:dyDescent="0.2">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2.75" customHeight="1" x14ac:dyDescent="0.2">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2.75" customHeight="1" x14ac:dyDescent="0.2">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2.75" customHeight="1" x14ac:dyDescent="0.2">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2.75" customHeight="1" x14ac:dyDescent="0.2">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2.75" customHeight="1" x14ac:dyDescent="0.2">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2.75" customHeight="1" x14ac:dyDescent="0.2">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2.75" customHeight="1" x14ac:dyDescent="0.2">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2.75" customHeight="1" x14ac:dyDescent="0.2">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2.75" customHeight="1" x14ac:dyDescent="0.2">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2.75" customHeight="1" x14ac:dyDescent="0.2">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2.75" customHeight="1" x14ac:dyDescent="0.2">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2.75" customHeight="1" x14ac:dyDescent="0.2">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2.75" customHeight="1" x14ac:dyDescent="0.2">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2.75" customHeight="1" x14ac:dyDescent="0.2">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2.75" customHeight="1" x14ac:dyDescent="0.2">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2.75" customHeight="1" x14ac:dyDescent="0.2">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2.75" customHeight="1" x14ac:dyDescent="0.2">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2.75" customHeight="1" x14ac:dyDescent="0.2">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2.75" customHeight="1" x14ac:dyDescent="0.2">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2.75" customHeight="1" x14ac:dyDescent="0.2">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2.75" customHeight="1" x14ac:dyDescent="0.2">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2.75" customHeight="1" x14ac:dyDescent="0.2">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2.75" customHeight="1" x14ac:dyDescent="0.2">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2.75" customHeight="1" x14ac:dyDescent="0.2">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2.75" customHeight="1" x14ac:dyDescent="0.2">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2.75" customHeight="1" x14ac:dyDescent="0.2">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2.75" customHeight="1" x14ac:dyDescent="0.2">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2.75" customHeight="1" x14ac:dyDescent="0.2">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2.75" customHeight="1" x14ac:dyDescent="0.2">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2.75" customHeight="1" x14ac:dyDescent="0.2">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2.75" customHeight="1" x14ac:dyDescent="0.2">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2.75" customHeight="1" x14ac:dyDescent="0.2">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2.75" customHeight="1" x14ac:dyDescent="0.2">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2.75" customHeight="1" x14ac:dyDescent="0.2">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2.75" customHeight="1" x14ac:dyDescent="0.2">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2.75" customHeight="1" x14ac:dyDescent="0.2">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2.75" customHeight="1" x14ac:dyDescent="0.2">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2.75" customHeight="1" x14ac:dyDescent="0.2">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2.75" customHeight="1" x14ac:dyDescent="0.2">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2.75" customHeight="1" x14ac:dyDescent="0.2">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2.75" customHeight="1" x14ac:dyDescent="0.2">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2.75" customHeight="1" x14ac:dyDescent="0.2">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2.75" customHeight="1" x14ac:dyDescent="0.2">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2.75" customHeight="1" x14ac:dyDescent="0.2">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2.75" customHeight="1" x14ac:dyDescent="0.2">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2.75" customHeight="1" x14ac:dyDescent="0.2">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2.75" customHeight="1" x14ac:dyDescent="0.2">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2.75" customHeight="1" x14ac:dyDescent="0.2">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2.75" customHeight="1" x14ac:dyDescent="0.2">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2.75" customHeight="1" x14ac:dyDescent="0.2">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2.75" customHeight="1" x14ac:dyDescent="0.2">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2.75" customHeight="1" x14ac:dyDescent="0.2">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2.75" customHeight="1" x14ac:dyDescent="0.2">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2.75" customHeight="1" x14ac:dyDescent="0.2">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2.75" customHeight="1" x14ac:dyDescent="0.2">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2.75" customHeight="1" x14ac:dyDescent="0.2">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2.75" customHeight="1" x14ac:dyDescent="0.2">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2.75" customHeight="1" x14ac:dyDescent="0.2">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2.75" customHeight="1" x14ac:dyDescent="0.2">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2.75" customHeight="1" x14ac:dyDescent="0.2">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2.75" customHeight="1" x14ac:dyDescent="0.2">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2.75" customHeight="1" x14ac:dyDescent="0.2">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2.75" customHeight="1" x14ac:dyDescent="0.2">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2.75" customHeight="1" x14ac:dyDescent="0.2">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2.75" customHeight="1" x14ac:dyDescent="0.2">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2.75" customHeight="1" x14ac:dyDescent="0.2">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2.75" customHeight="1" x14ac:dyDescent="0.2">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2.75" customHeight="1" x14ac:dyDescent="0.2">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2.75" customHeight="1" x14ac:dyDescent="0.2">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2.75" customHeight="1" x14ac:dyDescent="0.2">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2.75" customHeight="1" x14ac:dyDescent="0.2">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2.75" customHeight="1" x14ac:dyDescent="0.2">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2.75" customHeight="1" x14ac:dyDescent="0.2">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2.75" customHeight="1" x14ac:dyDescent="0.2">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2.75" customHeight="1" x14ac:dyDescent="0.2">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2.75" customHeight="1" x14ac:dyDescent="0.2">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2.75" customHeight="1" x14ac:dyDescent="0.2">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2.75" customHeight="1" x14ac:dyDescent="0.2">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2.75" customHeight="1" x14ac:dyDescent="0.2">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2.75" customHeight="1" x14ac:dyDescent="0.2">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2.75" customHeight="1" x14ac:dyDescent="0.2">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2.75" customHeight="1" x14ac:dyDescent="0.2">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2.75" customHeight="1" x14ac:dyDescent="0.2">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2.75" customHeight="1" x14ac:dyDescent="0.2">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2.75" customHeight="1" x14ac:dyDescent="0.2">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2.75" customHeight="1" x14ac:dyDescent="0.2">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2.75" customHeight="1" x14ac:dyDescent="0.2">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2.75" customHeight="1" x14ac:dyDescent="0.2">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2.75" customHeight="1" x14ac:dyDescent="0.2">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2.75" customHeight="1" x14ac:dyDescent="0.2">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2.75" customHeight="1" x14ac:dyDescent="0.2">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2.75" customHeight="1" x14ac:dyDescent="0.2">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2.75" customHeight="1" x14ac:dyDescent="0.2">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2.75" customHeight="1" x14ac:dyDescent="0.2">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2.75" customHeight="1" x14ac:dyDescent="0.2">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2.75" customHeight="1" x14ac:dyDescent="0.2">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2.75" customHeight="1" x14ac:dyDescent="0.2">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2.75" customHeight="1" x14ac:dyDescent="0.2">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2.75" customHeight="1" x14ac:dyDescent="0.2">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2.75" customHeight="1" x14ac:dyDescent="0.2">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2.75" customHeight="1" x14ac:dyDescent="0.2">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2.75" customHeight="1" x14ac:dyDescent="0.2">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2.75" customHeight="1" x14ac:dyDescent="0.2">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2.75" customHeight="1" x14ac:dyDescent="0.2">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2.75" customHeight="1" x14ac:dyDescent="0.2">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2.75" customHeight="1" x14ac:dyDescent="0.2">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2.75" customHeight="1" x14ac:dyDescent="0.2">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2.75" customHeight="1" x14ac:dyDescent="0.2">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2.75" customHeight="1" x14ac:dyDescent="0.2">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2.75" customHeight="1" x14ac:dyDescent="0.2">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2.75" customHeight="1" x14ac:dyDescent="0.2">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2.75" customHeight="1" x14ac:dyDescent="0.2">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2.75" customHeight="1" x14ac:dyDescent="0.2">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2.75" customHeight="1" x14ac:dyDescent="0.2">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2.75" customHeight="1" x14ac:dyDescent="0.2">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2.75" customHeight="1" x14ac:dyDescent="0.2">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2.75" customHeight="1" x14ac:dyDescent="0.2">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2.75" customHeight="1" x14ac:dyDescent="0.2">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2.75" customHeight="1" x14ac:dyDescent="0.2">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2.75" customHeight="1" x14ac:dyDescent="0.2">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2.75" customHeight="1" x14ac:dyDescent="0.2">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2.75" customHeight="1" x14ac:dyDescent="0.2">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2.75" customHeight="1" x14ac:dyDescent="0.2">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2.75" customHeight="1" x14ac:dyDescent="0.2">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2.75" customHeight="1" x14ac:dyDescent="0.2">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2.75" customHeight="1" x14ac:dyDescent="0.2">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2.75" customHeight="1" x14ac:dyDescent="0.2">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2.75" customHeight="1" x14ac:dyDescent="0.2">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2.75" customHeight="1" x14ac:dyDescent="0.2">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2.75" customHeight="1" x14ac:dyDescent="0.2">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2.75" customHeight="1" x14ac:dyDescent="0.2">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2.75" customHeight="1" x14ac:dyDescent="0.2">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2.75" customHeight="1" x14ac:dyDescent="0.2">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2.75" customHeight="1" x14ac:dyDescent="0.2">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2.75" customHeight="1" x14ac:dyDescent="0.2">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2.75" customHeight="1" x14ac:dyDescent="0.2">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2.75" customHeight="1" x14ac:dyDescent="0.2">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2.75" customHeight="1" x14ac:dyDescent="0.2">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2.75" customHeight="1" x14ac:dyDescent="0.2">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2.75" customHeight="1" x14ac:dyDescent="0.2">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2.75" customHeight="1" x14ac:dyDescent="0.2">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2.75" customHeight="1" x14ac:dyDescent="0.2">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2.75" customHeight="1" x14ac:dyDescent="0.2">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2.75" customHeight="1" x14ac:dyDescent="0.2">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2.75" customHeight="1" x14ac:dyDescent="0.2">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2.75" customHeight="1" x14ac:dyDescent="0.2">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2.75" customHeight="1" x14ac:dyDescent="0.2">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2.75" customHeight="1" x14ac:dyDescent="0.2">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2.75" customHeight="1" x14ac:dyDescent="0.2">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2.75" customHeight="1" x14ac:dyDescent="0.2">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2.75" customHeight="1" x14ac:dyDescent="0.2">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2.75" customHeight="1" x14ac:dyDescent="0.2">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2.75" customHeight="1" x14ac:dyDescent="0.2">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2.75" customHeight="1" x14ac:dyDescent="0.2">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2.75" customHeight="1" x14ac:dyDescent="0.2">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2.75" customHeight="1" x14ac:dyDescent="0.2">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2.75" customHeight="1" x14ac:dyDescent="0.2">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2.75" customHeight="1" x14ac:dyDescent="0.2">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2.75" customHeight="1" x14ac:dyDescent="0.2">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2.75" customHeight="1" x14ac:dyDescent="0.2">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2.75" customHeight="1" x14ac:dyDescent="0.2">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2.75" customHeight="1" x14ac:dyDescent="0.2">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2.75" customHeight="1" x14ac:dyDescent="0.2">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2.75" customHeight="1" x14ac:dyDescent="0.2">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2.75" customHeight="1" x14ac:dyDescent="0.2">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2.75" customHeight="1" x14ac:dyDescent="0.2">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2.75" customHeight="1" x14ac:dyDescent="0.2">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2.75" customHeight="1" x14ac:dyDescent="0.2">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2.75" customHeight="1" x14ac:dyDescent="0.2">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2.75" customHeight="1" x14ac:dyDescent="0.2">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2.75" customHeight="1" x14ac:dyDescent="0.2">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2.75" customHeight="1" x14ac:dyDescent="0.2">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2.75" customHeight="1" x14ac:dyDescent="0.2">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2.75" customHeight="1" x14ac:dyDescent="0.2">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2.75" customHeight="1" x14ac:dyDescent="0.2">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2.75" customHeight="1" x14ac:dyDescent="0.2">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2.75" customHeight="1" x14ac:dyDescent="0.2">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2.75" customHeight="1" x14ac:dyDescent="0.2">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2.75" customHeight="1" x14ac:dyDescent="0.2">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2.75" customHeight="1" x14ac:dyDescent="0.2">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2.75" customHeight="1" x14ac:dyDescent="0.2">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2.75" customHeight="1" x14ac:dyDescent="0.2">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2.75" customHeight="1" x14ac:dyDescent="0.2">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2.75" customHeight="1" x14ac:dyDescent="0.2">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2.75" customHeight="1" x14ac:dyDescent="0.2">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2.75" customHeight="1" x14ac:dyDescent="0.2">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2.75" customHeight="1" x14ac:dyDescent="0.2">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2.75" customHeight="1" x14ac:dyDescent="0.2">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2.75" customHeight="1" x14ac:dyDescent="0.2">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2.75" customHeight="1" x14ac:dyDescent="0.2">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2.75" customHeight="1" x14ac:dyDescent="0.2">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2.75" customHeight="1" x14ac:dyDescent="0.2">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2.75" customHeight="1" x14ac:dyDescent="0.2">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2.75" customHeight="1" x14ac:dyDescent="0.2">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2.75" customHeight="1" x14ac:dyDescent="0.2">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2.75" customHeight="1" x14ac:dyDescent="0.2">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2.75" customHeight="1" x14ac:dyDescent="0.2">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2.75" customHeight="1" x14ac:dyDescent="0.2">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2.75" customHeight="1" x14ac:dyDescent="0.2">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2.75" customHeight="1" x14ac:dyDescent="0.2">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2.75" customHeight="1" x14ac:dyDescent="0.2">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2.75" customHeight="1" x14ac:dyDescent="0.2">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2.75" customHeight="1" x14ac:dyDescent="0.2">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2.75" customHeight="1" x14ac:dyDescent="0.2">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2.75" customHeight="1" x14ac:dyDescent="0.2">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2.75" customHeight="1" x14ac:dyDescent="0.2">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2.75" customHeight="1" x14ac:dyDescent="0.2">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2.75" customHeight="1" x14ac:dyDescent="0.2">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2.75" customHeight="1" x14ac:dyDescent="0.2">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2.75" customHeight="1" x14ac:dyDescent="0.2">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2.75" customHeight="1" x14ac:dyDescent="0.2">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2.75" customHeight="1" x14ac:dyDescent="0.2">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2.75" customHeight="1" x14ac:dyDescent="0.2">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2.75" customHeight="1" x14ac:dyDescent="0.2">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2.75" customHeight="1" x14ac:dyDescent="0.2">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2.75" customHeight="1" x14ac:dyDescent="0.2">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2.75" customHeight="1" x14ac:dyDescent="0.2">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2.75" customHeight="1" x14ac:dyDescent="0.2">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2.75" customHeight="1" x14ac:dyDescent="0.2">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2.75" customHeight="1" x14ac:dyDescent="0.2">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2.75" customHeight="1" x14ac:dyDescent="0.2">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2.75" customHeight="1" x14ac:dyDescent="0.2">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2.75" customHeight="1" x14ac:dyDescent="0.2">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2.75" customHeight="1" x14ac:dyDescent="0.2">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2.75" customHeight="1" x14ac:dyDescent="0.2">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2.75" customHeight="1" x14ac:dyDescent="0.2">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2.75" customHeight="1" x14ac:dyDescent="0.2">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2.75" customHeight="1" x14ac:dyDescent="0.2">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2.75" customHeight="1" x14ac:dyDescent="0.2">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2.75" customHeight="1" x14ac:dyDescent="0.2">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2.75" customHeight="1" x14ac:dyDescent="0.2">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2.75" customHeight="1" x14ac:dyDescent="0.2">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2.75" customHeight="1" x14ac:dyDescent="0.2">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2.75" customHeight="1" x14ac:dyDescent="0.2">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2.75" customHeight="1" x14ac:dyDescent="0.2">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2.75" customHeight="1" x14ac:dyDescent="0.2">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2.75" customHeight="1" x14ac:dyDescent="0.2">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2.75" customHeight="1" x14ac:dyDescent="0.2">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2.75" customHeight="1" x14ac:dyDescent="0.2">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2.75" customHeight="1" x14ac:dyDescent="0.2">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2.75" customHeight="1" x14ac:dyDescent="0.2">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2.75" customHeight="1" x14ac:dyDescent="0.2">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2.75" customHeight="1" x14ac:dyDescent="0.2">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2.75" customHeight="1" x14ac:dyDescent="0.2">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2.75" customHeight="1" x14ac:dyDescent="0.2">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2.75" customHeight="1" x14ac:dyDescent="0.2">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2.75" customHeight="1" x14ac:dyDescent="0.2">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2.75" customHeight="1" x14ac:dyDescent="0.2">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2.75" customHeight="1" x14ac:dyDescent="0.2">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2.75" customHeight="1" x14ac:dyDescent="0.2">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2.75" customHeight="1" x14ac:dyDescent="0.2">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2.75" customHeight="1" x14ac:dyDescent="0.2">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2.75" customHeight="1" x14ac:dyDescent="0.2">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2.75" customHeight="1" x14ac:dyDescent="0.2">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2.75" customHeight="1" x14ac:dyDescent="0.2">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2.75" customHeight="1" x14ac:dyDescent="0.2">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2.75" customHeight="1" x14ac:dyDescent="0.2">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2.75" customHeight="1" x14ac:dyDescent="0.2">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2.75" customHeight="1" x14ac:dyDescent="0.2">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2.75" customHeight="1" x14ac:dyDescent="0.2">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2.75" customHeight="1" x14ac:dyDescent="0.2">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2.75" customHeight="1" x14ac:dyDescent="0.2">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2.75" customHeight="1" x14ac:dyDescent="0.2">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2.75" customHeight="1" x14ac:dyDescent="0.2">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2.75" customHeight="1" x14ac:dyDescent="0.2">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2.75" customHeight="1" x14ac:dyDescent="0.2">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2.75" customHeight="1" x14ac:dyDescent="0.2">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2.75" customHeight="1" x14ac:dyDescent="0.2">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2.75" customHeight="1" x14ac:dyDescent="0.2">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2.75" customHeight="1" x14ac:dyDescent="0.2">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2.75" customHeight="1" x14ac:dyDescent="0.2">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2.75" customHeight="1" x14ac:dyDescent="0.2">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2.75" customHeight="1" x14ac:dyDescent="0.2">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2.75" customHeight="1" x14ac:dyDescent="0.2">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2.75" customHeight="1" x14ac:dyDescent="0.2">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2.75" customHeight="1" x14ac:dyDescent="0.2">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2.75" customHeight="1" x14ac:dyDescent="0.2">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2.75" customHeight="1" x14ac:dyDescent="0.2">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2.75" customHeight="1" x14ac:dyDescent="0.2">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2.75" customHeight="1" x14ac:dyDescent="0.2">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2.75" customHeight="1" x14ac:dyDescent="0.2">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2.75" customHeight="1" x14ac:dyDescent="0.2">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2.75" customHeight="1" x14ac:dyDescent="0.2">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2.75" customHeight="1" x14ac:dyDescent="0.2">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2.75" customHeight="1" x14ac:dyDescent="0.2">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2.75" customHeight="1" x14ac:dyDescent="0.2">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2.75" customHeight="1" x14ac:dyDescent="0.2">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2.75" customHeight="1" x14ac:dyDescent="0.2">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2.75" customHeight="1" x14ac:dyDescent="0.2">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2.75" customHeight="1" x14ac:dyDescent="0.2">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2.75" customHeight="1" x14ac:dyDescent="0.2">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2.75" customHeight="1" x14ac:dyDescent="0.2">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2.75" customHeight="1" x14ac:dyDescent="0.2">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2.75" customHeight="1" x14ac:dyDescent="0.2">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2.75" customHeight="1" x14ac:dyDescent="0.2">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2.75" customHeight="1" x14ac:dyDescent="0.2">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2.75" customHeight="1" x14ac:dyDescent="0.2">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2.75" customHeight="1" x14ac:dyDescent="0.2">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2.75" customHeight="1" x14ac:dyDescent="0.2">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2.75" customHeight="1" x14ac:dyDescent="0.2">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2.75" customHeight="1" x14ac:dyDescent="0.2">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2.75" customHeight="1" x14ac:dyDescent="0.2">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2.75" customHeight="1" x14ac:dyDescent="0.2">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2.75" customHeight="1" x14ac:dyDescent="0.2">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2.75" customHeight="1" x14ac:dyDescent="0.2">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2.75" customHeight="1" x14ac:dyDescent="0.2">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2.75" customHeight="1" x14ac:dyDescent="0.2">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2.75" customHeight="1" x14ac:dyDescent="0.2">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2.75" customHeight="1" x14ac:dyDescent="0.2">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2.75" customHeight="1" x14ac:dyDescent="0.2">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2.75" customHeight="1" x14ac:dyDescent="0.2">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2.75" customHeight="1" x14ac:dyDescent="0.2">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2.75" customHeight="1" x14ac:dyDescent="0.2">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2.75" customHeight="1" x14ac:dyDescent="0.2">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2.75" customHeight="1" x14ac:dyDescent="0.2">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2.75" customHeight="1" x14ac:dyDescent="0.2">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2.75" customHeight="1" x14ac:dyDescent="0.2">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2.75" customHeight="1" x14ac:dyDescent="0.2">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2.75" customHeight="1" x14ac:dyDescent="0.2">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2.75" customHeight="1" x14ac:dyDescent="0.2">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2.75" customHeight="1" x14ac:dyDescent="0.2">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2.75" customHeight="1" x14ac:dyDescent="0.2">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2.75" customHeight="1" x14ac:dyDescent="0.2">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2.75" customHeight="1" x14ac:dyDescent="0.2">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2.75" customHeight="1" x14ac:dyDescent="0.2">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2.75" customHeight="1" x14ac:dyDescent="0.2">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2.75" customHeight="1" x14ac:dyDescent="0.2">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2.75" customHeight="1" x14ac:dyDescent="0.2">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2.75" customHeight="1" x14ac:dyDescent="0.2">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2.75" customHeight="1" x14ac:dyDescent="0.2">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2.75" customHeight="1" x14ac:dyDescent="0.2">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2.75" customHeight="1" x14ac:dyDescent="0.2">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2.75" customHeight="1" x14ac:dyDescent="0.2">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2.75" customHeight="1" x14ac:dyDescent="0.2">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2.75" customHeight="1" x14ac:dyDescent="0.2">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2.75" customHeight="1" x14ac:dyDescent="0.2">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2.75" customHeight="1" x14ac:dyDescent="0.2">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2.75" customHeight="1" x14ac:dyDescent="0.2">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2.75" customHeight="1" x14ac:dyDescent="0.2">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2.75" customHeight="1" x14ac:dyDescent="0.2">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2.75" customHeight="1" x14ac:dyDescent="0.2">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2.75" customHeight="1" x14ac:dyDescent="0.2">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2.75" customHeight="1" x14ac:dyDescent="0.2">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2.75" customHeight="1" x14ac:dyDescent="0.2">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2.75" customHeight="1" x14ac:dyDescent="0.2">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2.75" customHeight="1" x14ac:dyDescent="0.2">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2.75" customHeight="1" x14ac:dyDescent="0.2">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2.75" customHeight="1" x14ac:dyDescent="0.2">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2.75" customHeight="1" x14ac:dyDescent="0.2">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2.75" customHeight="1" x14ac:dyDescent="0.2">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2.75" customHeight="1" x14ac:dyDescent="0.2">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2.75" customHeight="1" x14ac:dyDescent="0.2">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2.75" customHeight="1" x14ac:dyDescent="0.2">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2.75" customHeight="1" x14ac:dyDescent="0.2">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2.75" customHeight="1" x14ac:dyDescent="0.2">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2.75" customHeight="1" x14ac:dyDescent="0.2">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2.75" customHeight="1" x14ac:dyDescent="0.2">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2.75" customHeight="1" x14ac:dyDescent="0.2">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2.75" customHeight="1" x14ac:dyDescent="0.2">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2.75" customHeight="1" x14ac:dyDescent="0.2">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2.75" customHeight="1" x14ac:dyDescent="0.2">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2.75" customHeight="1" x14ac:dyDescent="0.2">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2.75" customHeight="1" x14ac:dyDescent="0.2">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2.75" customHeight="1" x14ac:dyDescent="0.2">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2.75" customHeight="1" x14ac:dyDescent="0.2">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2.75" customHeight="1" x14ac:dyDescent="0.2">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2.75" customHeight="1" x14ac:dyDescent="0.2">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2.75" customHeight="1" x14ac:dyDescent="0.2">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2.75" customHeight="1" x14ac:dyDescent="0.2">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2.75" customHeight="1" x14ac:dyDescent="0.2">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2.75" customHeight="1" x14ac:dyDescent="0.2">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2.75" customHeight="1" x14ac:dyDescent="0.2">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2.75" customHeight="1" x14ac:dyDescent="0.2">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2.75" customHeight="1" x14ac:dyDescent="0.2">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2.75" customHeight="1" x14ac:dyDescent="0.2">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2.75" customHeight="1" x14ac:dyDescent="0.2">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2.75" customHeight="1" x14ac:dyDescent="0.2">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2.75" customHeight="1" x14ac:dyDescent="0.2">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2.75" customHeight="1" x14ac:dyDescent="0.2">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2.75" customHeight="1" x14ac:dyDescent="0.2">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2.75" customHeight="1" x14ac:dyDescent="0.2">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2.75" customHeight="1" x14ac:dyDescent="0.2">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2.75" customHeight="1" x14ac:dyDescent="0.2">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2.75" customHeight="1" x14ac:dyDescent="0.2">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2.75" customHeight="1" x14ac:dyDescent="0.2">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2.75" customHeight="1" x14ac:dyDescent="0.2">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2.75" customHeight="1" x14ac:dyDescent="0.2">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2.75" customHeight="1" x14ac:dyDescent="0.2">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2.75" customHeight="1" x14ac:dyDescent="0.2">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2.75" customHeight="1" x14ac:dyDescent="0.2">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2.75" customHeight="1" x14ac:dyDescent="0.2">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2.75" customHeight="1" x14ac:dyDescent="0.2">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2.75" customHeight="1" x14ac:dyDescent="0.2">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2.75" customHeight="1" x14ac:dyDescent="0.2">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2.75" customHeight="1" x14ac:dyDescent="0.2">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2.75" customHeight="1" x14ac:dyDescent="0.2">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2.75" customHeight="1" x14ac:dyDescent="0.2">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2.75" customHeight="1" x14ac:dyDescent="0.2">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2.75" customHeight="1" x14ac:dyDescent="0.2">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2.75" customHeight="1" x14ac:dyDescent="0.2">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2.75" customHeight="1" x14ac:dyDescent="0.2">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2.75" customHeight="1" x14ac:dyDescent="0.2">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2.75" customHeight="1" x14ac:dyDescent="0.2">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2.75" customHeight="1" x14ac:dyDescent="0.2">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2.75" customHeight="1" x14ac:dyDescent="0.2">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2.75" customHeight="1" x14ac:dyDescent="0.2">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2.75" customHeight="1" x14ac:dyDescent="0.2">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2.75" customHeight="1" x14ac:dyDescent="0.2">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2.75" customHeight="1" x14ac:dyDescent="0.2">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2.75" customHeight="1" x14ac:dyDescent="0.2">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2.75" customHeight="1" x14ac:dyDescent="0.2">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2.75" customHeight="1" x14ac:dyDescent="0.2">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2.75" customHeight="1" x14ac:dyDescent="0.2">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2.75" customHeight="1" x14ac:dyDescent="0.2">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2.75" customHeight="1" x14ac:dyDescent="0.2">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2.75" customHeight="1" x14ac:dyDescent="0.2">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2.75" customHeight="1" x14ac:dyDescent="0.2">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2.75" customHeight="1" x14ac:dyDescent="0.2">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2.75" customHeight="1" x14ac:dyDescent="0.2">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2.75" customHeight="1" x14ac:dyDescent="0.2">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2.75" customHeight="1" x14ac:dyDescent="0.2">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2.75" customHeight="1" x14ac:dyDescent="0.2">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2.75" customHeight="1" x14ac:dyDescent="0.2">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2.75" customHeight="1" x14ac:dyDescent="0.2">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2.75" customHeight="1" x14ac:dyDescent="0.2">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2.75" customHeight="1" x14ac:dyDescent="0.2">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2.75" customHeight="1" x14ac:dyDescent="0.2">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2.75" customHeight="1" x14ac:dyDescent="0.2">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2.75" customHeight="1" x14ac:dyDescent="0.2">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2.75" customHeight="1" x14ac:dyDescent="0.2">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2.75" customHeight="1" x14ac:dyDescent="0.2">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2.75" customHeight="1" x14ac:dyDescent="0.2">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2.75" customHeight="1" x14ac:dyDescent="0.2">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2.75" customHeight="1" x14ac:dyDescent="0.2">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2.75" customHeight="1" x14ac:dyDescent="0.2">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2.75" customHeight="1" x14ac:dyDescent="0.2">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2.75" customHeight="1" x14ac:dyDescent="0.2">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2.75" customHeight="1" x14ac:dyDescent="0.2">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2.75" customHeight="1" x14ac:dyDescent="0.2">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2.75" customHeight="1" x14ac:dyDescent="0.2">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2.75" customHeight="1" x14ac:dyDescent="0.2">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2.75" customHeight="1" x14ac:dyDescent="0.2">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2.75" customHeight="1" x14ac:dyDescent="0.2">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2.75" customHeight="1" x14ac:dyDescent="0.2">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2.75" customHeight="1" x14ac:dyDescent="0.2">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2.75" customHeight="1" x14ac:dyDescent="0.2">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2.75" customHeight="1" x14ac:dyDescent="0.2">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2.75" customHeight="1" x14ac:dyDescent="0.2">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2.75" customHeight="1" x14ac:dyDescent="0.2">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2.75" customHeight="1" x14ac:dyDescent="0.2">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2.75" customHeight="1" x14ac:dyDescent="0.2">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2.75" customHeight="1" x14ac:dyDescent="0.2">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2.75" customHeight="1" x14ac:dyDescent="0.2">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2.75" customHeight="1" x14ac:dyDescent="0.2">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2.75" customHeight="1" x14ac:dyDescent="0.2">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2.75" customHeight="1" x14ac:dyDescent="0.2">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2.75" customHeight="1" x14ac:dyDescent="0.2">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2.75" customHeight="1" x14ac:dyDescent="0.2">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2.75" customHeight="1" x14ac:dyDescent="0.2">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2.75" customHeight="1" x14ac:dyDescent="0.2">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2.75" customHeight="1" x14ac:dyDescent="0.2">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2.75" customHeight="1" x14ac:dyDescent="0.2">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2.75" customHeight="1" x14ac:dyDescent="0.2">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2.75" customHeight="1" x14ac:dyDescent="0.2">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2.75" customHeight="1" x14ac:dyDescent="0.2">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2.75" customHeight="1" x14ac:dyDescent="0.2">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2.75" customHeight="1" x14ac:dyDescent="0.2">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2.75" customHeight="1" x14ac:dyDescent="0.2">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2.75" customHeight="1" x14ac:dyDescent="0.2">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2.75" customHeight="1" x14ac:dyDescent="0.2">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2.75" customHeight="1" x14ac:dyDescent="0.2">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2.75" customHeight="1" x14ac:dyDescent="0.2">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2.75" customHeight="1" x14ac:dyDescent="0.2">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2.75" customHeight="1" x14ac:dyDescent="0.2">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2.75" customHeight="1" x14ac:dyDescent="0.2">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2.75" customHeight="1" x14ac:dyDescent="0.2">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2.75" customHeight="1" x14ac:dyDescent="0.2">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2.75" customHeight="1" x14ac:dyDescent="0.2">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2.75" customHeight="1" x14ac:dyDescent="0.2">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2.75" customHeight="1" x14ac:dyDescent="0.2">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2.75" customHeight="1" x14ac:dyDescent="0.2">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2.75" customHeight="1" x14ac:dyDescent="0.2">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2.75" customHeight="1" x14ac:dyDescent="0.2">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2.75" customHeight="1" x14ac:dyDescent="0.2">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2.75" customHeight="1" x14ac:dyDescent="0.2">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2.75" customHeight="1" x14ac:dyDescent="0.2">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2.75" customHeight="1" x14ac:dyDescent="0.2">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2.75" customHeight="1" x14ac:dyDescent="0.2">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2.75" customHeight="1" x14ac:dyDescent="0.2">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2.75" customHeight="1" x14ac:dyDescent="0.2">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2.75" customHeight="1" x14ac:dyDescent="0.2">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2.75" customHeight="1" x14ac:dyDescent="0.2">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2.75" customHeight="1" x14ac:dyDescent="0.2">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2.75" customHeight="1" x14ac:dyDescent="0.2">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2.75" customHeight="1" x14ac:dyDescent="0.2">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2.75" customHeight="1" x14ac:dyDescent="0.2">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2.75" customHeight="1" x14ac:dyDescent="0.2">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2.75" customHeight="1" x14ac:dyDescent="0.2">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2.75" customHeight="1" x14ac:dyDescent="0.2">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2.75" customHeight="1" x14ac:dyDescent="0.2">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2.75" customHeight="1" x14ac:dyDescent="0.2">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2.75" customHeight="1" x14ac:dyDescent="0.2">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2.75" customHeight="1" x14ac:dyDescent="0.2">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2.75" customHeight="1" x14ac:dyDescent="0.2">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2.75" customHeight="1" x14ac:dyDescent="0.2">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2.75" customHeight="1" x14ac:dyDescent="0.2">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2.75" customHeight="1" x14ac:dyDescent="0.2">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2.75" customHeight="1" x14ac:dyDescent="0.2">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2.75" customHeight="1" x14ac:dyDescent="0.2">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2.75" customHeight="1" x14ac:dyDescent="0.2">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2.75" customHeight="1" x14ac:dyDescent="0.2">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2.75" customHeight="1" x14ac:dyDescent="0.2">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2.75" customHeight="1" x14ac:dyDescent="0.2">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2.75" customHeight="1" x14ac:dyDescent="0.2">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2.75" customHeight="1" x14ac:dyDescent="0.2">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2.75" customHeight="1" x14ac:dyDescent="0.2">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2.75" customHeight="1" x14ac:dyDescent="0.2">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2.75" customHeight="1" x14ac:dyDescent="0.2">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2.75" customHeight="1" x14ac:dyDescent="0.2">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2.75" customHeight="1" x14ac:dyDescent="0.2">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2.75" customHeight="1" x14ac:dyDescent="0.2">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2.75" customHeight="1" x14ac:dyDescent="0.2">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2.75" customHeight="1" x14ac:dyDescent="0.2">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2.75" customHeight="1" x14ac:dyDescent="0.2">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2.75" customHeight="1" x14ac:dyDescent="0.2">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2.75" customHeight="1" x14ac:dyDescent="0.2">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2.75" customHeight="1" x14ac:dyDescent="0.2">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2.75" customHeight="1" x14ac:dyDescent="0.2">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2.75" customHeight="1" x14ac:dyDescent="0.2">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2.75" customHeight="1" x14ac:dyDescent="0.2">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2.75" customHeight="1" x14ac:dyDescent="0.2">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2.75" customHeight="1" x14ac:dyDescent="0.2">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2.75" customHeight="1" x14ac:dyDescent="0.2">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2.75" customHeight="1" x14ac:dyDescent="0.2">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2.75" customHeight="1" x14ac:dyDescent="0.2">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2.75" customHeight="1" x14ac:dyDescent="0.2">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2.75" customHeight="1" x14ac:dyDescent="0.2">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2.75" customHeight="1" x14ac:dyDescent="0.2">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2.75" customHeight="1" x14ac:dyDescent="0.2">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2.75" customHeight="1" x14ac:dyDescent="0.2">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2.75" customHeight="1" x14ac:dyDescent="0.2">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2.75" customHeight="1" x14ac:dyDescent="0.2">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2.75" customHeight="1" x14ac:dyDescent="0.2">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2.75" customHeight="1" x14ac:dyDescent="0.2">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2.75" customHeight="1" x14ac:dyDescent="0.2">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2.75" customHeight="1" x14ac:dyDescent="0.2">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2.75" customHeight="1" x14ac:dyDescent="0.2">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2.75" customHeight="1" x14ac:dyDescent="0.2">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2.75" customHeight="1" x14ac:dyDescent="0.2">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2.75" customHeight="1" x14ac:dyDescent="0.2">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2.75" customHeight="1" x14ac:dyDescent="0.2">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2.75" customHeight="1" x14ac:dyDescent="0.2">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2.75" customHeight="1" x14ac:dyDescent="0.2">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2.75" customHeight="1" x14ac:dyDescent="0.2">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2.75" customHeight="1" x14ac:dyDescent="0.2">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2.75" customHeight="1" x14ac:dyDescent="0.2">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2.75" customHeight="1" x14ac:dyDescent="0.2">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2.75" customHeight="1" x14ac:dyDescent="0.2">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2.75" customHeight="1" x14ac:dyDescent="0.2">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2.75" customHeight="1" x14ac:dyDescent="0.2">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2.75" customHeight="1" x14ac:dyDescent="0.2">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2.75" customHeight="1" x14ac:dyDescent="0.2">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2.75" customHeight="1" x14ac:dyDescent="0.2">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2.75" customHeight="1" x14ac:dyDescent="0.2">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2.75" customHeight="1" x14ac:dyDescent="0.2">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2.75" customHeight="1" x14ac:dyDescent="0.2">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2.75" customHeight="1" x14ac:dyDescent="0.2">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2.75" customHeight="1" x14ac:dyDescent="0.2">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2.75" customHeight="1" x14ac:dyDescent="0.2">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2.75" customHeight="1" x14ac:dyDescent="0.2">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2.75" customHeight="1" x14ac:dyDescent="0.2">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2.75" customHeight="1" x14ac:dyDescent="0.2">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2.75" customHeight="1" x14ac:dyDescent="0.2">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2.75" customHeight="1" x14ac:dyDescent="0.2">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2.75" customHeight="1" x14ac:dyDescent="0.2">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2.75" customHeight="1" x14ac:dyDescent="0.2">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2.75" customHeight="1" x14ac:dyDescent="0.2">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2.75" customHeight="1" x14ac:dyDescent="0.2">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2.75" customHeight="1" x14ac:dyDescent="0.2">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2.75" customHeight="1" x14ac:dyDescent="0.2">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2.75" customHeight="1" x14ac:dyDescent="0.2">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2.75" customHeight="1" x14ac:dyDescent="0.2">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2.75" customHeight="1" x14ac:dyDescent="0.2">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2.75" customHeight="1" x14ac:dyDescent="0.2">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2.75" customHeight="1" x14ac:dyDescent="0.2">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2.75" customHeight="1" x14ac:dyDescent="0.2">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2.75" customHeight="1" x14ac:dyDescent="0.2">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2.75" customHeight="1" x14ac:dyDescent="0.2">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2.75" customHeight="1" x14ac:dyDescent="0.2">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2.75" customHeight="1" x14ac:dyDescent="0.2">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2.75" customHeight="1" x14ac:dyDescent="0.2">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2.75" customHeight="1" x14ac:dyDescent="0.2">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2.75" customHeight="1" x14ac:dyDescent="0.2">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2.75" customHeight="1" x14ac:dyDescent="0.2">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2.75" customHeight="1" x14ac:dyDescent="0.2">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2.75" customHeight="1" x14ac:dyDescent="0.2">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2.75" customHeight="1" x14ac:dyDescent="0.2">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2.75" customHeight="1" x14ac:dyDescent="0.2">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2.75" customHeight="1" x14ac:dyDescent="0.2">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2.75" customHeight="1" x14ac:dyDescent="0.2">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2.75" customHeight="1" x14ac:dyDescent="0.2">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2.75" customHeight="1" x14ac:dyDescent="0.2">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2.75" customHeight="1" x14ac:dyDescent="0.2">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2.75" customHeight="1" x14ac:dyDescent="0.2">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2.75" customHeight="1" x14ac:dyDescent="0.2">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2.75" customHeight="1" x14ac:dyDescent="0.2">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2.75" customHeight="1" x14ac:dyDescent="0.2">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2.75" customHeight="1" x14ac:dyDescent="0.2">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2.75" customHeight="1" x14ac:dyDescent="0.2">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2.75" customHeight="1" x14ac:dyDescent="0.2">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2.75" customHeight="1" x14ac:dyDescent="0.2">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2.75" customHeight="1" x14ac:dyDescent="0.2">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2.75" customHeight="1" x14ac:dyDescent="0.2">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2.75" customHeight="1" x14ac:dyDescent="0.2">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2.75" customHeight="1" x14ac:dyDescent="0.2">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2.75" customHeight="1" x14ac:dyDescent="0.2">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2.75" customHeight="1" x14ac:dyDescent="0.2">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2.75" customHeight="1" x14ac:dyDescent="0.2">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2.75" customHeight="1" x14ac:dyDescent="0.2">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2.75" customHeight="1" x14ac:dyDescent="0.2">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2.75" customHeight="1" x14ac:dyDescent="0.2">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2.75" customHeight="1" x14ac:dyDescent="0.2">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2.75" customHeight="1" x14ac:dyDescent="0.2">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2.75" customHeight="1" x14ac:dyDescent="0.2">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2.75" customHeight="1" x14ac:dyDescent="0.2">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2.75" customHeight="1" x14ac:dyDescent="0.2">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2.75" customHeight="1" x14ac:dyDescent="0.2">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2.75" customHeight="1" x14ac:dyDescent="0.2">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2.75" customHeight="1" x14ac:dyDescent="0.2">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2.75" customHeight="1" x14ac:dyDescent="0.2">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2.75" customHeight="1" x14ac:dyDescent="0.2">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2.75" customHeight="1" x14ac:dyDescent="0.2">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2.75" customHeight="1" x14ac:dyDescent="0.2">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2.75" customHeight="1" x14ac:dyDescent="0.2">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2.75" customHeight="1" x14ac:dyDescent="0.2">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2.75" customHeight="1" x14ac:dyDescent="0.2">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2.75" customHeight="1" x14ac:dyDescent="0.2">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2.75" customHeight="1" x14ac:dyDescent="0.2">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2.75" customHeight="1" x14ac:dyDescent="0.2">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2.75" customHeight="1" x14ac:dyDescent="0.2">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2.75" customHeight="1" x14ac:dyDescent="0.2">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2.75" customHeight="1" x14ac:dyDescent="0.2">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2.75" customHeight="1" x14ac:dyDescent="0.2">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2.75" customHeight="1" x14ac:dyDescent="0.2">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2.75" customHeight="1" x14ac:dyDescent="0.2">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2.75" customHeight="1" x14ac:dyDescent="0.2">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2.75" customHeight="1" x14ac:dyDescent="0.2">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2.75" customHeight="1" x14ac:dyDescent="0.2">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2.75" customHeight="1" x14ac:dyDescent="0.2">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2.75" customHeight="1" x14ac:dyDescent="0.2">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2.75" customHeight="1" x14ac:dyDescent="0.2">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2.75" customHeight="1" x14ac:dyDescent="0.2">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2.75" customHeight="1" x14ac:dyDescent="0.2">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2.75" customHeight="1" x14ac:dyDescent="0.2">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2.75" customHeight="1" x14ac:dyDescent="0.2">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2.75" customHeight="1" x14ac:dyDescent="0.2">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2.75" customHeight="1" x14ac:dyDescent="0.2">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2.75" customHeight="1" x14ac:dyDescent="0.2">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2.75" customHeight="1" x14ac:dyDescent="0.2">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2.75" customHeight="1" x14ac:dyDescent="0.2">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2.75" customHeight="1" x14ac:dyDescent="0.2">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2.75" customHeight="1" x14ac:dyDescent="0.2">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2.75" customHeight="1" x14ac:dyDescent="0.2">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2.75" customHeight="1" x14ac:dyDescent="0.2">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2.75" customHeight="1" x14ac:dyDescent="0.2">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2.75" customHeight="1" x14ac:dyDescent="0.2">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2.75" customHeight="1" x14ac:dyDescent="0.2">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2.75" customHeight="1" x14ac:dyDescent="0.2">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2.75" customHeight="1" x14ac:dyDescent="0.2">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2.75" customHeight="1" x14ac:dyDescent="0.2">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2.75" customHeight="1" x14ac:dyDescent="0.2">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2.75" customHeight="1" x14ac:dyDescent="0.2">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2.75" customHeight="1" x14ac:dyDescent="0.2">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2.75" customHeight="1" x14ac:dyDescent="0.2">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2.75" customHeight="1" x14ac:dyDescent="0.2">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2.75" customHeight="1" x14ac:dyDescent="0.2">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2.75" customHeight="1" x14ac:dyDescent="0.2">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2.75" customHeight="1" x14ac:dyDescent="0.2">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2.75" customHeight="1" x14ac:dyDescent="0.2">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2.75" customHeight="1" x14ac:dyDescent="0.2">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2.75" customHeight="1" x14ac:dyDescent="0.2">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2.75" customHeight="1" x14ac:dyDescent="0.2">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2.75" customHeight="1" x14ac:dyDescent="0.2">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2.75" customHeight="1" x14ac:dyDescent="0.2">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2.75" customHeight="1" x14ac:dyDescent="0.2">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2.75" customHeight="1" x14ac:dyDescent="0.2">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2.75" customHeight="1" x14ac:dyDescent="0.2">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2.75" customHeight="1" x14ac:dyDescent="0.2">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2.75" customHeight="1" x14ac:dyDescent="0.2">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2.75" customHeight="1" x14ac:dyDescent="0.2">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2.75" customHeight="1" x14ac:dyDescent="0.2">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2.75" customHeight="1" x14ac:dyDescent="0.2">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2.75" customHeight="1" x14ac:dyDescent="0.2">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2.75" customHeight="1" x14ac:dyDescent="0.2">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2.75" customHeight="1" x14ac:dyDescent="0.2">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2.75" customHeight="1" x14ac:dyDescent="0.2">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2.75" customHeight="1" x14ac:dyDescent="0.2">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2.75" customHeight="1" x14ac:dyDescent="0.2">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2.75" customHeight="1" x14ac:dyDescent="0.2">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2.75" customHeight="1" x14ac:dyDescent="0.2">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2.75" customHeight="1" x14ac:dyDescent="0.2">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2.75" customHeight="1" x14ac:dyDescent="0.2">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2.75" customHeight="1" x14ac:dyDescent="0.2">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2.75" customHeight="1" x14ac:dyDescent="0.2">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2.75" customHeight="1" x14ac:dyDescent="0.2">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2.75" customHeight="1" x14ac:dyDescent="0.2">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2.75" customHeight="1" x14ac:dyDescent="0.2">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2.75" customHeight="1" x14ac:dyDescent="0.2">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2.75" customHeight="1" x14ac:dyDescent="0.2">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2.75" customHeight="1" x14ac:dyDescent="0.2">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2.75" customHeight="1" x14ac:dyDescent="0.2">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2.75" customHeight="1" x14ac:dyDescent="0.2">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2.75" customHeight="1" x14ac:dyDescent="0.2">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2.75" customHeight="1" x14ac:dyDescent="0.2">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2.75" customHeight="1" x14ac:dyDescent="0.2">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2.75" customHeight="1" x14ac:dyDescent="0.2">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2.75" customHeight="1" x14ac:dyDescent="0.2">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2.75" customHeight="1" x14ac:dyDescent="0.2">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2.75" customHeight="1" x14ac:dyDescent="0.2">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2.75" customHeight="1" x14ac:dyDescent="0.2">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2.75" customHeight="1" x14ac:dyDescent="0.2">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2.75" customHeight="1" x14ac:dyDescent="0.2">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2.75" customHeight="1" x14ac:dyDescent="0.2">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2.75" customHeight="1" x14ac:dyDescent="0.2">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2.75" customHeight="1" x14ac:dyDescent="0.2">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2.75" customHeight="1" x14ac:dyDescent="0.2">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2.75" customHeight="1" x14ac:dyDescent="0.2">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2.75" customHeight="1" x14ac:dyDescent="0.2">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2.75" customHeight="1" x14ac:dyDescent="0.2">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2.75" customHeight="1" x14ac:dyDescent="0.2">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2.75" customHeight="1" x14ac:dyDescent="0.2">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2.75" customHeight="1" x14ac:dyDescent="0.2">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2.75" customHeight="1" x14ac:dyDescent="0.2">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2.75" customHeight="1" x14ac:dyDescent="0.2">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2.75" customHeight="1" x14ac:dyDescent="0.2">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2.75" customHeight="1" x14ac:dyDescent="0.2">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2.75" customHeight="1" x14ac:dyDescent="0.2">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2.75" customHeight="1" x14ac:dyDescent="0.2">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2.75" customHeight="1" x14ac:dyDescent="0.2">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2.75" customHeight="1" x14ac:dyDescent="0.2">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2.75" customHeight="1" x14ac:dyDescent="0.2">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2.75" customHeight="1" x14ac:dyDescent="0.2">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2.75" customHeight="1" x14ac:dyDescent="0.2">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2.75" customHeight="1" x14ac:dyDescent="0.2">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2.75" customHeight="1" x14ac:dyDescent="0.2">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2.75" customHeight="1" x14ac:dyDescent="0.2">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2.75" customHeight="1" x14ac:dyDescent="0.2">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2.75" customHeight="1" x14ac:dyDescent="0.2">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2.75" customHeight="1" x14ac:dyDescent="0.2">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2.75" customHeight="1" x14ac:dyDescent="0.2">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2.75" customHeight="1" x14ac:dyDescent="0.2">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2.75" customHeight="1" x14ac:dyDescent="0.2">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2.75" customHeight="1" x14ac:dyDescent="0.2">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2.75" customHeight="1" x14ac:dyDescent="0.2">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2.75" customHeight="1" x14ac:dyDescent="0.2">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2.75" customHeight="1" x14ac:dyDescent="0.2">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2.75" customHeight="1" x14ac:dyDescent="0.2">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2.75" customHeight="1" x14ac:dyDescent="0.2">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2.75" customHeight="1" x14ac:dyDescent="0.2">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2.75" customHeight="1" x14ac:dyDescent="0.2">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2.75" customHeight="1" x14ac:dyDescent="0.2">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2.75" customHeight="1" x14ac:dyDescent="0.2">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2.75" customHeight="1" x14ac:dyDescent="0.2">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2.75" customHeight="1" x14ac:dyDescent="0.2">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2.75" customHeight="1" x14ac:dyDescent="0.2">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2.75" customHeight="1" x14ac:dyDescent="0.2">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2.75" customHeight="1" x14ac:dyDescent="0.2">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2.75" customHeight="1" x14ac:dyDescent="0.2">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2.75" customHeight="1" x14ac:dyDescent="0.2">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2.75" customHeight="1" x14ac:dyDescent="0.2">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2.75" customHeight="1" x14ac:dyDescent="0.2">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2.75" customHeight="1" x14ac:dyDescent="0.2">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2.75" customHeight="1" x14ac:dyDescent="0.2">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2.75" customHeight="1" x14ac:dyDescent="0.2">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2.75" customHeight="1" x14ac:dyDescent="0.2">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2.75" customHeight="1" x14ac:dyDescent="0.2">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2.75" customHeight="1" x14ac:dyDescent="0.2">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2.75" customHeight="1" x14ac:dyDescent="0.2">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2.75" customHeight="1" x14ac:dyDescent="0.2">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2.75" customHeight="1" x14ac:dyDescent="0.2">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2.75" customHeight="1" x14ac:dyDescent="0.2">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2.75" customHeight="1" x14ac:dyDescent="0.2">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2.75" customHeight="1" x14ac:dyDescent="0.2">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2.75" customHeight="1" x14ac:dyDescent="0.2">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2.75" customHeight="1" x14ac:dyDescent="0.2">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2.75" customHeight="1" x14ac:dyDescent="0.2">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2.75" customHeight="1" x14ac:dyDescent="0.2">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2.75" customHeight="1" x14ac:dyDescent="0.2">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2.75" customHeight="1" x14ac:dyDescent="0.2">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2.75" customHeight="1" x14ac:dyDescent="0.2">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2.75" customHeight="1" x14ac:dyDescent="0.2">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2.75" customHeight="1" x14ac:dyDescent="0.2">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2.75" customHeight="1" x14ac:dyDescent="0.2">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2.75" customHeight="1" x14ac:dyDescent="0.2">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2.75" customHeight="1" x14ac:dyDescent="0.2">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2.75" customHeight="1" x14ac:dyDescent="0.2">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2.75" customHeight="1" x14ac:dyDescent="0.2">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2.75" customHeight="1" x14ac:dyDescent="0.2">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2.75" customHeight="1" x14ac:dyDescent="0.2">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2.75" customHeight="1" x14ac:dyDescent="0.2">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2.75" customHeight="1" x14ac:dyDescent="0.2">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2.75" customHeight="1" x14ac:dyDescent="0.2">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2.75" customHeight="1" x14ac:dyDescent="0.2">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2.75" customHeight="1" x14ac:dyDescent="0.2">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2.75" customHeight="1" x14ac:dyDescent="0.2">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2.75" customHeight="1" x14ac:dyDescent="0.2">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2.75" customHeight="1" x14ac:dyDescent="0.2">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2.75" customHeight="1" x14ac:dyDescent="0.2">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2.75" customHeight="1" x14ac:dyDescent="0.2">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2.75" customHeight="1" x14ac:dyDescent="0.2">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2.75" customHeight="1" x14ac:dyDescent="0.2">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2.75" customHeight="1" x14ac:dyDescent="0.2">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2.75" customHeight="1" x14ac:dyDescent="0.2">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2.75" customHeight="1" x14ac:dyDescent="0.2">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2.75" customHeight="1" x14ac:dyDescent="0.2">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2.75" customHeight="1" x14ac:dyDescent="0.2">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2.75" customHeight="1" x14ac:dyDescent="0.2">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2.75" customHeight="1" x14ac:dyDescent="0.2">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2.75" customHeight="1" x14ac:dyDescent="0.2">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2.75" customHeight="1" x14ac:dyDescent="0.2">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2.75" customHeight="1" x14ac:dyDescent="0.2">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2.75" customHeight="1" x14ac:dyDescent="0.2">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2.75" customHeight="1" x14ac:dyDescent="0.2">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2.75" customHeight="1" x14ac:dyDescent="0.2">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2.75" customHeight="1" x14ac:dyDescent="0.2">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2.75" customHeight="1" x14ac:dyDescent="0.2">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2.75" customHeight="1" x14ac:dyDescent="0.2">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2.75" customHeight="1" x14ac:dyDescent="0.2">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2.75" customHeight="1" x14ac:dyDescent="0.2">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2.75" customHeight="1" x14ac:dyDescent="0.2">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2.75" customHeight="1" x14ac:dyDescent="0.2">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2.75" customHeight="1" x14ac:dyDescent="0.2">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2.75" customHeight="1" x14ac:dyDescent="0.2">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2.75" customHeight="1" x14ac:dyDescent="0.2">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2.75" customHeight="1" x14ac:dyDescent="0.2">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2.75" customHeight="1" x14ac:dyDescent="0.2">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2.75" customHeight="1" x14ac:dyDescent="0.2">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2.75" customHeight="1" x14ac:dyDescent="0.2">
      <c r="A999" s="35"/>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2.75" customHeight="1" x14ac:dyDescent="0.2">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pageMargins left="0.75" right="0.75" top="1" bottom="1"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workbookViewId="0"/>
  </sheetViews>
  <sheetFormatPr defaultColWidth="12.625" defaultRowHeight="15" customHeight="1" x14ac:dyDescent="0.2"/>
  <cols>
    <col min="1" max="1" width="8" customWidth="1"/>
    <col min="2" max="2" width="34.25" customWidth="1"/>
    <col min="3" max="3" width="15.875" customWidth="1"/>
    <col min="4" max="4" width="16.625" customWidth="1"/>
    <col min="5" max="5" width="8" customWidth="1"/>
    <col min="6" max="6" width="10.125" customWidth="1"/>
    <col min="7" max="7" width="10.25" customWidth="1"/>
    <col min="8" max="8" width="8" customWidth="1"/>
    <col min="9" max="9" width="23.625" customWidth="1"/>
    <col min="10" max="11" width="8" customWidth="1"/>
    <col min="12" max="26" width="7.625" customWidth="1"/>
  </cols>
  <sheetData>
    <row r="1" spans="1:26" ht="12.75" customHeight="1" x14ac:dyDescent="0.2">
      <c r="A1" s="35"/>
      <c r="B1" s="35"/>
      <c r="C1" s="35"/>
      <c r="D1" s="35"/>
      <c r="E1" s="35"/>
      <c r="F1" s="35"/>
      <c r="G1" s="35"/>
      <c r="H1" s="35"/>
      <c r="I1" s="35"/>
      <c r="J1" s="35"/>
      <c r="K1" s="35"/>
      <c r="L1" s="35"/>
      <c r="M1" s="35"/>
      <c r="N1" s="35"/>
      <c r="O1" s="35"/>
      <c r="P1" s="35"/>
      <c r="Q1" s="35"/>
      <c r="R1" s="35"/>
      <c r="S1" s="35"/>
      <c r="T1" s="35"/>
      <c r="U1" s="35"/>
      <c r="V1" s="35"/>
      <c r="W1" s="35"/>
      <c r="X1" s="35"/>
      <c r="Y1" s="35"/>
      <c r="Z1" s="35"/>
    </row>
    <row r="2" spans="1:26" ht="12.75" customHeight="1" x14ac:dyDescent="0.25">
      <c r="A2" s="35"/>
      <c r="B2" s="247" t="s">
        <v>324</v>
      </c>
      <c r="C2" s="248"/>
      <c r="D2" s="248"/>
      <c r="E2" s="248"/>
      <c r="F2" s="248"/>
      <c r="G2" s="248"/>
      <c r="H2" s="2"/>
      <c r="I2" s="2" t="s">
        <v>326</v>
      </c>
      <c r="J2" s="2">
        <v>117.29</v>
      </c>
      <c r="K2" s="2" t="s">
        <v>327</v>
      </c>
      <c r="L2" s="35"/>
      <c r="M2" s="35"/>
      <c r="N2" s="35"/>
      <c r="O2" s="35"/>
      <c r="P2" s="35"/>
      <c r="Q2" s="35"/>
      <c r="R2" s="35"/>
      <c r="S2" s="35"/>
      <c r="T2" s="35"/>
      <c r="U2" s="35"/>
      <c r="V2" s="35"/>
      <c r="W2" s="35"/>
      <c r="X2" s="35"/>
      <c r="Y2" s="35"/>
      <c r="Z2" s="35"/>
    </row>
    <row r="3" spans="1:26" ht="12.75" customHeight="1" x14ac:dyDescent="0.25">
      <c r="A3" s="35"/>
      <c r="B3" s="82" t="s">
        <v>330</v>
      </c>
      <c r="C3" s="243" t="s">
        <v>334</v>
      </c>
      <c r="D3" s="244"/>
      <c r="E3" s="243" t="s">
        <v>335</v>
      </c>
      <c r="F3" s="246"/>
      <c r="G3" s="244"/>
      <c r="H3" s="2"/>
      <c r="I3" s="2" t="s">
        <v>338</v>
      </c>
      <c r="J3" s="84">
        <v>10.156079999999999</v>
      </c>
      <c r="K3" s="2" t="s">
        <v>340</v>
      </c>
      <c r="L3" s="35"/>
      <c r="M3" s="35"/>
      <c r="N3" s="35"/>
      <c r="O3" s="35"/>
      <c r="P3" s="35"/>
      <c r="Q3" s="35"/>
      <c r="R3" s="35"/>
      <c r="S3" s="35"/>
      <c r="T3" s="35"/>
      <c r="U3" s="35"/>
      <c r="V3" s="35"/>
      <c r="W3" s="35"/>
      <c r="X3" s="35"/>
      <c r="Y3" s="35"/>
      <c r="Z3" s="35"/>
    </row>
    <row r="4" spans="1:26" ht="12.75" customHeight="1" x14ac:dyDescent="0.25">
      <c r="A4" s="35"/>
      <c r="B4" s="85" t="s">
        <v>342</v>
      </c>
      <c r="C4" s="86" t="s">
        <v>344</v>
      </c>
      <c r="D4" s="87" t="s">
        <v>345</v>
      </c>
      <c r="E4" s="2" t="s">
        <v>347</v>
      </c>
      <c r="F4" s="88" t="s">
        <v>348</v>
      </c>
      <c r="G4" s="89" t="s">
        <v>349</v>
      </c>
      <c r="H4" s="2"/>
      <c r="I4" s="2" t="s">
        <v>352</v>
      </c>
      <c r="J4" s="2">
        <v>161.30000000000001</v>
      </c>
      <c r="K4" s="2" t="s">
        <v>353</v>
      </c>
      <c r="L4" s="35"/>
      <c r="M4" s="35"/>
      <c r="N4" s="35"/>
      <c r="O4" s="35"/>
      <c r="P4" s="35"/>
      <c r="Q4" s="35"/>
      <c r="R4" s="35"/>
      <c r="S4" s="35"/>
      <c r="T4" s="35"/>
      <c r="U4" s="35"/>
      <c r="V4" s="35"/>
      <c r="W4" s="35"/>
      <c r="X4" s="35"/>
      <c r="Y4" s="35"/>
      <c r="Z4" s="35"/>
    </row>
    <row r="5" spans="1:26" ht="12.75" customHeight="1" x14ac:dyDescent="0.25">
      <c r="A5" s="35"/>
      <c r="B5" s="85"/>
      <c r="C5" s="86">
        <v>50.188600000000001</v>
      </c>
      <c r="D5" s="87">
        <v>42.139799999999994</v>
      </c>
      <c r="E5" s="86">
        <f>C5-D5</f>
        <v>8.0488000000000071</v>
      </c>
      <c r="F5" s="90">
        <v>944.04375200000095</v>
      </c>
      <c r="G5" s="91">
        <v>92.102208000000005</v>
      </c>
      <c r="H5" s="92"/>
      <c r="I5" s="93" t="s">
        <v>357</v>
      </c>
      <c r="J5" s="94">
        <v>24.952997</v>
      </c>
      <c r="K5" s="93" t="s">
        <v>358</v>
      </c>
      <c r="L5" s="35"/>
      <c r="M5" s="35"/>
      <c r="N5" s="35"/>
      <c r="O5" s="35"/>
      <c r="P5" s="35"/>
      <c r="Q5" s="35"/>
      <c r="R5" s="35"/>
      <c r="S5" s="35"/>
      <c r="T5" s="35"/>
      <c r="U5" s="35"/>
      <c r="V5" s="35"/>
      <c r="W5" s="35"/>
      <c r="X5" s="35"/>
      <c r="Y5" s="35"/>
      <c r="Z5" s="35"/>
    </row>
    <row r="6" spans="1:26" ht="12.75" customHeight="1" x14ac:dyDescent="0.25">
      <c r="A6" s="35"/>
      <c r="B6" s="85" t="s">
        <v>360</v>
      </c>
      <c r="C6" s="86" t="s">
        <v>344</v>
      </c>
      <c r="D6" s="87" t="s">
        <v>345</v>
      </c>
      <c r="E6" s="2" t="s">
        <v>347</v>
      </c>
      <c r="F6" s="88" t="s">
        <v>348</v>
      </c>
      <c r="G6" s="89" t="s">
        <v>349</v>
      </c>
      <c r="H6" s="92"/>
      <c r="I6" s="93"/>
      <c r="J6" s="94"/>
      <c r="K6" s="93"/>
      <c r="L6" s="35"/>
      <c r="M6" s="35"/>
      <c r="N6" s="35"/>
      <c r="O6" s="35"/>
      <c r="P6" s="35"/>
      <c r="Q6" s="35"/>
      <c r="R6" s="35"/>
      <c r="S6" s="35"/>
      <c r="T6" s="35"/>
      <c r="U6" s="35"/>
      <c r="V6" s="35"/>
      <c r="W6" s="35"/>
      <c r="X6" s="35"/>
      <c r="Y6" s="35"/>
      <c r="Z6" s="35"/>
    </row>
    <row r="7" spans="1:26" ht="12.75" customHeight="1" x14ac:dyDescent="0.25">
      <c r="A7" s="35"/>
      <c r="B7" s="95"/>
      <c r="C7" s="86">
        <v>23.734400000000001</v>
      </c>
      <c r="D7" s="87">
        <v>20.918199999999999</v>
      </c>
      <c r="E7" s="86">
        <f>C7-D7</f>
        <v>2.816200000000002</v>
      </c>
      <c r="F7" s="90">
        <v>330.31209800000028</v>
      </c>
      <c r="G7" s="91">
        <v>35.8992</v>
      </c>
      <c r="H7" s="92"/>
      <c r="I7" s="93"/>
      <c r="J7" s="94"/>
      <c r="K7" s="93"/>
      <c r="L7" s="35"/>
      <c r="M7" s="35"/>
      <c r="N7" s="35"/>
      <c r="O7" s="35"/>
      <c r="P7" s="35"/>
      <c r="Q7" s="35"/>
      <c r="R7" s="35"/>
      <c r="S7" s="35"/>
      <c r="T7" s="35"/>
      <c r="U7" s="35"/>
      <c r="V7" s="35"/>
      <c r="W7" s="35"/>
      <c r="X7" s="35"/>
      <c r="Y7" s="35"/>
      <c r="Z7" s="35"/>
    </row>
    <row r="8" spans="1:26" ht="12.75" customHeight="1" x14ac:dyDescent="0.25">
      <c r="A8" s="35"/>
      <c r="B8" s="96" t="s">
        <v>364</v>
      </c>
      <c r="C8" s="243"/>
      <c r="D8" s="244"/>
      <c r="E8" s="245"/>
      <c r="F8" s="246"/>
      <c r="G8" s="244"/>
      <c r="H8" s="2"/>
      <c r="I8" s="2"/>
      <c r="J8" s="2"/>
      <c r="K8" s="2"/>
      <c r="L8" s="35"/>
      <c r="M8" s="35"/>
      <c r="N8" s="35"/>
      <c r="O8" s="35"/>
      <c r="P8" s="35"/>
      <c r="Q8" s="35"/>
      <c r="R8" s="35"/>
      <c r="S8" s="35"/>
      <c r="T8" s="35"/>
      <c r="U8" s="35"/>
      <c r="V8" s="35"/>
      <c r="W8" s="35"/>
      <c r="X8" s="35"/>
      <c r="Y8" s="35"/>
      <c r="Z8" s="35"/>
    </row>
    <row r="9" spans="1:26" ht="12.75" customHeight="1" x14ac:dyDescent="0.25">
      <c r="A9" s="35"/>
      <c r="B9" s="85" t="s">
        <v>372</v>
      </c>
      <c r="C9" s="86" t="s">
        <v>344</v>
      </c>
      <c r="D9" s="87" t="s">
        <v>345</v>
      </c>
      <c r="E9" s="2" t="s">
        <v>347</v>
      </c>
      <c r="F9" s="88" t="s">
        <v>348</v>
      </c>
      <c r="G9" s="89" t="s">
        <v>349</v>
      </c>
      <c r="H9" s="2"/>
      <c r="I9" s="2"/>
      <c r="J9" s="2"/>
      <c r="K9" s="2"/>
      <c r="L9" s="35"/>
      <c r="M9" s="35"/>
      <c r="N9" s="35"/>
      <c r="O9" s="35"/>
      <c r="P9" s="35"/>
      <c r="Q9" s="35"/>
      <c r="R9" s="35"/>
      <c r="S9" s="35"/>
      <c r="T9" s="35"/>
      <c r="U9" s="35"/>
      <c r="V9" s="35"/>
      <c r="W9" s="35"/>
      <c r="X9" s="35"/>
      <c r="Y9" s="35"/>
      <c r="Z9" s="35"/>
    </row>
    <row r="10" spans="1:26" ht="12.75" customHeight="1" x14ac:dyDescent="0.25">
      <c r="A10" s="35"/>
      <c r="B10" s="97"/>
      <c r="C10" s="98">
        <v>79</v>
      </c>
      <c r="D10" s="99">
        <v>69</v>
      </c>
      <c r="E10" s="98">
        <f>C10-D10</f>
        <v>10</v>
      </c>
      <c r="F10" s="100">
        <f>E10*$J$2</f>
        <v>1172.9000000000001</v>
      </c>
      <c r="G10" s="101">
        <f>E10*$J$3</f>
        <v>101.5608</v>
      </c>
      <c r="H10" s="2"/>
      <c r="I10" s="2"/>
      <c r="J10" s="2"/>
      <c r="K10" s="2"/>
      <c r="L10" s="35"/>
      <c r="M10" s="35"/>
      <c r="N10" s="35"/>
      <c r="O10" s="35"/>
      <c r="P10" s="35"/>
      <c r="Q10" s="35"/>
      <c r="R10" s="35"/>
      <c r="S10" s="35"/>
      <c r="T10" s="35"/>
      <c r="U10" s="35"/>
      <c r="V10" s="35"/>
      <c r="W10" s="35"/>
      <c r="X10" s="35"/>
      <c r="Y10" s="35"/>
      <c r="Z10" s="35"/>
    </row>
    <row r="11" spans="1:26" ht="12.75" customHeight="1" x14ac:dyDescent="0.25">
      <c r="A11" s="35"/>
      <c r="B11" s="249" t="s">
        <v>380</v>
      </c>
      <c r="C11" s="248"/>
      <c r="D11" s="248"/>
      <c r="E11" s="248"/>
      <c r="F11" s="248"/>
      <c r="G11" s="248"/>
      <c r="H11" s="248"/>
      <c r="I11" s="2"/>
      <c r="J11" s="2"/>
      <c r="K11" s="2"/>
      <c r="L11" s="35"/>
      <c r="M11" s="35"/>
      <c r="N11" s="35"/>
      <c r="O11" s="35"/>
      <c r="P11" s="35"/>
      <c r="Q11" s="35"/>
      <c r="R11" s="35"/>
      <c r="S11" s="35"/>
      <c r="T11" s="35"/>
      <c r="U11" s="35"/>
      <c r="V11" s="35"/>
      <c r="W11" s="35"/>
      <c r="X11" s="35"/>
      <c r="Y11" s="35"/>
      <c r="Z11" s="35"/>
    </row>
    <row r="12" spans="1:26" ht="12.75" customHeight="1" x14ac:dyDescent="0.25">
      <c r="A12" s="35"/>
      <c r="B12" s="96" t="s">
        <v>383</v>
      </c>
      <c r="C12" s="243" t="s">
        <v>334</v>
      </c>
      <c r="D12" s="244"/>
      <c r="E12" s="243" t="s">
        <v>335</v>
      </c>
      <c r="F12" s="246"/>
      <c r="G12" s="244"/>
      <c r="H12" s="2"/>
      <c r="I12" s="2"/>
      <c r="J12" s="2"/>
      <c r="K12" s="2"/>
      <c r="L12" s="35"/>
      <c r="M12" s="35"/>
      <c r="N12" s="35"/>
      <c r="O12" s="35"/>
      <c r="P12" s="35"/>
      <c r="Q12" s="35"/>
      <c r="R12" s="35"/>
      <c r="S12" s="35"/>
      <c r="T12" s="35"/>
      <c r="U12" s="35"/>
      <c r="V12" s="35"/>
      <c r="W12" s="35"/>
      <c r="X12" s="35"/>
      <c r="Y12" s="35"/>
      <c r="Z12" s="35"/>
    </row>
    <row r="13" spans="1:26" ht="12.75" customHeight="1" x14ac:dyDescent="0.25">
      <c r="A13" s="35"/>
      <c r="B13" s="95" t="s">
        <v>384</v>
      </c>
      <c r="C13" s="86" t="s">
        <v>344</v>
      </c>
      <c r="D13" s="87" t="s">
        <v>345</v>
      </c>
      <c r="E13" s="2" t="s">
        <v>347</v>
      </c>
      <c r="F13" s="88" t="s">
        <v>348</v>
      </c>
      <c r="G13" s="89" t="s">
        <v>349</v>
      </c>
      <c r="H13" s="2"/>
      <c r="I13" s="2"/>
      <c r="J13" s="2"/>
      <c r="K13" s="2"/>
      <c r="L13" s="35"/>
      <c r="M13" s="35"/>
      <c r="N13" s="35"/>
      <c r="O13" s="35"/>
      <c r="P13" s="35"/>
      <c r="Q13" s="35"/>
      <c r="R13" s="35"/>
      <c r="S13" s="35"/>
      <c r="T13" s="35"/>
      <c r="U13" s="35"/>
      <c r="V13" s="35"/>
      <c r="W13" s="35"/>
      <c r="X13" s="35"/>
      <c r="Y13" s="35"/>
      <c r="Z13" s="35"/>
    </row>
    <row r="14" spans="1:26" ht="12.75" customHeight="1" x14ac:dyDescent="0.25">
      <c r="A14" s="35"/>
      <c r="B14" s="97"/>
      <c r="C14" s="98">
        <v>75.882599999999996</v>
      </c>
      <c r="D14" s="99">
        <v>69.871800000000007</v>
      </c>
      <c r="E14" s="105">
        <f>C14-D14</f>
        <v>6.010799999999989</v>
      </c>
      <c r="F14" s="100">
        <f>E14*$J$4</f>
        <v>969.54203999999834</v>
      </c>
      <c r="G14" s="101">
        <v>151.73338259999994</v>
      </c>
      <c r="H14" s="35"/>
      <c r="I14" s="35"/>
      <c r="J14" s="35"/>
      <c r="K14" s="35"/>
      <c r="L14" s="35"/>
      <c r="M14" s="35"/>
      <c r="N14" s="35"/>
      <c r="O14" s="35"/>
      <c r="P14" s="35"/>
      <c r="Q14" s="35"/>
      <c r="R14" s="35"/>
      <c r="S14" s="35"/>
      <c r="T14" s="35"/>
      <c r="U14" s="35"/>
      <c r="V14" s="35"/>
      <c r="W14" s="35"/>
      <c r="X14" s="35"/>
      <c r="Y14" s="35"/>
      <c r="Z14" s="35"/>
    </row>
    <row r="15" spans="1:26" ht="12.75" customHeight="1" x14ac:dyDescent="0.25">
      <c r="A15" s="35"/>
      <c r="B15" s="96" t="s">
        <v>385</v>
      </c>
      <c r="C15" s="243"/>
      <c r="D15" s="244"/>
      <c r="E15" s="245"/>
      <c r="F15" s="246"/>
      <c r="G15" s="244"/>
      <c r="H15" s="35"/>
      <c r="I15" s="35"/>
      <c r="J15" s="35"/>
      <c r="K15" s="35"/>
      <c r="L15" s="35"/>
      <c r="M15" s="35"/>
      <c r="N15" s="35"/>
      <c r="O15" s="35"/>
      <c r="P15" s="35"/>
      <c r="Q15" s="35"/>
      <c r="R15" s="35"/>
      <c r="S15" s="35"/>
      <c r="T15" s="35"/>
      <c r="U15" s="35"/>
      <c r="V15" s="35"/>
      <c r="W15" s="35"/>
      <c r="X15" s="35"/>
      <c r="Y15" s="35"/>
      <c r="Z15" s="35"/>
    </row>
    <row r="16" spans="1:26" ht="12.75" customHeight="1" x14ac:dyDescent="0.25">
      <c r="A16" s="35"/>
      <c r="B16" s="95" t="s">
        <v>384</v>
      </c>
      <c r="C16" s="86" t="s">
        <v>344</v>
      </c>
      <c r="D16" s="87" t="s">
        <v>345</v>
      </c>
      <c r="E16" s="2" t="s">
        <v>347</v>
      </c>
      <c r="F16" s="88" t="s">
        <v>348</v>
      </c>
      <c r="G16" s="89" t="s">
        <v>349</v>
      </c>
      <c r="H16" s="35"/>
      <c r="I16" s="35"/>
      <c r="J16" s="35"/>
      <c r="K16" s="35"/>
      <c r="L16" s="35"/>
      <c r="M16" s="35"/>
      <c r="N16" s="35"/>
      <c r="O16" s="35"/>
      <c r="P16" s="35"/>
      <c r="Q16" s="35"/>
      <c r="R16" s="35"/>
      <c r="S16" s="35"/>
      <c r="T16" s="35"/>
      <c r="U16" s="35"/>
      <c r="V16" s="35"/>
      <c r="W16" s="35"/>
      <c r="X16" s="35"/>
      <c r="Y16" s="35"/>
      <c r="Z16" s="35"/>
    </row>
    <row r="17" spans="1:26" ht="12.75" customHeight="1" x14ac:dyDescent="0.25">
      <c r="A17" s="35"/>
      <c r="B17" s="97"/>
      <c r="C17" s="98">
        <v>83</v>
      </c>
      <c r="D17" s="99">
        <v>76</v>
      </c>
      <c r="E17" s="105">
        <f>C17-D17</f>
        <v>7</v>
      </c>
      <c r="F17" s="100">
        <f>E17*$J$4</f>
        <v>1129.1000000000001</v>
      </c>
      <c r="G17" s="101">
        <f>E17*$J$5</f>
        <v>174.67097899999999</v>
      </c>
      <c r="H17" s="35"/>
      <c r="I17" s="35"/>
      <c r="J17" s="35"/>
      <c r="K17" s="35"/>
      <c r="L17" s="35"/>
      <c r="M17" s="35"/>
      <c r="N17" s="35"/>
      <c r="O17" s="35"/>
      <c r="P17" s="35"/>
      <c r="Q17" s="35"/>
      <c r="R17" s="35"/>
      <c r="S17" s="35"/>
      <c r="T17" s="35"/>
      <c r="U17" s="35"/>
      <c r="V17" s="35"/>
      <c r="W17" s="35"/>
      <c r="X17" s="35"/>
      <c r="Y17" s="35"/>
      <c r="Z17" s="35"/>
    </row>
    <row r="18" spans="1:26" ht="12.75" customHeight="1" x14ac:dyDescent="0.2">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ht="12.75" customHeight="1" x14ac:dyDescent="0.2">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ht="12.75" customHeight="1" x14ac:dyDescent="0.2">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ht="12.75" customHeight="1" x14ac:dyDescent="0.2">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12.75" customHeight="1" x14ac:dyDescent="0.2">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ht="12.75" customHeight="1" x14ac:dyDescent="0.2">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ht="12.75" customHeight="1" x14ac:dyDescent="0.2">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12.75" customHeight="1" x14ac:dyDescent="0.2">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12.75" customHeight="1" x14ac:dyDescent="0.2">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2.75" customHeight="1" x14ac:dyDescent="0.2">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2.75" customHeight="1" x14ac:dyDescent="0.2">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ht="12.75" customHeight="1" x14ac:dyDescent="0.2">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12.75" customHeight="1" x14ac:dyDescent="0.2">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12.75" customHeight="1" x14ac:dyDescent="0.2">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ht="12.75" customHeight="1" x14ac:dyDescent="0.2">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2.75" customHeight="1" x14ac:dyDescent="0.2">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2.75" customHeight="1" x14ac:dyDescent="0.2">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2.75" customHeight="1" x14ac:dyDescent="0.2">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2.75" customHeight="1" x14ac:dyDescent="0.2">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2.75" customHeight="1" x14ac:dyDescent="0.2">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2.75" customHeight="1" x14ac:dyDescent="0.2">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2.75" customHeight="1" x14ac:dyDescent="0.2">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2.75" customHeight="1" x14ac:dyDescent="0.2">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2.75" customHeight="1" x14ac:dyDescent="0.2">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2.75" customHeight="1" x14ac:dyDescent="0.2">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2.75" customHeight="1" x14ac:dyDescent="0.2">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2.75" customHeight="1" x14ac:dyDescent="0.2">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2.75" customHeight="1" x14ac:dyDescent="0.2">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2.75"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2.75" customHeight="1" x14ac:dyDescent="0.2">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2.75" customHeight="1" x14ac:dyDescent="0.2">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2.75"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2.75"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2.75" customHeight="1" x14ac:dyDescent="0.2">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2.75" customHeight="1" x14ac:dyDescent="0.2">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2.75" customHeight="1" x14ac:dyDescent="0.2">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2.75" customHeight="1" x14ac:dyDescent="0.2">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2.75" customHeight="1" x14ac:dyDescent="0.2">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2.75" customHeight="1" x14ac:dyDescent="0.2">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2.75" customHeight="1" x14ac:dyDescent="0.2">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2.75" customHeight="1" x14ac:dyDescent="0.2">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2.75" customHeight="1" x14ac:dyDescent="0.2">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2.75" customHeight="1" x14ac:dyDescent="0.2">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2.75" customHeight="1" x14ac:dyDescent="0.2">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2.75" customHeight="1" x14ac:dyDescent="0.2">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2.75" customHeight="1" x14ac:dyDescent="0.2">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2.75" customHeight="1" x14ac:dyDescent="0.2">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2.75" customHeight="1" x14ac:dyDescent="0.2">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2.75" customHeigh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2.75" customHeight="1" x14ac:dyDescent="0.2">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2.75" customHeight="1" x14ac:dyDescent="0.2">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2.75" customHeight="1" x14ac:dyDescent="0.2">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2.75" customHeight="1" x14ac:dyDescent="0.2">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2.75" customHeight="1" x14ac:dyDescent="0.2">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2.75" customHeight="1" x14ac:dyDescent="0.2">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2.75" customHeight="1" x14ac:dyDescent="0.2">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2.75" customHeight="1" x14ac:dyDescent="0.2">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2.75" customHeight="1" x14ac:dyDescent="0.2">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2.75" customHeight="1"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2.75" customHeight="1"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2.75" customHeight="1"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2.75" customHeight="1"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2.75"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2.75" customHeight="1" x14ac:dyDescent="0.2">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2.75" customHeight="1" x14ac:dyDescent="0.2">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2.75" customHeight="1" x14ac:dyDescent="0.2">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2.75" customHeight="1" x14ac:dyDescent="0.2">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2.75" customHeight="1" x14ac:dyDescent="0.2">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2.75" customHeight="1" x14ac:dyDescent="0.2">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2.75" customHeight="1" x14ac:dyDescent="0.2">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2.75" customHeight="1" x14ac:dyDescent="0.2">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2.75" customHeight="1" x14ac:dyDescent="0.2">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2.75" customHeight="1" x14ac:dyDescent="0.2">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2.75" customHeight="1" x14ac:dyDescent="0.2">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2.75" customHeight="1" x14ac:dyDescent="0.2">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2.75" customHeight="1" x14ac:dyDescent="0.2">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2.75" customHeight="1" x14ac:dyDescent="0.2">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2.75"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2.75"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2.75" customHeight="1" x14ac:dyDescent="0.2">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2.75" customHeight="1" x14ac:dyDescent="0.2">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2.75" customHeight="1" x14ac:dyDescent="0.2">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2.75" customHeight="1" x14ac:dyDescent="0.2">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2.75" customHeight="1" x14ac:dyDescent="0.2">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2.75" customHeight="1" x14ac:dyDescent="0.2">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2.75" customHeight="1" x14ac:dyDescent="0.2">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2.75" customHeight="1" x14ac:dyDescent="0.2">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2.75" customHeight="1" x14ac:dyDescent="0.2">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2.75" customHeight="1" x14ac:dyDescent="0.2">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2.75" customHeight="1" x14ac:dyDescent="0.2">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2.75" customHeight="1" x14ac:dyDescent="0.2">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2.75" customHeight="1" x14ac:dyDescent="0.2">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2.75" customHeight="1"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2.75" customHeight="1"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2.75" customHeight="1"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2.75" customHeight="1"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2.75" customHeight="1"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2.75" customHeight="1"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2.75" customHeight="1" x14ac:dyDescent="0.2">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2.75" customHeight="1" x14ac:dyDescent="0.2">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2.75" customHeight="1" x14ac:dyDescent="0.2">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2.75" customHeight="1" x14ac:dyDescent="0.2">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2.75" customHeight="1" x14ac:dyDescent="0.2">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2.75" customHeight="1" x14ac:dyDescent="0.2">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2.75" customHeight="1" x14ac:dyDescent="0.2">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2.75" customHeight="1" x14ac:dyDescent="0.2">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2.75" customHeight="1" x14ac:dyDescent="0.2">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2.75" customHeight="1" x14ac:dyDescent="0.2">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2.75" customHeight="1" x14ac:dyDescent="0.2">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2.75" customHeight="1" x14ac:dyDescent="0.2">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2.75" customHeight="1" x14ac:dyDescent="0.2">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2.75" customHeight="1" x14ac:dyDescent="0.2">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2.75" customHeight="1" x14ac:dyDescent="0.2">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2.75" customHeight="1" x14ac:dyDescent="0.2">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2.75" customHeight="1" x14ac:dyDescent="0.2">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2.75" customHeight="1" x14ac:dyDescent="0.2">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2.75" customHeight="1" x14ac:dyDescent="0.2">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2.75" customHeight="1" x14ac:dyDescent="0.2">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2.75" customHeight="1"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2.75" customHeight="1" x14ac:dyDescent="0.2">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2.75" customHeight="1" x14ac:dyDescent="0.2">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2.75" customHeight="1"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2.75" customHeight="1"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2.75" customHeight="1" x14ac:dyDescent="0.2">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2.75" customHeight="1" x14ac:dyDescent="0.2">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2.75" customHeight="1" x14ac:dyDescent="0.2">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2.75" customHeight="1" x14ac:dyDescent="0.2">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2.75" customHeight="1" x14ac:dyDescent="0.2">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2.75" customHeight="1" x14ac:dyDescent="0.2">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2.75" customHeight="1" x14ac:dyDescent="0.2">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2.75" customHeight="1" x14ac:dyDescent="0.2">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2.75" customHeight="1" x14ac:dyDescent="0.2">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2.75" customHeight="1" x14ac:dyDescent="0.2">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2.75" customHeight="1" x14ac:dyDescent="0.2">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2.75" customHeight="1" x14ac:dyDescent="0.2">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2.75" customHeight="1" x14ac:dyDescent="0.2">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2.75" customHeight="1" x14ac:dyDescent="0.2">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2.75" customHeight="1" x14ac:dyDescent="0.2">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2.75" customHeight="1" x14ac:dyDescent="0.2">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2.75" customHeight="1" x14ac:dyDescent="0.2">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2.75" customHeight="1" x14ac:dyDescent="0.2">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2.75" customHeight="1" x14ac:dyDescent="0.2">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2.75" customHeight="1" x14ac:dyDescent="0.2">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2.75" customHeight="1" x14ac:dyDescent="0.2">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2.75" customHeight="1" x14ac:dyDescent="0.2">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2.75" customHeight="1" x14ac:dyDescent="0.2">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2.75" customHeight="1" x14ac:dyDescent="0.2">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2.75" customHeight="1" x14ac:dyDescent="0.2">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2.75" customHeight="1" x14ac:dyDescent="0.2">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2.75" customHeight="1" x14ac:dyDescent="0.2">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2.75" customHeight="1" x14ac:dyDescent="0.2">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2.75" customHeight="1" x14ac:dyDescent="0.2">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2.75" customHeight="1" x14ac:dyDescent="0.2">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2.75" customHeight="1" x14ac:dyDescent="0.2">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2.75" customHeight="1" x14ac:dyDescent="0.2">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2.75" customHeight="1" x14ac:dyDescent="0.2">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2.75" customHeight="1" x14ac:dyDescent="0.2">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2.75" customHeight="1" x14ac:dyDescent="0.2">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2.75" customHeight="1" x14ac:dyDescent="0.2">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2.75" customHeight="1" x14ac:dyDescent="0.2">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2.75" customHeight="1" x14ac:dyDescent="0.2">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2.75" customHeight="1" x14ac:dyDescent="0.2">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2.75" customHeight="1" x14ac:dyDescent="0.2">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2.75" customHeight="1" x14ac:dyDescent="0.2">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2.75" customHeight="1" x14ac:dyDescent="0.2">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2.75" customHeight="1" x14ac:dyDescent="0.2">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2.75" customHeight="1" x14ac:dyDescent="0.2">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2.75" customHeight="1" x14ac:dyDescent="0.2">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2.75" customHeight="1" x14ac:dyDescent="0.2">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2.75" customHeight="1" x14ac:dyDescent="0.2">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2.75" customHeight="1" x14ac:dyDescent="0.2">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2.75" customHeight="1" x14ac:dyDescent="0.2">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2.75" customHeight="1" x14ac:dyDescent="0.2">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2.75" customHeight="1" x14ac:dyDescent="0.2">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2.75" customHeight="1" x14ac:dyDescent="0.2">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2.75" customHeight="1" x14ac:dyDescent="0.2">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2.75" customHeight="1" x14ac:dyDescent="0.2">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2.75" customHeight="1" x14ac:dyDescent="0.2">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2.75" customHeight="1" x14ac:dyDescent="0.2">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2.75" customHeight="1" x14ac:dyDescent="0.2">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2.75" customHeight="1" x14ac:dyDescent="0.2">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2.75" customHeight="1" x14ac:dyDescent="0.2">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2.75" customHeight="1" x14ac:dyDescent="0.2">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2.75" customHeight="1" x14ac:dyDescent="0.2">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2.75" customHeight="1" x14ac:dyDescent="0.2">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2.75" customHeight="1" x14ac:dyDescent="0.2">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2.75" customHeight="1" x14ac:dyDescent="0.2">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2.75" customHeight="1" x14ac:dyDescent="0.2">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2.75" customHeight="1" x14ac:dyDescent="0.2">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2.75" customHeight="1" x14ac:dyDescent="0.2">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2.75" customHeight="1" x14ac:dyDescent="0.2">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2.75" customHeight="1" x14ac:dyDescent="0.2">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2.75" customHeight="1" x14ac:dyDescent="0.2">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2.75" customHeight="1" x14ac:dyDescent="0.2">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2.75" customHeight="1" x14ac:dyDescent="0.2">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2.75" customHeight="1" x14ac:dyDescent="0.2">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2.75" customHeight="1" x14ac:dyDescent="0.2">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2.75" customHeight="1" x14ac:dyDescent="0.2">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2.75" customHeight="1" x14ac:dyDescent="0.2">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2.75" customHeight="1" x14ac:dyDescent="0.2">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2.75" customHeight="1" x14ac:dyDescent="0.2">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2.75" customHeight="1" x14ac:dyDescent="0.2">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2.75" customHeight="1" x14ac:dyDescent="0.2">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2.75" customHeight="1" x14ac:dyDescent="0.2">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2.75" customHeight="1" x14ac:dyDescent="0.2">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2.75" customHeight="1" x14ac:dyDescent="0.2">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2.75" customHeight="1" x14ac:dyDescent="0.2">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2.75" customHeight="1" x14ac:dyDescent="0.2">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2.75" customHeight="1" x14ac:dyDescent="0.2">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2.75" customHeight="1" x14ac:dyDescent="0.2">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2.75" customHeight="1" x14ac:dyDescent="0.2">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2.75" customHeight="1" x14ac:dyDescent="0.2">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2.75" customHeight="1" x14ac:dyDescent="0.2">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2.75" customHeight="1" x14ac:dyDescent="0.2">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2.75" customHeight="1" x14ac:dyDescent="0.2">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2.75" customHeight="1" x14ac:dyDescent="0.2">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2.75" customHeight="1" x14ac:dyDescent="0.2">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2.75" customHeight="1" x14ac:dyDescent="0.2">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2.75" customHeight="1" x14ac:dyDescent="0.2">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2.75" customHeight="1" x14ac:dyDescent="0.2">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2.75" customHeight="1" x14ac:dyDescent="0.2">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2.75" customHeight="1" x14ac:dyDescent="0.2">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2.75" customHeight="1" x14ac:dyDescent="0.2">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2.75" customHeight="1" x14ac:dyDescent="0.2">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2.75" customHeight="1" x14ac:dyDescent="0.2">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2.75" customHeight="1" x14ac:dyDescent="0.2">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2.75" customHeight="1" x14ac:dyDescent="0.2">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2.75" customHeight="1" x14ac:dyDescent="0.2">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2.75" customHeight="1" x14ac:dyDescent="0.2">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2.75" customHeight="1" x14ac:dyDescent="0.2">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2.75" customHeight="1" x14ac:dyDescent="0.2">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2.75" customHeight="1" x14ac:dyDescent="0.2">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2.75" customHeight="1" x14ac:dyDescent="0.2">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2.75" customHeight="1" x14ac:dyDescent="0.2">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2.75" customHeight="1" x14ac:dyDescent="0.2">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2.75" customHeight="1" x14ac:dyDescent="0.2">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2.75" customHeight="1" x14ac:dyDescent="0.2">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2.75" customHeight="1" x14ac:dyDescent="0.2">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2.75" customHeight="1" x14ac:dyDescent="0.2">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2.75" customHeight="1" x14ac:dyDescent="0.2">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2.75" customHeight="1" x14ac:dyDescent="0.2">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2.75" customHeight="1" x14ac:dyDescent="0.2">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2.75" customHeight="1" x14ac:dyDescent="0.2">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2.75" customHeight="1" x14ac:dyDescent="0.2">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2.75" customHeight="1" x14ac:dyDescent="0.2">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2.75" customHeight="1" x14ac:dyDescent="0.2">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2.75" customHeight="1" x14ac:dyDescent="0.2">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2.75" customHeight="1" x14ac:dyDescent="0.2">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2.75" customHeight="1" x14ac:dyDescent="0.2">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2.75" customHeight="1" x14ac:dyDescent="0.2">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2.75" customHeight="1" x14ac:dyDescent="0.2">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2.75" customHeight="1" x14ac:dyDescent="0.2">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2.75" customHeight="1" x14ac:dyDescent="0.2">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2.75" customHeight="1" x14ac:dyDescent="0.2">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2.75" customHeight="1" x14ac:dyDescent="0.2">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2.75" customHeight="1" x14ac:dyDescent="0.2">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2.75" customHeight="1" x14ac:dyDescent="0.2">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2.75" customHeight="1" x14ac:dyDescent="0.2">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2.75" customHeight="1" x14ac:dyDescent="0.2">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2.75" customHeight="1" x14ac:dyDescent="0.2">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2.75" customHeight="1" x14ac:dyDescent="0.2">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2.75" customHeight="1" x14ac:dyDescent="0.2">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2.75" customHeight="1" x14ac:dyDescent="0.2">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2.75" customHeight="1" x14ac:dyDescent="0.2">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2.75" customHeight="1" x14ac:dyDescent="0.2">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2.75" customHeight="1" x14ac:dyDescent="0.2">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2.75" customHeight="1" x14ac:dyDescent="0.2">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2.75" customHeight="1" x14ac:dyDescent="0.2">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2.75" customHeight="1" x14ac:dyDescent="0.2">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2.75" customHeight="1" x14ac:dyDescent="0.2">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2.75" customHeight="1" x14ac:dyDescent="0.2">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2.75" customHeight="1" x14ac:dyDescent="0.2">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2.75" customHeight="1" x14ac:dyDescent="0.2">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2.75" customHeight="1" x14ac:dyDescent="0.2">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2.75" customHeight="1" x14ac:dyDescent="0.2">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2.75" customHeight="1" x14ac:dyDescent="0.2">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2.75" customHeight="1" x14ac:dyDescent="0.2">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2.75" customHeight="1" x14ac:dyDescent="0.2">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2.75" customHeight="1" x14ac:dyDescent="0.2">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2.75" customHeight="1" x14ac:dyDescent="0.2">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2.75" customHeight="1" x14ac:dyDescent="0.2">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2.75" customHeight="1" x14ac:dyDescent="0.2">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2.75" customHeight="1" x14ac:dyDescent="0.2">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2.75" customHeight="1" x14ac:dyDescent="0.2">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2.75" customHeight="1" x14ac:dyDescent="0.2">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2.75" customHeight="1" x14ac:dyDescent="0.2">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2.75" customHeight="1" x14ac:dyDescent="0.2">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2.75" customHeight="1" x14ac:dyDescent="0.2">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2.75" customHeight="1" x14ac:dyDescent="0.2">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2.75" customHeight="1" x14ac:dyDescent="0.2">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2.75" customHeight="1" x14ac:dyDescent="0.2">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2.75" customHeight="1" x14ac:dyDescent="0.2">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2.75" customHeight="1" x14ac:dyDescent="0.2">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2.75" customHeight="1" x14ac:dyDescent="0.2">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2.75" customHeight="1" x14ac:dyDescent="0.2">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2.75" customHeight="1" x14ac:dyDescent="0.2">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2.75" customHeight="1" x14ac:dyDescent="0.2">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2.75" customHeight="1" x14ac:dyDescent="0.2">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2.75" customHeight="1" x14ac:dyDescent="0.2">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2.75" customHeight="1" x14ac:dyDescent="0.2">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2.75" customHeight="1" x14ac:dyDescent="0.2">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2.75" customHeight="1" x14ac:dyDescent="0.2">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2.75" customHeight="1" x14ac:dyDescent="0.2">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2.75" customHeight="1" x14ac:dyDescent="0.2">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2.75" customHeight="1" x14ac:dyDescent="0.2">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2.75" customHeight="1" x14ac:dyDescent="0.2">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2.75" customHeight="1" x14ac:dyDescent="0.2">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2.75" customHeight="1" x14ac:dyDescent="0.2">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2.75" customHeight="1" x14ac:dyDescent="0.2">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2.75" customHeight="1" x14ac:dyDescent="0.2">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2.75" customHeight="1" x14ac:dyDescent="0.2">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2.75" customHeight="1" x14ac:dyDescent="0.2">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2.75" customHeight="1" x14ac:dyDescent="0.2">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2.75" customHeight="1" x14ac:dyDescent="0.2">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2.75" customHeight="1" x14ac:dyDescent="0.2">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2.75" customHeight="1" x14ac:dyDescent="0.2">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2.75" customHeight="1" x14ac:dyDescent="0.2">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2.75" customHeight="1" x14ac:dyDescent="0.2">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2.75" customHeight="1" x14ac:dyDescent="0.2">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2.75" customHeight="1" x14ac:dyDescent="0.2">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2.75" customHeight="1" x14ac:dyDescent="0.2">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2.75" customHeight="1" x14ac:dyDescent="0.2">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2.75" customHeight="1" x14ac:dyDescent="0.2">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2.75" customHeight="1" x14ac:dyDescent="0.2">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2.75" customHeight="1" x14ac:dyDescent="0.2">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2.75" customHeight="1" x14ac:dyDescent="0.2">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2.75" customHeight="1" x14ac:dyDescent="0.2">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2.75" customHeight="1" x14ac:dyDescent="0.2">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2.75" customHeight="1" x14ac:dyDescent="0.2">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2.75" customHeight="1" x14ac:dyDescent="0.2">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2.75" customHeight="1" x14ac:dyDescent="0.2">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2.75" customHeight="1" x14ac:dyDescent="0.2">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2.75" customHeight="1" x14ac:dyDescent="0.2">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2.75" customHeight="1" x14ac:dyDescent="0.2">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2.75" customHeight="1" x14ac:dyDescent="0.2">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2.75" customHeight="1" x14ac:dyDescent="0.2">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2.75" customHeight="1" x14ac:dyDescent="0.2">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2.75" customHeight="1" x14ac:dyDescent="0.2">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2.75" customHeight="1" x14ac:dyDescent="0.2">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2.75" customHeight="1" x14ac:dyDescent="0.2">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2.75" customHeight="1" x14ac:dyDescent="0.2">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2.75" customHeight="1" x14ac:dyDescent="0.2">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2.75" customHeight="1" x14ac:dyDescent="0.2">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2.75" customHeight="1" x14ac:dyDescent="0.2">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2.75" customHeight="1" x14ac:dyDescent="0.2">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2.75" customHeight="1" x14ac:dyDescent="0.2">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2.75" customHeight="1" x14ac:dyDescent="0.2">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2.75" customHeight="1" x14ac:dyDescent="0.2">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2.75" customHeight="1" x14ac:dyDescent="0.2">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2.75" customHeight="1" x14ac:dyDescent="0.2">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2.75" customHeight="1" x14ac:dyDescent="0.2">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2.75" customHeight="1" x14ac:dyDescent="0.2">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2.75" customHeight="1" x14ac:dyDescent="0.2">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2.75" customHeight="1" x14ac:dyDescent="0.2">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2.75" customHeight="1" x14ac:dyDescent="0.2">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2.75" customHeight="1" x14ac:dyDescent="0.2">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2.75" customHeight="1" x14ac:dyDescent="0.2">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2.75" customHeight="1" x14ac:dyDescent="0.2">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2.75" customHeight="1" x14ac:dyDescent="0.2">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2.75" customHeight="1" x14ac:dyDescent="0.2">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2.75" customHeight="1" x14ac:dyDescent="0.2">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2.75" customHeight="1" x14ac:dyDescent="0.2">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2.75" customHeight="1" x14ac:dyDescent="0.2">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2.75" customHeight="1" x14ac:dyDescent="0.2">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2.75" customHeight="1" x14ac:dyDescent="0.2">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2.75" customHeight="1" x14ac:dyDescent="0.2">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2.75" customHeight="1" x14ac:dyDescent="0.2">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2.75" customHeight="1" x14ac:dyDescent="0.2">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2.75" customHeight="1" x14ac:dyDescent="0.2">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2.75" customHeight="1" x14ac:dyDescent="0.2">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2.75" customHeight="1" x14ac:dyDescent="0.2">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2.75" customHeight="1" x14ac:dyDescent="0.2">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2.75" customHeight="1" x14ac:dyDescent="0.2">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2.75" customHeight="1" x14ac:dyDescent="0.2">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2.75" customHeight="1" x14ac:dyDescent="0.2">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2.75" customHeight="1" x14ac:dyDescent="0.2">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2.75" customHeight="1" x14ac:dyDescent="0.2">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2.75" customHeight="1" x14ac:dyDescent="0.2">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2.75" customHeight="1" x14ac:dyDescent="0.2">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2.75" customHeight="1" x14ac:dyDescent="0.2">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2.75" customHeight="1" x14ac:dyDescent="0.2">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2.75" customHeight="1" x14ac:dyDescent="0.2">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2.75" customHeight="1" x14ac:dyDescent="0.2">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2.75" customHeight="1" x14ac:dyDescent="0.2">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2.75" customHeight="1" x14ac:dyDescent="0.2">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2.75" customHeight="1" x14ac:dyDescent="0.2">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2.75" customHeight="1" x14ac:dyDescent="0.2">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2.75" customHeight="1" x14ac:dyDescent="0.2">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2.75" customHeight="1" x14ac:dyDescent="0.2">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2.75" customHeight="1" x14ac:dyDescent="0.2">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2.75" customHeight="1" x14ac:dyDescent="0.2">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2.75" customHeight="1" x14ac:dyDescent="0.2">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2.75" customHeight="1" x14ac:dyDescent="0.2">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2.75" customHeight="1" x14ac:dyDescent="0.2">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2.75" customHeight="1" x14ac:dyDescent="0.2">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2.75" customHeight="1" x14ac:dyDescent="0.2">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2.75" customHeight="1" x14ac:dyDescent="0.2">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2.75" customHeight="1" x14ac:dyDescent="0.2">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2.75" customHeight="1" x14ac:dyDescent="0.2">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2.75" customHeight="1" x14ac:dyDescent="0.2">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2.75" customHeight="1" x14ac:dyDescent="0.2">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2.75" customHeight="1" x14ac:dyDescent="0.2">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2.75" customHeight="1" x14ac:dyDescent="0.2">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2.75" customHeight="1" x14ac:dyDescent="0.2">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2.75" customHeight="1" x14ac:dyDescent="0.2">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2.75" customHeight="1" x14ac:dyDescent="0.2">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2.75" customHeight="1" x14ac:dyDescent="0.2">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2.75" customHeight="1" x14ac:dyDescent="0.2">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2.75" customHeight="1" x14ac:dyDescent="0.2">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2.75" customHeight="1" x14ac:dyDescent="0.2">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2.75" customHeight="1" x14ac:dyDescent="0.2">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2.75" customHeight="1" x14ac:dyDescent="0.2">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2.75" customHeight="1" x14ac:dyDescent="0.2">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2.75" customHeight="1" x14ac:dyDescent="0.2">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2.75" customHeight="1" x14ac:dyDescent="0.2">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2.75" customHeight="1" x14ac:dyDescent="0.2">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2.75" customHeight="1" x14ac:dyDescent="0.2">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2.75" customHeight="1" x14ac:dyDescent="0.2">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2.75" customHeight="1" x14ac:dyDescent="0.2">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2.75" customHeight="1" x14ac:dyDescent="0.2">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2.75" customHeight="1" x14ac:dyDescent="0.2">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2.75" customHeight="1" x14ac:dyDescent="0.2">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2.75" customHeight="1" x14ac:dyDescent="0.2">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2.75" customHeight="1" x14ac:dyDescent="0.2">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2.75" customHeight="1" x14ac:dyDescent="0.2">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2.75" customHeight="1" x14ac:dyDescent="0.2">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2.75" customHeight="1" x14ac:dyDescent="0.2">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2.75" customHeight="1" x14ac:dyDescent="0.2">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2.75" customHeight="1" x14ac:dyDescent="0.2">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2.75" customHeight="1" x14ac:dyDescent="0.2">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2.75" customHeight="1" x14ac:dyDescent="0.2">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2.75" customHeight="1" x14ac:dyDescent="0.2">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2.75" customHeight="1" x14ac:dyDescent="0.2">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2.75" customHeight="1" x14ac:dyDescent="0.2">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2.75" customHeight="1" x14ac:dyDescent="0.2">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2.75" customHeight="1" x14ac:dyDescent="0.2">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2.75" customHeight="1" x14ac:dyDescent="0.2">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2.75" customHeight="1" x14ac:dyDescent="0.2">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2.75" customHeight="1" x14ac:dyDescent="0.2">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2.75" customHeight="1" x14ac:dyDescent="0.2">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2.75" customHeight="1" x14ac:dyDescent="0.2">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2.75" customHeight="1" x14ac:dyDescent="0.2">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2.75" customHeight="1" x14ac:dyDescent="0.2">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2.75" customHeight="1" x14ac:dyDescent="0.2">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2.75" customHeight="1" x14ac:dyDescent="0.2">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2.75" customHeight="1" x14ac:dyDescent="0.2">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2.75" customHeight="1" x14ac:dyDescent="0.2">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2.75" customHeight="1" x14ac:dyDescent="0.2">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2.75" customHeight="1" x14ac:dyDescent="0.2">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2.75" customHeight="1" x14ac:dyDescent="0.2">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2.75" customHeight="1" x14ac:dyDescent="0.2">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2.75" customHeight="1" x14ac:dyDescent="0.2">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2.75" customHeight="1" x14ac:dyDescent="0.2">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2.75" customHeight="1" x14ac:dyDescent="0.2">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2.75" customHeight="1" x14ac:dyDescent="0.2">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2.75" customHeight="1" x14ac:dyDescent="0.2">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2.75" customHeight="1" x14ac:dyDescent="0.2">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2.75" customHeight="1" x14ac:dyDescent="0.2">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2.75" customHeight="1" x14ac:dyDescent="0.2">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2.75" customHeight="1" x14ac:dyDescent="0.2">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2.75" customHeight="1" x14ac:dyDescent="0.2">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2.75" customHeight="1" x14ac:dyDescent="0.2">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2.75" customHeight="1" x14ac:dyDescent="0.2">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2.75" customHeight="1" x14ac:dyDescent="0.2">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2.75" customHeight="1" x14ac:dyDescent="0.2">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2.75" customHeight="1" x14ac:dyDescent="0.2">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2.75" customHeight="1" x14ac:dyDescent="0.2">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2.75" customHeight="1" x14ac:dyDescent="0.2">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2.75" customHeight="1" x14ac:dyDescent="0.2">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2.75" customHeight="1" x14ac:dyDescent="0.2">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2.75" customHeight="1" x14ac:dyDescent="0.2">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2.75" customHeight="1" x14ac:dyDescent="0.2">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2.75" customHeight="1" x14ac:dyDescent="0.2">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2.75" customHeight="1" x14ac:dyDescent="0.2">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2.75" customHeight="1" x14ac:dyDescent="0.2">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2.75" customHeight="1" x14ac:dyDescent="0.2">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2.75" customHeight="1" x14ac:dyDescent="0.2">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2.75" customHeight="1" x14ac:dyDescent="0.2">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2.75" customHeight="1" x14ac:dyDescent="0.2">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2.75" customHeight="1" x14ac:dyDescent="0.2">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2.75" customHeight="1" x14ac:dyDescent="0.2">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2.75" customHeight="1" x14ac:dyDescent="0.2">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2.75" customHeight="1" x14ac:dyDescent="0.2">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2.75" customHeight="1" x14ac:dyDescent="0.2">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2.75" customHeight="1" x14ac:dyDescent="0.2">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2.75" customHeight="1" x14ac:dyDescent="0.2">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2.75" customHeight="1" x14ac:dyDescent="0.2">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2.75" customHeight="1" x14ac:dyDescent="0.2">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2.75" customHeight="1" x14ac:dyDescent="0.2">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2.75" customHeight="1" x14ac:dyDescent="0.2">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2.75" customHeight="1" x14ac:dyDescent="0.2">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2.75" customHeight="1" x14ac:dyDescent="0.2">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2.75" customHeight="1" x14ac:dyDescent="0.2">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2.75" customHeight="1" x14ac:dyDescent="0.2">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2.75" customHeight="1" x14ac:dyDescent="0.2">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2.75" customHeight="1" x14ac:dyDescent="0.2">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2.75" customHeight="1" x14ac:dyDescent="0.2">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2.75" customHeight="1" x14ac:dyDescent="0.2">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2.75" customHeight="1" x14ac:dyDescent="0.2">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2.75" customHeight="1" x14ac:dyDescent="0.2">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2.75" customHeight="1" x14ac:dyDescent="0.2">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2.75" customHeight="1" x14ac:dyDescent="0.2">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2.75" customHeight="1" x14ac:dyDescent="0.2">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2.75" customHeight="1" x14ac:dyDescent="0.2">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2.75" customHeight="1" x14ac:dyDescent="0.2">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2.75" customHeight="1" x14ac:dyDescent="0.2">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2.75" customHeight="1" x14ac:dyDescent="0.2">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2.75" customHeight="1" x14ac:dyDescent="0.2">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2.75" customHeight="1" x14ac:dyDescent="0.2">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2.75" customHeight="1" x14ac:dyDescent="0.2">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2.75" customHeight="1" x14ac:dyDescent="0.2">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2.75" customHeight="1" x14ac:dyDescent="0.2">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2.75" customHeight="1" x14ac:dyDescent="0.2">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2.75" customHeight="1" x14ac:dyDescent="0.2">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2.75" customHeight="1" x14ac:dyDescent="0.2">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2.75" customHeight="1" x14ac:dyDescent="0.2">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2.75" customHeight="1" x14ac:dyDescent="0.2">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2.75" customHeight="1" x14ac:dyDescent="0.2">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2.75" customHeight="1" x14ac:dyDescent="0.2">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2.75" customHeight="1" x14ac:dyDescent="0.2">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2.75" customHeight="1" x14ac:dyDescent="0.2">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2.75" customHeight="1" x14ac:dyDescent="0.2">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2.75" customHeight="1" x14ac:dyDescent="0.2">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2.75" customHeight="1" x14ac:dyDescent="0.2">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2.75" customHeight="1" x14ac:dyDescent="0.2">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2.75" customHeight="1" x14ac:dyDescent="0.2">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2.75" customHeight="1" x14ac:dyDescent="0.2">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2.75" customHeight="1" x14ac:dyDescent="0.2">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2.75" customHeight="1" x14ac:dyDescent="0.2">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2.75" customHeight="1" x14ac:dyDescent="0.2">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2.75" customHeight="1" x14ac:dyDescent="0.2">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2.75" customHeight="1" x14ac:dyDescent="0.2">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2.75" customHeight="1" x14ac:dyDescent="0.2">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2.75" customHeight="1" x14ac:dyDescent="0.2">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2.75" customHeight="1" x14ac:dyDescent="0.2">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2.75" customHeight="1" x14ac:dyDescent="0.2">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2.75" customHeight="1" x14ac:dyDescent="0.2">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2.75" customHeight="1" x14ac:dyDescent="0.2">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2.75" customHeight="1" x14ac:dyDescent="0.2">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2.75" customHeight="1" x14ac:dyDescent="0.2">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2.75" customHeight="1" x14ac:dyDescent="0.2">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2.75" customHeight="1" x14ac:dyDescent="0.2">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2.75" customHeight="1" x14ac:dyDescent="0.2">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2.75" customHeight="1" x14ac:dyDescent="0.2">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2.75" customHeight="1" x14ac:dyDescent="0.2">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2.75" customHeight="1" x14ac:dyDescent="0.2">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2.75" customHeight="1" x14ac:dyDescent="0.2">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2.75" customHeight="1" x14ac:dyDescent="0.2">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2.75" customHeight="1" x14ac:dyDescent="0.2">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2.75" customHeight="1" x14ac:dyDescent="0.2">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2.75" customHeight="1" x14ac:dyDescent="0.2">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2.75" customHeight="1" x14ac:dyDescent="0.2">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2.75" customHeight="1" x14ac:dyDescent="0.2">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2.75" customHeight="1" x14ac:dyDescent="0.2">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2.75" customHeight="1" x14ac:dyDescent="0.2">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2.75" customHeight="1" x14ac:dyDescent="0.2">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2.75" customHeight="1" x14ac:dyDescent="0.2">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2.75" customHeight="1" x14ac:dyDescent="0.2">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2.75" customHeight="1" x14ac:dyDescent="0.2">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2.75" customHeight="1" x14ac:dyDescent="0.2">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2.75" customHeight="1" x14ac:dyDescent="0.2">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2.75" customHeight="1" x14ac:dyDescent="0.2">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2.75" customHeight="1" x14ac:dyDescent="0.2">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2.75" customHeight="1" x14ac:dyDescent="0.2">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2.75" customHeight="1" x14ac:dyDescent="0.2">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2.75" customHeight="1" x14ac:dyDescent="0.2">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2.75" customHeight="1" x14ac:dyDescent="0.2">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2.75" customHeight="1" x14ac:dyDescent="0.2">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2.75" customHeight="1" x14ac:dyDescent="0.2">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2.75" customHeight="1" x14ac:dyDescent="0.2">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2.75" customHeight="1" x14ac:dyDescent="0.2">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2.75" customHeight="1" x14ac:dyDescent="0.2">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2.75" customHeight="1" x14ac:dyDescent="0.2">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2.75" customHeight="1" x14ac:dyDescent="0.2">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2.75" customHeight="1" x14ac:dyDescent="0.2">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2.75" customHeight="1" x14ac:dyDescent="0.2">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2.75" customHeight="1" x14ac:dyDescent="0.2">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2.75" customHeight="1" x14ac:dyDescent="0.2">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2.75" customHeight="1" x14ac:dyDescent="0.2">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2.75" customHeight="1" x14ac:dyDescent="0.2">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2.75" customHeight="1" x14ac:dyDescent="0.2">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2.75" customHeight="1" x14ac:dyDescent="0.2">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2.75" customHeight="1" x14ac:dyDescent="0.2">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2.75" customHeight="1" x14ac:dyDescent="0.2">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2.75" customHeight="1" x14ac:dyDescent="0.2">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2.75" customHeight="1" x14ac:dyDescent="0.2">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2.75" customHeight="1" x14ac:dyDescent="0.2">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2.75" customHeight="1" x14ac:dyDescent="0.2">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2.75" customHeight="1" x14ac:dyDescent="0.2">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2.75" customHeight="1" x14ac:dyDescent="0.2">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2.75" customHeight="1" x14ac:dyDescent="0.2">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2.75" customHeight="1" x14ac:dyDescent="0.2">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2.75" customHeight="1" x14ac:dyDescent="0.2">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2.75" customHeight="1" x14ac:dyDescent="0.2">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2.75" customHeight="1" x14ac:dyDescent="0.2">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2.75" customHeight="1" x14ac:dyDescent="0.2">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2.75" customHeight="1" x14ac:dyDescent="0.2">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2.75" customHeight="1" x14ac:dyDescent="0.2">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2.75" customHeight="1" x14ac:dyDescent="0.2">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2.75" customHeight="1" x14ac:dyDescent="0.2">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2.75" customHeight="1" x14ac:dyDescent="0.2">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2.75" customHeight="1" x14ac:dyDescent="0.2">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2.75" customHeight="1" x14ac:dyDescent="0.2">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2.75" customHeight="1" x14ac:dyDescent="0.2">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2.75" customHeight="1" x14ac:dyDescent="0.2">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2.75" customHeight="1" x14ac:dyDescent="0.2">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2.75" customHeight="1" x14ac:dyDescent="0.2">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2.75" customHeight="1" x14ac:dyDescent="0.2">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2.75" customHeight="1" x14ac:dyDescent="0.2">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2.75" customHeight="1" x14ac:dyDescent="0.2">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2.75" customHeight="1" x14ac:dyDescent="0.2">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2.75" customHeight="1" x14ac:dyDescent="0.2">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2.75" customHeight="1" x14ac:dyDescent="0.2">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2.75" customHeight="1" x14ac:dyDescent="0.2">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2.75" customHeight="1" x14ac:dyDescent="0.2">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2.75" customHeight="1" x14ac:dyDescent="0.2">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2.75" customHeight="1" x14ac:dyDescent="0.2">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2.75" customHeight="1" x14ac:dyDescent="0.2">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2.75" customHeight="1" x14ac:dyDescent="0.2">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2.75" customHeight="1" x14ac:dyDescent="0.2">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2.75" customHeight="1" x14ac:dyDescent="0.2">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2.75" customHeight="1" x14ac:dyDescent="0.2">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2.75" customHeight="1" x14ac:dyDescent="0.2">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2.75" customHeight="1" x14ac:dyDescent="0.2">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2.75" customHeight="1" x14ac:dyDescent="0.2">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2.75" customHeight="1" x14ac:dyDescent="0.2">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2.75" customHeight="1" x14ac:dyDescent="0.2">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2.75" customHeight="1" x14ac:dyDescent="0.2">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2.75" customHeight="1" x14ac:dyDescent="0.2">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2.75" customHeight="1" x14ac:dyDescent="0.2">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2.75" customHeight="1" x14ac:dyDescent="0.2">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2.75" customHeight="1" x14ac:dyDescent="0.2">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2.75" customHeight="1" x14ac:dyDescent="0.2">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2.75" customHeight="1" x14ac:dyDescent="0.2">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2.75" customHeight="1" x14ac:dyDescent="0.2">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2.75" customHeight="1" x14ac:dyDescent="0.2">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2.75" customHeight="1" x14ac:dyDescent="0.2">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2.75" customHeight="1" x14ac:dyDescent="0.2">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2.75" customHeight="1" x14ac:dyDescent="0.2">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2.75" customHeight="1" x14ac:dyDescent="0.2">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2.75" customHeight="1" x14ac:dyDescent="0.2">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2.75" customHeight="1" x14ac:dyDescent="0.2">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2.75" customHeight="1" x14ac:dyDescent="0.2">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2.75" customHeight="1" x14ac:dyDescent="0.2">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2.75" customHeight="1" x14ac:dyDescent="0.2">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2.75" customHeight="1" x14ac:dyDescent="0.2">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2.75" customHeight="1" x14ac:dyDescent="0.2">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2.75" customHeight="1" x14ac:dyDescent="0.2">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2.75" customHeight="1" x14ac:dyDescent="0.2">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2.75" customHeight="1" x14ac:dyDescent="0.2">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2.75" customHeight="1" x14ac:dyDescent="0.2">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2.75" customHeight="1" x14ac:dyDescent="0.2">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2.75" customHeight="1" x14ac:dyDescent="0.2">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2.75" customHeight="1" x14ac:dyDescent="0.2">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2.75" customHeight="1" x14ac:dyDescent="0.2">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2.75" customHeight="1" x14ac:dyDescent="0.2">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2.75" customHeight="1" x14ac:dyDescent="0.2">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2.75" customHeight="1" x14ac:dyDescent="0.2">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2.75" customHeight="1" x14ac:dyDescent="0.2">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2.75" customHeight="1" x14ac:dyDescent="0.2">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2.75" customHeight="1" x14ac:dyDescent="0.2">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2.75" customHeight="1" x14ac:dyDescent="0.2">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2.75" customHeight="1" x14ac:dyDescent="0.2">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2.75" customHeight="1" x14ac:dyDescent="0.2">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2.75" customHeight="1" x14ac:dyDescent="0.2">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2.75" customHeight="1" x14ac:dyDescent="0.2">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2.75" customHeight="1" x14ac:dyDescent="0.2">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2.75" customHeight="1" x14ac:dyDescent="0.2">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2.75" customHeight="1" x14ac:dyDescent="0.2">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2.75" customHeight="1" x14ac:dyDescent="0.2">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2.75" customHeight="1" x14ac:dyDescent="0.2">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2.75" customHeight="1" x14ac:dyDescent="0.2">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2.75" customHeight="1" x14ac:dyDescent="0.2">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2.75" customHeight="1" x14ac:dyDescent="0.2">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2.75" customHeight="1" x14ac:dyDescent="0.2">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2.75" customHeight="1" x14ac:dyDescent="0.2">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2.75" customHeight="1" x14ac:dyDescent="0.2">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2.75" customHeight="1" x14ac:dyDescent="0.2">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2.75" customHeight="1" x14ac:dyDescent="0.2">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2.75" customHeight="1" x14ac:dyDescent="0.2">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2.75" customHeight="1" x14ac:dyDescent="0.2">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2.75" customHeight="1" x14ac:dyDescent="0.2">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2.75" customHeight="1" x14ac:dyDescent="0.2">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2.75" customHeight="1" x14ac:dyDescent="0.2">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2.75" customHeight="1" x14ac:dyDescent="0.2">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2.75" customHeight="1" x14ac:dyDescent="0.2">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2.75" customHeight="1" x14ac:dyDescent="0.2">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2.75" customHeight="1" x14ac:dyDescent="0.2">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2.75" customHeight="1" x14ac:dyDescent="0.2">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2.75" customHeight="1" x14ac:dyDescent="0.2">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2.75" customHeight="1" x14ac:dyDescent="0.2">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2.75" customHeight="1" x14ac:dyDescent="0.2">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2.75" customHeight="1" x14ac:dyDescent="0.2">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2.75" customHeight="1" x14ac:dyDescent="0.2">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2.75" customHeight="1" x14ac:dyDescent="0.2">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2.75" customHeight="1" x14ac:dyDescent="0.2">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2.75" customHeight="1" x14ac:dyDescent="0.2">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2.75" customHeight="1" x14ac:dyDescent="0.2">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2.75" customHeight="1" x14ac:dyDescent="0.2">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2.75" customHeight="1" x14ac:dyDescent="0.2">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2.75" customHeight="1" x14ac:dyDescent="0.2">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2.75" customHeight="1" x14ac:dyDescent="0.2">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2.75" customHeight="1" x14ac:dyDescent="0.2">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2.75" customHeight="1" x14ac:dyDescent="0.2">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2.75" customHeight="1" x14ac:dyDescent="0.2">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2.75" customHeight="1" x14ac:dyDescent="0.2">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2.75" customHeight="1" x14ac:dyDescent="0.2">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2.75" customHeight="1" x14ac:dyDescent="0.2">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2.75" customHeight="1" x14ac:dyDescent="0.2">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2.75" customHeight="1" x14ac:dyDescent="0.2">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2.75" customHeight="1" x14ac:dyDescent="0.2">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2.75" customHeight="1" x14ac:dyDescent="0.2">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2.75" customHeight="1" x14ac:dyDescent="0.2">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2.75" customHeight="1" x14ac:dyDescent="0.2">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2.75" customHeight="1" x14ac:dyDescent="0.2">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2.75" customHeight="1" x14ac:dyDescent="0.2">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2.75" customHeight="1" x14ac:dyDescent="0.2">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2.75" customHeight="1" x14ac:dyDescent="0.2">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2.75" customHeight="1" x14ac:dyDescent="0.2">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2.75" customHeight="1" x14ac:dyDescent="0.2">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2.75" customHeight="1" x14ac:dyDescent="0.2">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2.75" customHeight="1" x14ac:dyDescent="0.2">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2.75" customHeight="1" x14ac:dyDescent="0.2">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2.75" customHeight="1" x14ac:dyDescent="0.2">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2.75" customHeight="1" x14ac:dyDescent="0.2">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2.75" customHeight="1" x14ac:dyDescent="0.2">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2.75" customHeight="1" x14ac:dyDescent="0.2">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2.75" customHeight="1" x14ac:dyDescent="0.2">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2.75" customHeight="1" x14ac:dyDescent="0.2">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2.75" customHeight="1" x14ac:dyDescent="0.2">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2.75" customHeight="1" x14ac:dyDescent="0.2">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2.75" customHeight="1" x14ac:dyDescent="0.2">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2.75" customHeight="1" x14ac:dyDescent="0.2">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2.75" customHeight="1" x14ac:dyDescent="0.2">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2.75" customHeight="1" x14ac:dyDescent="0.2">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2.75" customHeight="1" x14ac:dyDescent="0.2">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2.75" customHeight="1" x14ac:dyDescent="0.2">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2.75" customHeight="1" x14ac:dyDescent="0.2">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2.75" customHeight="1" x14ac:dyDescent="0.2">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2.75" customHeight="1" x14ac:dyDescent="0.2">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2.75" customHeight="1" x14ac:dyDescent="0.2">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2.75" customHeight="1" x14ac:dyDescent="0.2">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2.75" customHeight="1" x14ac:dyDescent="0.2">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2.75" customHeight="1" x14ac:dyDescent="0.2">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2.75" customHeight="1" x14ac:dyDescent="0.2">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2.75" customHeight="1" x14ac:dyDescent="0.2">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2.75" customHeight="1" x14ac:dyDescent="0.2">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2.75" customHeight="1" x14ac:dyDescent="0.2">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2.75" customHeight="1" x14ac:dyDescent="0.2">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2.75" customHeight="1" x14ac:dyDescent="0.2">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2.75" customHeight="1" x14ac:dyDescent="0.2">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2.75" customHeight="1" x14ac:dyDescent="0.2">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2.75" customHeight="1" x14ac:dyDescent="0.2">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2.75" customHeight="1" x14ac:dyDescent="0.2">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2.75" customHeight="1" x14ac:dyDescent="0.2">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2.75" customHeight="1" x14ac:dyDescent="0.2">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2.75" customHeight="1" x14ac:dyDescent="0.2">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2.75" customHeight="1" x14ac:dyDescent="0.2">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2.75" customHeight="1" x14ac:dyDescent="0.2">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2.75" customHeight="1" x14ac:dyDescent="0.2">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2.75" customHeight="1" x14ac:dyDescent="0.2">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2.75" customHeight="1" x14ac:dyDescent="0.2">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2.75" customHeight="1" x14ac:dyDescent="0.2">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2.75" customHeight="1" x14ac:dyDescent="0.2">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2.75" customHeight="1" x14ac:dyDescent="0.2">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2.75" customHeight="1" x14ac:dyDescent="0.2">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2.75" customHeight="1" x14ac:dyDescent="0.2">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2.75" customHeight="1" x14ac:dyDescent="0.2">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2.75" customHeight="1" x14ac:dyDescent="0.2">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2.75" customHeight="1" x14ac:dyDescent="0.2">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2.75" customHeight="1" x14ac:dyDescent="0.2">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2.75" customHeight="1" x14ac:dyDescent="0.2">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2.75" customHeight="1" x14ac:dyDescent="0.2">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2.75" customHeight="1" x14ac:dyDescent="0.2">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2.75" customHeight="1" x14ac:dyDescent="0.2">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2.75" customHeight="1" x14ac:dyDescent="0.2">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2.75" customHeight="1" x14ac:dyDescent="0.2">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2.75" customHeight="1" x14ac:dyDescent="0.2">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2.75" customHeight="1" x14ac:dyDescent="0.2">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2.75" customHeight="1" x14ac:dyDescent="0.2">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2.75" customHeight="1" x14ac:dyDescent="0.2">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2.75" customHeight="1" x14ac:dyDescent="0.2">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2.75" customHeight="1" x14ac:dyDescent="0.2">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2.75" customHeight="1" x14ac:dyDescent="0.2">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2.75" customHeight="1" x14ac:dyDescent="0.2">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2.75" customHeight="1" x14ac:dyDescent="0.2">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2.75" customHeight="1" x14ac:dyDescent="0.2">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2.75" customHeight="1" x14ac:dyDescent="0.2">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2.75" customHeight="1" x14ac:dyDescent="0.2">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2.75" customHeight="1" x14ac:dyDescent="0.2">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2.75" customHeight="1" x14ac:dyDescent="0.2">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2.75" customHeight="1" x14ac:dyDescent="0.2">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2.75" customHeight="1" x14ac:dyDescent="0.2">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2.75" customHeight="1" x14ac:dyDescent="0.2">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2.75" customHeight="1" x14ac:dyDescent="0.2">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2.75" customHeight="1" x14ac:dyDescent="0.2">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2.75" customHeight="1" x14ac:dyDescent="0.2">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2.75" customHeight="1" x14ac:dyDescent="0.2">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2.75" customHeight="1" x14ac:dyDescent="0.2">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2.75" customHeight="1" x14ac:dyDescent="0.2">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2.75" customHeight="1" x14ac:dyDescent="0.2">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2.75" customHeight="1" x14ac:dyDescent="0.2">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2.75" customHeight="1" x14ac:dyDescent="0.2">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2.75" customHeight="1" x14ac:dyDescent="0.2">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2.75" customHeight="1" x14ac:dyDescent="0.2">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2.75" customHeight="1" x14ac:dyDescent="0.2">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2.75" customHeight="1" x14ac:dyDescent="0.2">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2.75" customHeight="1" x14ac:dyDescent="0.2">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2.75" customHeight="1" x14ac:dyDescent="0.2">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2.75" customHeight="1" x14ac:dyDescent="0.2">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2.75" customHeight="1" x14ac:dyDescent="0.2">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2.75" customHeight="1" x14ac:dyDescent="0.2">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2.75" customHeight="1" x14ac:dyDescent="0.2">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2.75" customHeight="1" x14ac:dyDescent="0.2">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2.75" customHeight="1" x14ac:dyDescent="0.2">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2.75" customHeight="1" x14ac:dyDescent="0.2">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2.75" customHeight="1" x14ac:dyDescent="0.2">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2.75" customHeight="1" x14ac:dyDescent="0.2">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2.75" customHeight="1" x14ac:dyDescent="0.2">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2.75" customHeight="1" x14ac:dyDescent="0.2">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2.75" customHeight="1" x14ac:dyDescent="0.2">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2.75" customHeight="1" x14ac:dyDescent="0.2">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2.75" customHeight="1" x14ac:dyDescent="0.2">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2.75" customHeight="1" x14ac:dyDescent="0.2">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2.75" customHeight="1" x14ac:dyDescent="0.2">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2.75" customHeight="1" x14ac:dyDescent="0.2">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2.75" customHeight="1" x14ac:dyDescent="0.2">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2.75" customHeight="1" x14ac:dyDescent="0.2">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2.75" customHeight="1" x14ac:dyDescent="0.2">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2.75" customHeight="1" x14ac:dyDescent="0.2">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2.75" customHeight="1" x14ac:dyDescent="0.2">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2.75" customHeight="1" x14ac:dyDescent="0.2">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2.75" customHeight="1" x14ac:dyDescent="0.2">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2.75" customHeight="1" x14ac:dyDescent="0.2">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2.75" customHeight="1" x14ac:dyDescent="0.2">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2.75" customHeight="1" x14ac:dyDescent="0.2">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2.75" customHeight="1" x14ac:dyDescent="0.2">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2.75" customHeight="1" x14ac:dyDescent="0.2">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2.75" customHeight="1" x14ac:dyDescent="0.2">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2.75" customHeight="1" x14ac:dyDescent="0.2">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2.75" customHeight="1" x14ac:dyDescent="0.2">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2.75" customHeight="1" x14ac:dyDescent="0.2">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2.75" customHeight="1" x14ac:dyDescent="0.2">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2.75" customHeight="1" x14ac:dyDescent="0.2">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2.75" customHeight="1" x14ac:dyDescent="0.2">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2.75" customHeight="1" x14ac:dyDescent="0.2">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2.75" customHeight="1" x14ac:dyDescent="0.2">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2.75" customHeight="1" x14ac:dyDescent="0.2">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2.75" customHeight="1" x14ac:dyDescent="0.2">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2.75" customHeight="1" x14ac:dyDescent="0.2">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2.75" customHeight="1" x14ac:dyDescent="0.2">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2.75" customHeight="1" x14ac:dyDescent="0.2">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2.75" customHeight="1" x14ac:dyDescent="0.2">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2.75" customHeight="1" x14ac:dyDescent="0.2">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2.75" customHeight="1" x14ac:dyDescent="0.2">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2.75" customHeight="1" x14ac:dyDescent="0.2">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2.75" customHeight="1" x14ac:dyDescent="0.2">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2.75" customHeight="1" x14ac:dyDescent="0.2">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2.75" customHeight="1" x14ac:dyDescent="0.2">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2.75" customHeight="1" x14ac:dyDescent="0.2">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2.75" customHeight="1" x14ac:dyDescent="0.2">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2.75" customHeight="1" x14ac:dyDescent="0.2">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2.75" customHeight="1" x14ac:dyDescent="0.2">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2.75" customHeight="1" x14ac:dyDescent="0.2">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2.75" customHeight="1" x14ac:dyDescent="0.2">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2.75" customHeight="1" x14ac:dyDescent="0.2">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2.75" customHeight="1" x14ac:dyDescent="0.2">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2.75" customHeight="1" x14ac:dyDescent="0.2">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2.75" customHeight="1" x14ac:dyDescent="0.2">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2.75" customHeight="1" x14ac:dyDescent="0.2">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2.75" customHeight="1" x14ac:dyDescent="0.2">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2.75" customHeight="1" x14ac:dyDescent="0.2">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2.75" customHeight="1" x14ac:dyDescent="0.2">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2.75" customHeight="1" x14ac:dyDescent="0.2">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2.75" customHeight="1" x14ac:dyDescent="0.2">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2.75" customHeight="1" x14ac:dyDescent="0.2">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2.75" customHeight="1" x14ac:dyDescent="0.2">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2.75" customHeight="1" x14ac:dyDescent="0.2">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2.75" customHeight="1" x14ac:dyDescent="0.2">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2.75" customHeight="1" x14ac:dyDescent="0.2">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2.75" customHeight="1" x14ac:dyDescent="0.2">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2.75" customHeight="1" x14ac:dyDescent="0.2">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2.75" customHeight="1" x14ac:dyDescent="0.2">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2.75" customHeight="1" x14ac:dyDescent="0.2">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2.75" customHeight="1" x14ac:dyDescent="0.2">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2.75" customHeight="1" x14ac:dyDescent="0.2">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2.75" customHeight="1" x14ac:dyDescent="0.2">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2.75" customHeight="1" x14ac:dyDescent="0.2">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2.75" customHeight="1" x14ac:dyDescent="0.2">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2.75" customHeight="1" x14ac:dyDescent="0.2">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2.75" customHeight="1" x14ac:dyDescent="0.2">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2.75" customHeight="1" x14ac:dyDescent="0.2">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2.75" customHeight="1" x14ac:dyDescent="0.2">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2.75" customHeight="1" x14ac:dyDescent="0.2">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2.75" customHeight="1" x14ac:dyDescent="0.2">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2.75" customHeight="1" x14ac:dyDescent="0.2">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2.75" customHeight="1" x14ac:dyDescent="0.2">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2.75" customHeight="1" x14ac:dyDescent="0.2">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2.75" customHeight="1" x14ac:dyDescent="0.2">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2.75" customHeight="1" x14ac:dyDescent="0.2">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2.75" customHeight="1" x14ac:dyDescent="0.2">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2.75" customHeight="1" x14ac:dyDescent="0.2">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2.75" customHeight="1" x14ac:dyDescent="0.2">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2.75" customHeight="1" x14ac:dyDescent="0.2">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2.75" customHeight="1" x14ac:dyDescent="0.2">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2.75" customHeight="1" x14ac:dyDescent="0.2">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2.75" customHeight="1" x14ac:dyDescent="0.2">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2.75" customHeight="1" x14ac:dyDescent="0.2">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2.75" customHeight="1" x14ac:dyDescent="0.2">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2.75" customHeight="1" x14ac:dyDescent="0.2">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2.75" customHeight="1" x14ac:dyDescent="0.2">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2.75" customHeight="1" x14ac:dyDescent="0.2">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2.75" customHeight="1" x14ac:dyDescent="0.2">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2.75" customHeight="1" x14ac:dyDescent="0.2">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2.75" customHeight="1" x14ac:dyDescent="0.2">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2.75" customHeight="1" x14ac:dyDescent="0.2">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2.75" customHeight="1" x14ac:dyDescent="0.2">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2.75" customHeight="1" x14ac:dyDescent="0.2">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2.75" customHeight="1" x14ac:dyDescent="0.2">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2.75" customHeight="1" x14ac:dyDescent="0.2">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2.75" customHeight="1" x14ac:dyDescent="0.2">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2.75" customHeight="1" x14ac:dyDescent="0.2">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2.75" customHeight="1" x14ac:dyDescent="0.2">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2.75" customHeight="1" x14ac:dyDescent="0.2">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2.75" customHeight="1" x14ac:dyDescent="0.2">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2.75" customHeight="1" x14ac:dyDescent="0.2">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2.75" customHeight="1" x14ac:dyDescent="0.2">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2.75" customHeight="1" x14ac:dyDescent="0.2">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2.75" customHeight="1" x14ac:dyDescent="0.2">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2.75" customHeight="1" x14ac:dyDescent="0.2">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2.75" customHeight="1" x14ac:dyDescent="0.2">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2.75" customHeight="1" x14ac:dyDescent="0.2">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2.75" customHeight="1" x14ac:dyDescent="0.2">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2.75" customHeight="1" x14ac:dyDescent="0.2">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2.75" customHeight="1" x14ac:dyDescent="0.2">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2.75" customHeight="1" x14ac:dyDescent="0.2">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2.75" customHeight="1" x14ac:dyDescent="0.2">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2.75" customHeight="1" x14ac:dyDescent="0.2">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2.75" customHeight="1" x14ac:dyDescent="0.2">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2.75" customHeight="1" x14ac:dyDescent="0.2">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2.75" customHeight="1" x14ac:dyDescent="0.2">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2.75" customHeight="1" x14ac:dyDescent="0.2">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2.75" customHeight="1" x14ac:dyDescent="0.2">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2.75" customHeight="1" x14ac:dyDescent="0.2">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2.75" customHeight="1" x14ac:dyDescent="0.2">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2.75" customHeight="1" x14ac:dyDescent="0.2">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2.75" customHeight="1" x14ac:dyDescent="0.2">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2.75" customHeight="1" x14ac:dyDescent="0.2">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2.75" customHeight="1" x14ac:dyDescent="0.2">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2.75" customHeight="1" x14ac:dyDescent="0.2">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2.75" customHeight="1" x14ac:dyDescent="0.2">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2.75" customHeight="1" x14ac:dyDescent="0.2">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2.75" customHeight="1" x14ac:dyDescent="0.2">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2.75" customHeight="1" x14ac:dyDescent="0.2">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2.75" customHeight="1" x14ac:dyDescent="0.2">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2.75" customHeight="1" x14ac:dyDescent="0.2">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2.75" customHeight="1" x14ac:dyDescent="0.2">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2.75" customHeight="1" x14ac:dyDescent="0.2">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2.75" customHeight="1" x14ac:dyDescent="0.2">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2.75" customHeight="1" x14ac:dyDescent="0.2">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2.75" customHeight="1" x14ac:dyDescent="0.2">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2.75" customHeight="1" x14ac:dyDescent="0.2">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2.75" customHeight="1" x14ac:dyDescent="0.2">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2.75" customHeight="1" x14ac:dyDescent="0.2">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2.75" customHeight="1" x14ac:dyDescent="0.2">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2.75" customHeight="1" x14ac:dyDescent="0.2">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2.75" customHeight="1" x14ac:dyDescent="0.2">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2.75" customHeight="1" x14ac:dyDescent="0.2">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2.75" customHeight="1" x14ac:dyDescent="0.2">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2.75" customHeight="1" x14ac:dyDescent="0.2">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2.75" customHeight="1" x14ac:dyDescent="0.2">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2.75" customHeight="1" x14ac:dyDescent="0.2">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2.75" customHeight="1" x14ac:dyDescent="0.2">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2.75" customHeight="1" x14ac:dyDescent="0.2">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2.75" customHeight="1" x14ac:dyDescent="0.2">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2.75" customHeight="1" x14ac:dyDescent="0.2">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2.75" customHeight="1" x14ac:dyDescent="0.2">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2.75" customHeight="1" x14ac:dyDescent="0.2">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2.75" customHeight="1" x14ac:dyDescent="0.2">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2.75" customHeight="1" x14ac:dyDescent="0.2">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2.75" customHeight="1" x14ac:dyDescent="0.2">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2.75" customHeight="1" x14ac:dyDescent="0.2">
      <c r="A999" s="35"/>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2.75" customHeight="1" x14ac:dyDescent="0.2">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10">
    <mergeCell ref="C12:D12"/>
    <mergeCell ref="C15:D15"/>
    <mergeCell ref="E15:G15"/>
    <mergeCell ref="B2:G2"/>
    <mergeCell ref="C3:D3"/>
    <mergeCell ref="E3:G3"/>
    <mergeCell ref="C8:D8"/>
    <mergeCell ref="E8:G8"/>
    <mergeCell ref="B11:H11"/>
    <mergeCell ref="E12:G12"/>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workbookViewId="0"/>
  </sheetViews>
  <sheetFormatPr defaultColWidth="12.625" defaultRowHeight="15" customHeight="1" x14ac:dyDescent="0.2"/>
  <cols>
    <col min="1" max="1" width="28.625" customWidth="1"/>
    <col min="2" max="2" width="9.875" customWidth="1"/>
    <col min="3" max="3" width="11.25" customWidth="1"/>
    <col min="4" max="6" width="8" customWidth="1"/>
    <col min="7" max="26" width="7.625" customWidth="1"/>
  </cols>
  <sheetData>
    <row r="1" spans="1:26" ht="12.75" customHeight="1" x14ac:dyDescent="0.2">
      <c r="A1" s="131" t="s">
        <v>507</v>
      </c>
      <c r="B1" s="132">
        <f>Assumptions!$C$66</f>
        <v>0.1447681072877012</v>
      </c>
      <c r="C1" s="35"/>
      <c r="D1" s="35"/>
      <c r="E1" s="35"/>
      <c r="F1" s="35"/>
      <c r="G1" s="35"/>
      <c r="H1" s="35"/>
      <c r="I1" s="35"/>
      <c r="J1" s="35"/>
      <c r="K1" s="35"/>
      <c r="L1" s="35"/>
      <c r="M1" s="35"/>
      <c r="N1" s="35"/>
      <c r="O1" s="35"/>
      <c r="P1" s="35"/>
      <c r="Q1" s="35"/>
      <c r="R1" s="35"/>
      <c r="S1" s="35"/>
      <c r="T1" s="35"/>
      <c r="U1" s="35"/>
      <c r="V1" s="35"/>
      <c r="W1" s="35"/>
      <c r="X1" s="35"/>
      <c r="Y1" s="35"/>
      <c r="Z1" s="35"/>
    </row>
    <row r="2" spans="1:26" ht="12.75" customHeight="1" x14ac:dyDescent="0.2">
      <c r="A2" s="131" t="s">
        <v>508</v>
      </c>
      <c r="B2" s="133">
        <f>Assumptions!$C$25</f>
        <v>14019.997723999999</v>
      </c>
      <c r="C2" s="35"/>
      <c r="D2" s="35"/>
      <c r="E2" s="35"/>
      <c r="F2" s="35"/>
      <c r="G2" s="35"/>
      <c r="H2" s="35"/>
      <c r="I2" s="35"/>
      <c r="J2" s="35"/>
      <c r="K2" s="35"/>
      <c r="L2" s="35"/>
      <c r="M2" s="35"/>
      <c r="N2" s="35"/>
      <c r="O2" s="35"/>
      <c r="P2" s="35"/>
      <c r="Q2" s="35"/>
      <c r="R2" s="35"/>
      <c r="S2" s="35"/>
      <c r="T2" s="35"/>
      <c r="U2" s="35"/>
      <c r="V2" s="35"/>
      <c r="W2" s="35"/>
      <c r="X2" s="35"/>
      <c r="Y2" s="35"/>
      <c r="Z2" s="35"/>
    </row>
    <row r="3" spans="1:26" ht="12.75" customHeight="1" x14ac:dyDescent="0.2">
      <c r="A3" s="131" t="s">
        <v>509</v>
      </c>
      <c r="B3" s="134">
        <f>Assumptions!$C$35</f>
        <v>12459.819127210523</v>
      </c>
      <c r="C3" s="35"/>
      <c r="D3" s="35"/>
      <c r="E3" s="35"/>
      <c r="F3" s="35"/>
      <c r="G3" s="35"/>
      <c r="H3" s="35"/>
      <c r="I3" s="35"/>
      <c r="J3" s="35"/>
      <c r="K3" s="35"/>
      <c r="L3" s="35"/>
      <c r="M3" s="35"/>
      <c r="N3" s="35"/>
      <c r="O3" s="35"/>
      <c r="P3" s="35"/>
      <c r="Q3" s="35"/>
      <c r="R3" s="35"/>
      <c r="S3" s="35"/>
      <c r="T3" s="35"/>
      <c r="U3" s="35"/>
      <c r="V3" s="35"/>
      <c r="W3" s="35"/>
      <c r="X3" s="35"/>
      <c r="Y3" s="35"/>
      <c r="Z3" s="35"/>
    </row>
    <row r="4" spans="1:26" ht="12.75" customHeight="1" x14ac:dyDescent="0.2">
      <c r="A4" s="35" t="s">
        <v>510</v>
      </c>
      <c r="B4" s="35">
        <f>Assumptions!$C$7</f>
        <v>21.6</v>
      </c>
      <c r="C4" s="35"/>
      <c r="D4" s="35"/>
      <c r="E4" s="35"/>
      <c r="F4" s="35"/>
      <c r="G4" s="35"/>
      <c r="H4" s="35"/>
      <c r="I4" s="35"/>
      <c r="J4" s="35"/>
      <c r="K4" s="35"/>
      <c r="L4" s="35"/>
      <c r="M4" s="35"/>
      <c r="N4" s="35"/>
      <c r="O4" s="35"/>
      <c r="P4" s="35"/>
      <c r="Q4" s="35"/>
      <c r="R4" s="35"/>
      <c r="S4" s="35"/>
      <c r="T4" s="35"/>
      <c r="U4" s="35"/>
      <c r="V4" s="35"/>
      <c r="W4" s="35"/>
      <c r="X4" s="35"/>
      <c r="Y4" s="35"/>
      <c r="Z4" s="35"/>
    </row>
    <row r="5" spans="1:26" ht="12.75" customHeight="1" x14ac:dyDescent="0.2">
      <c r="A5" s="131" t="s">
        <v>511</v>
      </c>
      <c r="B5" s="135">
        <f>Assumptions!$C$47</f>
        <v>691.5</v>
      </c>
      <c r="C5" s="35"/>
      <c r="D5" s="35"/>
      <c r="E5" s="35"/>
      <c r="F5" s="35"/>
      <c r="G5" s="35"/>
      <c r="H5" s="35"/>
      <c r="I5" s="35"/>
      <c r="J5" s="35"/>
      <c r="K5" s="35"/>
      <c r="L5" s="35"/>
      <c r="M5" s="35"/>
      <c r="N5" s="35"/>
      <c r="O5" s="35"/>
      <c r="P5" s="35"/>
      <c r="Q5" s="35"/>
      <c r="R5" s="35"/>
      <c r="S5" s="35"/>
      <c r="T5" s="35"/>
      <c r="U5" s="35"/>
      <c r="V5" s="35"/>
      <c r="W5" s="35"/>
      <c r="X5" s="35"/>
      <c r="Y5" s="35"/>
      <c r="Z5" s="35"/>
    </row>
    <row r="6" spans="1:26" ht="12.75" customHeight="1" x14ac:dyDescent="0.2">
      <c r="A6" s="35" t="s">
        <v>512</v>
      </c>
      <c r="B6" s="136">
        <f>Assumptions!$C$83</f>
        <v>78.34</v>
      </c>
      <c r="C6" s="35"/>
      <c r="D6" s="35"/>
      <c r="E6" s="35"/>
      <c r="F6" s="35"/>
      <c r="G6" s="35"/>
      <c r="H6" s="35"/>
      <c r="I6" s="35"/>
      <c r="J6" s="35"/>
      <c r="K6" s="35"/>
      <c r="L6" s="35"/>
      <c r="M6" s="35"/>
      <c r="N6" s="35"/>
      <c r="O6" s="35"/>
      <c r="P6" s="35"/>
      <c r="Q6" s="35"/>
      <c r="R6" s="35"/>
      <c r="S6" s="35"/>
      <c r="T6" s="35"/>
      <c r="U6" s="35"/>
      <c r="V6" s="35"/>
      <c r="W6" s="35"/>
      <c r="X6" s="35"/>
      <c r="Y6" s="35"/>
      <c r="Z6" s="35"/>
    </row>
    <row r="7" spans="1:26" ht="12.75" customHeight="1" x14ac:dyDescent="0.2">
      <c r="A7" s="131" t="s">
        <v>513</v>
      </c>
      <c r="B7" s="137">
        <f>Assumptions!$C$82</f>
        <v>1056</v>
      </c>
      <c r="C7" s="35"/>
      <c r="D7" s="35"/>
      <c r="E7" s="35"/>
      <c r="F7" s="35"/>
      <c r="G7" s="35"/>
      <c r="H7" s="35"/>
      <c r="I7" s="35"/>
      <c r="J7" s="35"/>
      <c r="K7" s="35"/>
      <c r="L7" s="35"/>
      <c r="M7" s="35"/>
      <c r="N7" s="35"/>
      <c r="O7" s="35"/>
      <c r="P7" s="35"/>
      <c r="Q7" s="35"/>
      <c r="R7" s="35"/>
      <c r="S7" s="35"/>
      <c r="T7" s="35"/>
      <c r="U7" s="35"/>
      <c r="V7" s="35"/>
      <c r="W7" s="35"/>
      <c r="X7" s="35"/>
      <c r="Y7" s="35"/>
      <c r="Z7" s="35"/>
    </row>
    <row r="8" spans="1:26" ht="12.75" customHeight="1" x14ac:dyDescent="0.2">
      <c r="A8" s="131" t="s">
        <v>514</v>
      </c>
      <c r="B8" s="138">
        <f>Assumptions!$C$81</f>
        <v>728</v>
      </c>
      <c r="C8" s="35"/>
      <c r="D8" s="35"/>
      <c r="E8" s="35"/>
      <c r="F8" s="35"/>
      <c r="G8" s="35"/>
      <c r="H8" s="35"/>
      <c r="I8" s="35"/>
      <c r="J8" s="35"/>
      <c r="K8" s="35"/>
      <c r="L8" s="35"/>
      <c r="M8" s="35"/>
      <c r="N8" s="35"/>
      <c r="O8" s="35"/>
      <c r="P8" s="35"/>
      <c r="Q8" s="35"/>
      <c r="R8" s="35"/>
      <c r="S8" s="35"/>
      <c r="T8" s="35"/>
      <c r="U8" s="35"/>
      <c r="V8" s="35"/>
      <c r="W8" s="35"/>
      <c r="X8" s="35"/>
      <c r="Y8" s="35"/>
      <c r="Z8" s="35"/>
    </row>
    <row r="9" spans="1:26" ht="12.75" customHeight="1" x14ac:dyDescent="0.2">
      <c r="A9" s="35" t="s">
        <v>515</v>
      </c>
      <c r="B9" s="139">
        <f>Assumptions!$C$93</f>
        <v>1023000</v>
      </c>
      <c r="C9" s="35"/>
      <c r="D9" s="35"/>
      <c r="E9" s="35"/>
      <c r="F9" s="35"/>
      <c r="G9" s="35"/>
      <c r="H9" s="35"/>
      <c r="I9" s="35"/>
      <c r="J9" s="35"/>
      <c r="K9" s="35"/>
      <c r="L9" s="35"/>
      <c r="M9" s="35"/>
      <c r="N9" s="35"/>
      <c r="O9" s="35"/>
      <c r="P9" s="35"/>
      <c r="Q9" s="35"/>
      <c r="R9" s="35"/>
      <c r="S9" s="35"/>
      <c r="T9" s="35"/>
      <c r="U9" s="35"/>
      <c r="V9" s="35"/>
      <c r="W9" s="35"/>
      <c r="X9" s="35"/>
      <c r="Y9" s="35"/>
      <c r="Z9" s="35"/>
    </row>
    <row r="10" spans="1:26" ht="12.75" customHeight="1" x14ac:dyDescent="0.2">
      <c r="A10" s="35" t="s">
        <v>516</v>
      </c>
      <c r="B10" s="140">
        <f>Assumptions!$C$97</f>
        <v>138691.08680216339</v>
      </c>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ht="12.75" customHeight="1" x14ac:dyDescent="0.2">
      <c r="A11" s="35" t="s">
        <v>517</v>
      </c>
      <c r="B11" s="140">
        <f>Assumptions!$C$100</f>
        <v>91335.939501182875</v>
      </c>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ht="12.75" customHeight="1" x14ac:dyDescent="0.2">
      <c r="A12" s="35" t="s">
        <v>518</v>
      </c>
      <c r="B12" s="35">
        <f>Assumptions!$C$94</f>
        <v>3412</v>
      </c>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ht="12.75" customHeight="1" x14ac:dyDescent="0.2">
      <c r="A13" s="35" t="s">
        <v>519</v>
      </c>
      <c r="B13" s="140">
        <f>Assumptions!$C$87</f>
        <v>3.6666666666666665</v>
      </c>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ht="12.75" customHeight="1" x14ac:dyDescent="0.2">
      <c r="A14" s="131" t="s">
        <v>520</v>
      </c>
      <c r="B14" s="137">
        <f>Assumptions!$C$72</f>
        <v>66.5</v>
      </c>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ht="12.75" customHeight="1" x14ac:dyDescent="0.2">
      <c r="A15" s="131" t="s">
        <v>521</v>
      </c>
      <c r="B15" s="137">
        <f>Assumptions!$C$70</f>
        <v>143</v>
      </c>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ht="12.75" customHeight="1" x14ac:dyDescent="0.2">
      <c r="A16" s="131" t="s">
        <v>522</v>
      </c>
      <c r="B16" s="137">
        <f>Assumptions!$C$71</f>
        <v>31.7</v>
      </c>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ht="12.75" customHeight="1" x14ac:dyDescent="0.2">
      <c r="A17" s="131" t="s">
        <v>523</v>
      </c>
      <c r="B17" s="137">
        <f>Assumptions!$C$69</f>
        <v>70.7</v>
      </c>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ht="12.75" customHeight="1" x14ac:dyDescent="0.2">
      <c r="A18" s="131" t="s">
        <v>524</v>
      </c>
      <c r="B18" s="137">
        <f>Assumptions!$C$68</f>
        <v>107.1</v>
      </c>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ht="12.75" customHeight="1" x14ac:dyDescent="0.2">
      <c r="A19" s="131" t="s">
        <v>525</v>
      </c>
      <c r="B19" s="131">
        <f>Assumptions!$C$79</f>
        <v>810</v>
      </c>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ht="12.75" customHeight="1" x14ac:dyDescent="0.2">
      <c r="A20" s="35" t="s">
        <v>526</v>
      </c>
      <c r="B20" s="35">
        <f>Assumptions!$C$91</f>
        <v>10.23</v>
      </c>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ht="12.75" customHeight="1" x14ac:dyDescent="0.2">
      <c r="A21" s="35" t="s">
        <v>527</v>
      </c>
      <c r="B21" s="35">
        <f>Assumptions!$C$88</f>
        <v>1000000000000000</v>
      </c>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12.75" customHeight="1" x14ac:dyDescent="0.2">
      <c r="A22" s="35" t="s">
        <v>528</v>
      </c>
      <c r="B22" s="139">
        <f>Assumptions!$C$89</f>
        <v>2204622620</v>
      </c>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ht="12.75" customHeight="1" x14ac:dyDescent="0.2">
      <c r="A23" s="131" t="s">
        <v>529</v>
      </c>
      <c r="B23" s="141">
        <f>Assumptions!$C$23</f>
        <v>0.1188</v>
      </c>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ht="12.75" customHeight="1" x14ac:dyDescent="0.2">
      <c r="A24" s="35" t="s">
        <v>530</v>
      </c>
      <c r="B24" s="35">
        <f>Assumptions!$C$57</f>
        <v>0.19639999999999999</v>
      </c>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12.75" customHeight="1" x14ac:dyDescent="0.2">
      <c r="A25" s="131" t="s">
        <v>531</v>
      </c>
      <c r="B25" s="133">
        <f>Assumptions!$C$74</f>
        <v>769</v>
      </c>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12.75" customHeight="1" x14ac:dyDescent="0.2">
      <c r="A26" s="35" t="s">
        <v>532</v>
      </c>
      <c r="B26" s="142"/>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2.75" customHeight="1" x14ac:dyDescent="0.2">
      <c r="A27" s="35" t="s">
        <v>533</v>
      </c>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2.75" customHeight="1" x14ac:dyDescent="0.2">
      <c r="A28" s="35" t="s">
        <v>534</v>
      </c>
      <c r="B28" s="143">
        <f>Assumptions!$C$32</f>
        <v>22.613101864265921</v>
      </c>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ht="12.75" customHeight="1" x14ac:dyDescent="0.2">
      <c r="A29" s="35" t="s">
        <v>535</v>
      </c>
      <c r="B29" s="143">
        <f>Assumptions!C34</f>
        <v>163.04654023313336</v>
      </c>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12.75" customHeight="1" x14ac:dyDescent="0.2">
      <c r="A30" s="35" t="s">
        <v>536</v>
      </c>
      <c r="B30" s="143">
        <f>Assumptions!$C$17</f>
        <v>119.57754041258519</v>
      </c>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12.75" customHeight="1" x14ac:dyDescent="0.2">
      <c r="A31" s="35" t="s">
        <v>537</v>
      </c>
      <c r="B31" s="144">
        <f>Assumptions!$C$16</f>
        <v>11.688909131239999</v>
      </c>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ht="12.75" customHeight="1" x14ac:dyDescent="0.2">
      <c r="A32" s="35" t="s">
        <v>538</v>
      </c>
      <c r="B32" s="35">
        <f>Assumptions!$C$5</f>
        <v>19.600000000000001</v>
      </c>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2.75" customHeight="1" x14ac:dyDescent="0.2">
      <c r="A33" s="35" t="s">
        <v>539</v>
      </c>
      <c r="B33" s="143">
        <f>Assumptions!$C$42</f>
        <v>12.426004480391528</v>
      </c>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2.75" customHeight="1" x14ac:dyDescent="0.2">
      <c r="A34" s="131" t="s">
        <v>540</v>
      </c>
      <c r="B34" s="131">
        <f>Assumptions!$C$78</f>
        <v>488</v>
      </c>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2.75" customHeight="1" x14ac:dyDescent="0.2">
      <c r="A35" s="131" t="s">
        <v>541</v>
      </c>
      <c r="B35" s="131">
        <f>Assumptions!$C$80</f>
        <v>322</v>
      </c>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2.75" customHeight="1" x14ac:dyDescent="0.2">
      <c r="A36" s="35" t="s">
        <v>542</v>
      </c>
      <c r="B36" s="136">
        <f>Assumptions!$C$30</f>
        <v>4.0199999999999996</v>
      </c>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2.75" customHeight="1" x14ac:dyDescent="0.2">
      <c r="A37" s="35" t="s">
        <v>543</v>
      </c>
      <c r="B37" s="136">
        <f>Assumptions!$C$59</f>
        <v>3.68</v>
      </c>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2.75" customHeight="1" x14ac:dyDescent="0.2">
      <c r="A38" s="35" t="s">
        <v>544</v>
      </c>
      <c r="B38" s="35">
        <f>Assumptions!$C$50</f>
        <v>-25.39</v>
      </c>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2.75" customHeight="1" x14ac:dyDescent="0.2">
      <c r="A39" s="35" t="s">
        <v>545</v>
      </c>
      <c r="B39" s="136">
        <f>Assumptions!$C$75</f>
        <v>1.5800000000000002E-2</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2.75" customHeight="1" x14ac:dyDescent="0.2">
      <c r="A40" s="35" t="s">
        <v>546</v>
      </c>
      <c r="B40" s="143">
        <f>Assumptions!$C$63</f>
        <v>9.2960799681520739E-2</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2.75" customHeight="1" x14ac:dyDescent="0.2">
      <c r="A41" s="35" t="s">
        <v>547</v>
      </c>
      <c r="B41" s="143">
        <f>Assumptions!$C$64</f>
        <v>0.87202416049607978</v>
      </c>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2.75" customHeight="1" x14ac:dyDescent="0.2">
      <c r="A42" s="35" t="s">
        <v>548</v>
      </c>
      <c r="B42" s="143">
        <f>Assumptions!$C$62</f>
        <v>0.62719884994402775</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2.75" customHeight="1" x14ac:dyDescent="0.2">
      <c r="A43" s="35" t="s">
        <v>549</v>
      </c>
      <c r="B43" s="143">
        <f>Assumptions!$C$65</f>
        <v>0.69712910209525158</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2.75" customHeight="1" x14ac:dyDescent="0.2">
      <c r="A44" s="35" t="s">
        <v>550</v>
      </c>
      <c r="B44" s="35">
        <f>Assumptions!$C$101</f>
        <v>2.57</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2.75" customHeight="1" x14ac:dyDescent="0.2">
      <c r="A45" s="35" t="s">
        <v>551</v>
      </c>
      <c r="B45" s="140">
        <f>Assumptions!$C$97</f>
        <v>138691.08680216339</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2.75" customHeight="1" x14ac:dyDescent="0.2">
      <c r="A46" s="35" t="s">
        <v>552</v>
      </c>
      <c r="B46" s="139">
        <f>Assumptions!$C$93</f>
        <v>1023000</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2.75" customHeight="1" x14ac:dyDescent="0.2">
      <c r="A47" s="35" t="s">
        <v>553</v>
      </c>
      <c r="B47" s="140">
        <f>Assumptions!$C$100</f>
        <v>91335.939501182875</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2.75" customHeight="1" x14ac:dyDescent="0.2">
      <c r="A48" s="131" t="s">
        <v>554</v>
      </c>
      <c r="B48" s="131">
        <f>Assumptions!$C$73</f>
        <v>0.96</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2.75" customHeight="1" x14ac:dyDescent="0.2">
      <c r="A49" s="131" t="s">
        <v>555</v>
      </c>
      <c r="B49" s="145">
        <f>Assumptions!$C$77</f>
        <v>4</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2.75" customHeight="1" x14ac:dyDescent="0.2">
      <c r="A50" s="131" t="s">
        <v>556</v>
      </c>
      <c r="B50" s="131">
        <f>Assumptions!$C$76</f>
        <v>33</v>
      </c>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2.75" customHeight="1" x14ac:dyDescent="0.2">
      <c r="A51" s="35" t="s">
        <v>557</v>
      </c>
      <c r="B51" s="35">
        <f>Assumptions!$C$52</f>
        <v>-27.46</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2.75" customHeight="1" x14ac:dyDescent="0.2">
      <c r="A52" s="35" t="s">
        <v>558</v>
      </c>
      <c r="B52" s="143">
        <f>Assumptions!$C$48</f>
        <v>-89.38</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2.75" customHeight="1" x14ac:dyDescent="0.2">
      <c r="A53" s="35" t="s">
        <v>559</v>
      </c>
      <c r="B53" s="146">
        <f>Assumptions!$C$22</f>
        <v>943.33333333333337</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2.75" customHeight="1" x14ac:dyDescent="0.2">
      <c r="A54" s="35" t="s">
        <v>560</v>
      </c>
      <c r="B54" s="146">
        <f>Assumptions!$C$29</f>
        <v>45.916666666666664</v>
      </c>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2.75" customHeight="1" x14ac:dyDescent="0.2">
      <c r="A55" s="35" t="s">
        <v>561</v>
      </c>
      <c r="B55" s="139">
        <f>Assumptions!$C$12</f>
        <v>5500</v>
      </c>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2.75" customHeight="1" x14ac:dyDescent="0.2">
      <c r="A56" s="35" t="s">
        <v>562</v>
      </c>
      <c r="B56" s="146">
        <f>Assumptions!$C$39</f>
        <v>38.666666666666664</v>
      </c>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2.75" customHeight="1" x14ac:dyDescent="0.2">
      <c r="A57" s="35" t="s">
        <v>563</v>
      </c>
      <c r="B57" s="136">
        <f>Assumptions!$C$13</f>
        <v>10.68</v>
      </c>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2.75" customHeight="1" x14ac:dyDescent="0.2">
      <c r="A58" s="35" t="s">
        <v>564</v>
      </c>
      <c r="B58" s="136">
        <f>Assumptions!$C$14</f>
        <v>1.0439882697947214</v>
      </c>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2.75" customHeight="1" x14ac:dyDescent="0.2">
      <c r="A59" s="35" t="s">
        <v>565</v>
      </c>
      <c r="B59" s="35">
        <f>Assumptions!$C$51</f>
        <v>-113.14</v>
      </c>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2.75" customHeight="1" x14ac:dyDescent="0.2">
      <c r="A60" s="35" t="s">
        <v>566</v>
      </c>
      <c r="B60" s="147">
        <f>Assumptions!$C$18</f>
        <v>7892.1176672306228</v>
      </c>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2.75" customHeight="1" x14ac:dyDescent="0.2">
      <c r="A61" s="35" t="s">
        <v>567</v>
      </c>
      <c r="B61" s="143">
        <f>Assumptions!$C$6</f>
        <v>1.013684744044602</v>
      </c>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2.75" customHeight="1" x14ac:dyDescent="0.2">
      <c r="A62" s="35" t="s">
        <v>568</v>
      </c>
      <c r="B62" s="35">
        <f>EPA!$B$27</f>
        <v>0</v>
      </c>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2.75" customHeight="1" x14ac:dyDescent="0.2">
      <c r="A63" s="35" t="s">
        <v>569</v>
      </c>
      <c r="B63" s="143">
        <f>Assumptions!$C$49</f>
        <v>-35.56</v>
      </c>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2.75" customHeight="1" x14ac:dyDescent="0.2">
      <c r="A64" s="35" t="s">
        <v>570</v>
      </c>
      <c r="B64" s="136">
        <f>Assumptions!$C$40</f>
        <v>2.4700000000000002</v>
      </c>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2.75" customHeight="1" x14ac:dyDescent="0.2">
      <c r="A65" s="131" t="s">
        <v>571</v>
      </c>
      <c r="B65" s="131">
        <f>Assumptions!$C$67</f>
        <v>0.06</v>
      </c>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2.75" customHeight="1" x14ac:dyDescent="0.2">
      <c r="A66" s="131" t="s">
        <v>572</v>
      </c>
      <c r="B66" s="131">
        <f>Assumptions!$C$61</f>
        <v>0.03</v>
      </c>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2.75" customHeight="1" x14ac:dyDescent="0.2">
      <c r="A67" s="35" t="s">
        <v>573</v>
      </c>
      <c r="B67" s="35">
        <f>Assumptions!$C$58</f>
        <v>0.04</v>
      </c>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2.75" customHeight="1" x14ac:dyDescent="0.2">
      <c r="A68" s="131" t="s">
        <v>574</v>
      </c>
      <c r="B68" s="148">
        <f>Assumptions!$C$85</f>
        <v>150</v>
      </c>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2.75" customHeight="1" x14ac:dyDescent="0.2">
      <c r="A69" s="131" t="s">
        <v>575</v>
      </c>
      <c r="B69" s="133">
        <f>Assumptions!$C$84</f>
        <v>25210000</v>
      </c>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2.75" customHeight="1" x14ac:dyDescent="0.2">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2.75" customHeight="1" x14ac:dyDescent="0.2">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2.75" customHeight="1" x14ac:dyDescent="0.2">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2.75" customHeight="1" x14ac:dyDescent="0.2">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2.75" customHeight="1" x14ac:dyDescent="0.2">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2.75" customHeight="1" x14ac:dyDescent="0.2">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2.75" customHeight="1"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2.75" customHeight="1"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2.75" customHeight="1"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2.75" customHeight="1"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2.75"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2.75" customHeight="1" x14ac:dyDescent="0.2">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2.75" customHeight="1" x14ac:dyDescent="0.2">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2.75" customHeight="1" x14ac:dyDescent="0.2">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2.75" customHeight="1" x14ac:dyDescent="0.2">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2.75" customHeight="1" x14ac:dyDescent="0.2">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2.75" customHeight="1" x14ac:dyDescent="0.2">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2.75" customHeight="1" x14ac:dyDescent="0.2">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2.75" customHeight="1" x14ac:dyDescent="0.2">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2.75" customHeight="1" x14ac:dyDescent="0.2">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2.75" customHeight="1" x14ac:dyDescent="0.2">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2.75" customHeight="1" x14ac:dyDescent="0.2">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2.75" customHeight="1" x14ac:dyDescent="0.2">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2.75" customHeight="1" x14ac:dyDescent="0.2">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2.75" customHeight="1" x14ac:dyDescent="0.2">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2.75"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2.75"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2.75" customHeight="1" x14ac:dyDescent="0.2">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2.75" customHeight="1" x14ac:dyDescent="0.2">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2.75" customHeight="1" x14ac:dyDescent="0.2">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2.75" customHeight="1" x14ac:dyDescent="0.2">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2.75" customHeight="1" x14ac:dyDescent="0.2">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2.75" customHeight="1" x14ac:dyDescent="0.2">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2.75" customHeight="1" x14ac:dyDescent="0.2">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2.75" customHeight="1" x14ac:dyDescent="0.2">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2.75" customHeight="1" x14ac:dyDescent="0.2">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2.75" customHeight="1" x14ac:dyDescent="0.2">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2.75" customHeight="1" x14ac:dyDescent="0.2">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2.75" customHeight="1" x14ac:dyDescent="0.2">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2.75" customHeight="1" x14ac:dyDescent="0.2">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2.75" customHeight="1"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2.75" customHeight="1"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2.75" customHeight="1"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2.75" customHeight="1"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2.75" customHeight="1"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2.75" customHeight="1"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2.75" customHeight="1" x14ac:dyDescent="0.2">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2.75" customHeight="1" x14ac:dyDescent="0.2">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2.75" customHeight="1" x14ac:dyDescent="0.2">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2.75" customHeight="1" x14ac:dyDescent="0.2">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2.75" customHeight="1" x14ac:dyDescent="0.2">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2.75" customHeight="1" x14ac:dyDescent="0.2">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2.75" customHeight="1" x14ac:dyDescent="0.2">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2.75" customHeight="1" x14ac:dyDescent="0.2">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2.75" customHeight="1" x14ac:dyDescent="0.2">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2.75" customHeight="1" x14ac:dyDescent="0.2">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2.75" customHeight="1" x14ac:dyDescent="0.2">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2.75" customHeight="1" x14ac:dyDescent="0.2">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2.75" customHeight="1" x14ac:dyDescent="0.2">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2.75" customHeight="1" x14ac:dyDescent="0.2">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2.75" customHeight="1" x14ac:dyDescent="0.2">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2.75" customHeight="1" x14ac:dyDescent="0.2">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2.75" customHeight="1" x14ac:dyDescent="0.2">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2.75" customHeight="1" x14ac:dyDescent="0.2">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2.75" customHeight="1" x14ac:dyDescent="0.2">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2.75" customHeight="1" x14ac:dyDescent="0.2">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2.75" customHeight="1"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2.75" customHeight="1" x14ac:dyDescent="0.2">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2.75" customHeight="1" x14ac:dyDescent="0.2">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2.75" customHeight="1"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2.75" customHeight="1"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2.75" customHeight="1" x14ac:dyDescent="0.2">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2.75" customHeight="1" x14ac:dyDescent="0.2">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2.75" customHeight="1" x14ac:dyDescent="0.2">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2.75" customHeight="1" x14ac:dyDescent="0.2">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2.75" customHeight="1" x14ac:dyDescent="0.2">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2.75" customHeight="1" x14ac:dyDescent="0.2">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2.75" customHeight="1" x14ac:dyDescent="0.2">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2.75" customHeight="1" x14ac:dyDescent="0.2">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2.75" customHeight="1" x14ac:dyDescent="0.2">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2.75" customHeight="1" x14ac:dyDescent="0.2">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2.75" customHeight="1" x14ac:dyDescent="0.2">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2.75" customHeight="1" x14ac:dyDescent="0.2">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2.75" customHeight="1" x14ac:dyDescent="0.2">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2.75" customHeight="1" x14ac:dyDescent="0.2">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2.75" customHeight="1" x14ac:dyDescent="0.2">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2.75" customHeight="1" x14ac:dyDescent="0.2">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2.75" customHeight="1" x14ac:dyDescent="0.2">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2.75" customHeight="1" x14ac:dyDescent="0.2">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2.75" customHeight="1" x14ac:dyDescent="0.2">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2.75" customHeight="1" x14ac:dyDescent="0.2">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2.75" customHeight="1" x14ac:dyDescent="0.2">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2.75" customHeight="1" x14ac:dyDescent="0.2">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2.75" customHeight="1" x14ac:dyDescent="0.2">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2.75" customHeight="1" x14ac:dyDescent="0.2">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2.75" customHeight="1" x14ac:dyDescent="0.2">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2.75" customHeight="1" x14ac:dyDescent="0.2">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2.75" customHeight="1" x14ac:dyDescent="0.2">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2.75" customHeight="1" x14ac:dyDescent="0.2">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2.75" customHeight="1" x14ac:dyDescent="0.2">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2.75" customHeight="1" x14ac:dyDescent="0.2">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2.75" customHeight="1" x14ac:dyDescent="0.2">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2.75" customHeight="1" x14ac:dyDescent="0.2">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2.75" customHeight="1" x14ac:dyDescent="0.2">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2.75" customHeight="1" x14ac:dyDescent="0.2">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2.75" customHeight="1" x14ac:dyDescent="0.2">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2.75" customHeight="1" x14ac:dyDescent="0.2">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2.75" customHeight="1" x14ac:dyDescent="0.2">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2.75" customHeight="1" x14ac:dyDescent="0.2">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2.75" customHeight="1" x14ac:dyDescent="0.2">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2.75" customHeight="1" x14ac:dyDescent="0.2">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2.75" customHeight="1" x14ac:dyDescent="0.2">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2.75" customHeight="1" x14ac:dyDescent="0.2">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2.75" customHeight="1" x14ac:dyDescent="0.2">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2.75" customHeight="1" x14ac:dyDescent="0.2">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2.75" customHeight="1" x14ac:dyDescent="0.2">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2.75" customHeight="1" x14ac:dyDescent="0.2">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2.75" customHeight="1" x14ac:dyDescent="0.2">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2.75" customHeight="1" x14ac:dyDescent="0.2">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2.75" customHeight="1" x14ac:dyDescent="0.2">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2.75" customHeight="1" x14ac:dyDescent="0.2">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2.75" customHeight="1" x14ac:dyDescent="0.2">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2.75" customHeight="1" x14ac:dyDescent="0.2">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2.75" customHeight="1" x14ac:dyDescent="0.2">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2.75" customHeight="1" x14ac:dyDescent="0.2">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2.75" customHeight="1" x14ac:dyDescent="0.2">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2.75" customHeight="1" x14ac:dyDescent="0.2">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2.75" customHeight="1" x14ac:dyDescent="0.2">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2.75" customHeight="1" x14ac:dyDescent="0.2">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2.75" customHeight="1" x14ac:dyDescent="0.2">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2.75" customHeight="1" x14ac:dyDescent="0.2">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2.75" customHeight="1" x14ac:dyDescent="0.2">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2.75" customHeight="1" x14ac:dyDescent="0.2">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2.75" customHeight="1" x14ac:dyDescent="0.2">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2.75" customHeight="1" x14ac:dyDescent="0.2">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2.75" customHeight="1" x14ac:dyDescent="0.2">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2.75" customHeight="1" x14ac:dyDescent="0.2">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2.75" customHeight="1" x14ac:dyDescent="0.2">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2.75" customHeight="1" x14ac:dyDescent="0.2">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2.75" customHeight="1" x14ac:dyDescent="0.2">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2.75" customHeight="1" x14ac:dyDescent="0.2">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2.75" customHeight="1" x14ac:dyDescent="0.2">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2.75" customHeight="1" x14ac:dyDescent="0.2">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2.75" customHeight="1" x14ac:dyDescent="0.2">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2.75" customHeight="1" x14ac:dyDescent="0.2">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2.75" customHeight="1" x14ac:dyDescent="0.2">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2.75" customHeight="1" x14ac:dyDescent="0.2">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2.75" customHeight="1" x14ac:dyDescent="0.2">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2.75" customHeight="1" x14ac:dyDescent="0.2">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2.75" customHeight="1" x14ac:dyDescent="0.2">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2.75" customHeight="1" x14ac:dyDescent="0.2">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2.75" customHeight="1" x14ac:dyDescent="0.2">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2.75" customHeight="1" x14ac:dyDescent="0.2">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2.75" customHeight="1" x14ac:dyDescent="0.2">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2.75" customHeight="1" x14ac:dyDescent="0.2">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2.75" customHeight="1" x14ac:dyDescent="0.2">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2.75" customHeight="1" x14ac:dyDescent="0.2">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2.75" customHeight="1" x14ac:dyDescent="0.2">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2.75" customHeight="1" x14ac:dyDescent="0.2">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2.75" customHeight="1" x14ac:dyDescent="0.2">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2.75" customHeight="1" x14ac:dyDescent="0.2">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2.75" customHeight="1" x14ac:dyDescent="0.2">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2.75" customHeight="1" x14ac:dyDescent="0.2">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2.75" customHeight="1" x14ac:dyDescent="0.2">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2.75" customHeight="1" x14ac:dyDescent="0.2">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2.75" customHeight="1" x14ac:dyDescent="0.2">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2.75" customHeight="1" x14ac:dyDescent="0.2">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2.75" customHeight="1" x14ac:dyDescent="0.2">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2.75" customHeight="1" x14ac:dyDescent="0.2">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2.75" customHeight="1" x14ac:dyDescent="0.2">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2.75" customHeight="1" x14ac:dyDescent="0.2">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2.75" customHeight="1" x14ac:dyDescent="0.2">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2.75" customHeight="1" x14ac:dyDescent="0.2">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2.75" customHeight="1" x14ac:dyDescent="0.2">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2.75" customHeight="1" x14ac:dyDescent="0.2">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2.75" customHeight="1" x14ac:dyDescent="0.2">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2.75" customHeight="1" x14ac:dyDescent="0.2">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2.75" customHeight="1" x14ac:dyDescent="0.2">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2.75" customHeight="1" x14ac:dyDescent="0.2">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2.75" customHeight="1" x14ac:dyDescent="0.2">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2.75" customHeight="1" x14ac:dyDescent="0.2">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2.75" customHeight="1" x14ac:dyDescent="0.2">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2.75" customHeight="1" x14ac:dyDescent="0.2">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2.75" customHeight="1" x14ac:dyDescent="0.2">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2.75" customHeight="1" x14ac:dyDescent="0.2">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2.75" customHeight="1" x14ac:dyDescent="0.2">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2.75" customHeight="1" x14ac:dyDescent="0.2">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2.75" customHeight="1" x14ac:dyDescent="0.2">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2.75" customHeight="1" x14ac:dyDescent="0.2">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2.75" customHeight="1" x14ac:dyDescent="0.2">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2.75" customHeight="1" x14ac:dyDescent="0.2">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2.75" customHeight="1" x14ac:dyDescent="0.2">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2.75" customHeight="1" x14ac:dyDescent="0.2">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2.75" customHeight="1" x14ac:dyDescent="0.2">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2.75" customHeight="1" x14ac:dyDescent="0.2">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2.75" customHeight="1" x14ac:dyDescent="0.2">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2.75" customHeight="1" x14ac:dyDescent="0.2">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2.75" customHeight="1" x14ac:dyDescent="0.2">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2.75" customHeight="1" x14ac:dyDescent="0.2">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2.75" customHeight="1" x14ac:dyDescent="0.2">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2.75" customHeight="1" x14ac:dyDescent="0.2">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2.75" customHeight="1" x14ac:dyDescent="0.2">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2.75" customHeight="1" x14ac:dyDescent="0.2">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2.75" customHeight="1" x14ac:dyDescent="0.2">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2.75" customHeight="1" x14ac:dyDescent="0.2">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2.75" customHeight="1" x14ac:dyDescent="0.2">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2.75" customHeight="1" x14ac:dyDescent="0.2">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2.75" customHeight="1" x14ac:dyDescent="0.2">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2.75" customHeight="1" x14ac:dyDescent="0.2">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2.75" customHeight="1" x14ac:dyDescent="0.2">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2.75" customHeight="1" x14ac:dyDescent="0.2">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2.75" customHeight="1" x14ac:dyDescent="0.2">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2.75" customHeight="1" x14ac:dyDescent="0.2">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2.75" customHeight="1" x14ac:dyDescent="0.2">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2.75" customHeight="1" x14ac:dyDescent="0.2">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2.75" customHeight="1" x14ac:dyDescent="0.2">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2.75" customHeight="1" x14ac:dyDescent="0.2">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2.75" customHeight="1" x14ac:dyDescent="0.2">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2.75" customHeight="1" x14ac:dyDescent="0.2">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2.75" customHeight="1" x14ac:dyDescent="0.2">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2.75" customHeight="1" x14ac:dyDescent="0.2">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2.75" customHeight="1" x14ac:dyDescent="0.2">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2.75" customHeight="1" x14ac:dyDescent="0.2">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2.75" customHeight="1" x14ac:dyDescent="0.2">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2.75" customHeight="1" x14ac:dyDescent="0.2">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2.75" customHeight="1" x14ac:dyDescent="0.2">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2.75" customHeight="1" x14ac:dyDescent="0.2">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2.75" customHeight="1" x14ac:dyDescent="0.2">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2.75" customHeight="1" x14ac:dyDescent="0.2">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2.75" customHeight="1" x14ac:dyDescent="0.2">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2.75" customHeight="1" x14ac:dyDescent="0.2">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2.75" customHeight="1" x14ac:dyDescent="0.2">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2.75" customHeight="1" x14ac:dyDescent="0.2">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2.75" customHeight="1" x14ac:dyDescent="0.2">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2.75" customHeight="1" x14ac:dyDescent="0.2">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2.75" customHeight="1" x14ac:dyDescent="0.2">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2.75" customHeight="1" x14ac:dyDescent="0.2">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2.75" customHeight="1" x14ac:dyDescent="0.2">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2.75" customHeight="1" x14ac:dyDescent="0.2">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2.75" customHeight="1" x14ac:dyDescent="0.2">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2.75" customHeight="1" x14ac:dyDescent="0.2">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2.75" customHeight="1" x14ac:dyDescent="0.2">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2.75" customHeight="1" x14ac:dyDescent="0.2">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2.75" customHeight="1" x14ac:dyDescent="0.2">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2.75" customHeight="1" x14ac:dyDescent="0.2">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2.75" customHeight="1" x14ac:dyDescent="0.2">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2.75" customHeight="1" x14ac:dyDescent="0.2">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2.75" customHeight="1" x14ac:dyDescent="0.2">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2.75" customHeight="1" x14ac:dyDescent="0.2">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2.75" customHeight="1" x14ac:dyDescent="0.2">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2.75" customHeight="1" x14ac:dyDescent="0.2">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2.75" customHeight="1" x14ac:dyDescent="0.2">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2.75" customHeight="1" x14ac:dyDescent="0.2">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2.75" customHeight="1" x14ac:dyDescent="0.2">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2.75" customHeight="1" x14ac:dyDescent="0.2">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2.75" customHeight="1" x14ac:dyDescent="0.2">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2.75" customHeight="1" x14ac:dyDescent="0.2">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2.75" customHeight="1" x14ac:dyDescent="0.2">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2.75" customHeight="1" x14ac:dyDescent="0.2">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2.75" customHeight="1" x14ac:dyDescent="0.2">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2.75" customHeight="1" x14ac:dyDescent="0.2">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2.75" customHeight="1" x14ac:dyDescent="0.2">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2.75" customHeight="1" x14ac:dyDescent="0.2">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2.75" customHeight="1" x14ac:dyDescent="0.2">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2.75" customHeight="1" x14ac:dyDescent="0.2">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2.75" customHeight="1" x14ac:dyDescent="0.2">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2.75" customHeight="1" x14ac:dyDescent="0.2">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2.75" customHeight="1" x14ac:dyDescent="0.2">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2.75" customHeight="1" x14ac:dyDescent="0.2">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2.75" customHeight="1" x14ac:dyDescent="0.2">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2.75" customHeight="1" x14ac:dyDescent="0.2">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2.75" customHeight="1" x14ac:dyDescent="0.2">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2.75" customHeight="1" x14ac:dyDescent="0.2">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2.75" customHeight="1" x14ac:dyDescent="0.2">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2.75" customHeight="1" x14ac:dyDescent="0.2">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2.75" customHeight="1" x14ac:dyDescent="0.2">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2.75" customHeight="1" x14ac:dyDescent="0.2">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2.75" customHeight="1" x14ac:dyDescent="0.2">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2.75" customHeight="1" x14ac:dyDescent="0.2">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2.75" customHeight="1" x14ac:dyDescent="0.2">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2.75" customHeight="1" x14ac:dyDescent="0.2">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2.75" customHeight="1" x14ac:dyDescent="0.2">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2.75" customHeight="1" x14ac:dyDescent="0.2">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2.75" customHeight="1" x14ac:dyDescent="0.2">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2.75" customHeight="1" x14ac:dyDescent="0.2">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2.75" customHeight="1" x14ac:dyDescent="0.2">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2.75" customHeight="1" x14ac:dyDescent="0.2">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2.75" customHeight="1" x14ac:dyDescent="0.2">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2.75" customHeight="1" x14ac:dyDescent="0.2">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2.75" customHeight="1" x14ac:dyDescent="0.2">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2.75" customHeight="1" x14ac:dyDescent="0.2">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2.75" customHeight="1" x14ac:dyDescent="0.2">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2.75" customHeight="1" x14ac:dyDescent="0.2">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2.75" customHeight="1" x14ac:dyDescent="0.2">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2.75" customHeight="1" x14ac:dyDescent="0.2">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2.75" customHeight="1" x14ac:dyDescent="0.2">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2.75" customHeight="1" x14ac:dyDescent="0.2">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2.75" customHeight="1" x14ac:dyDescent="0.2">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2.75" customHeight="1" x14ac:dyDescent="0.2">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2.75" customHeight="1" x14ac:dyDescent="0.2">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2.75" customHeight="1" x14ac:dyDescent="0.2">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2.75" customHeight="1" x14ac:dyDescent="0.2">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2.75" customHeight="1" x14ac:dyDescent="0.2">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2.75" customHeight="1" x14ac:dyDescent="0.2">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2.75" customHeight="1" x14ac:dyDescent="0.2">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2.75" customHeight="1" x14ac:dyDescent="0.2">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2.75" customHeight="1" x14ac:dyDescent="0.2">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2.75" customHeight="1" x14ac:dyDescent="0.2">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2.75" customHeight="1" x14ac:dyDescent="0.2">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2.75" customHeight="1" x14ac:dyDescent="0.2">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2.75" customHeight="1" x14ac:dyDescent="0.2">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2.75" customHeight="1" x14ac:dyDescent="0.2">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2.75" customHeight="1" x14ac:dyDescent="0.2">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2.75" customHeight="1" x14ac:dyDescent="0.2">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2.75" customHeight="1" x14ac:dyDescent="0.2">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2.75" customHeight="1" x14ac:dyDescent="0.2">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2.75" customHeight="1" x14ac:dyDescent="0.2">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2.75" customHeight="1" x14ac:dyDescent="0.2">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2.75" customHeight="1" x14ac:dyDescent="0.2">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2.75" customHeight="1" x14ac:dyDescent="0.2">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2.75" customHeight="1" x14ac:dyDescent="0.2">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2.75" customHeight="1" x14ac:dyDescent="0.2">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2.75" customHeight="1" x14ac:dyDescent="0.2">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2.75" customHeight="1" x14ac:dyDescent="0.2">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2.75" customHeight="1" x14ac:dyDescent="0.2">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2.75" customHeight="1" x14ac:dyDescent="0.2">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2.75" customHeight="1" x14ac:dyDescent="0.2">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2.75" customHeight="1" x14ac:dyDescent="0.2">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2.75" customHeight="1" x14ac:dyDescent="0.2">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2.75" customHeight="1" x14ac:dyDescent="0.2">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2.75" customHeight="1" x14ac:dyDescent="0.2">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2.75" customHeight="1" x14ac:dyDescent="0.2">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2.75" customHeight="1" x14ac:dyDescent="0.2">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2.75" customHeight="1" x14ac:dyDescent="0.2">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2.75" customHeight="1" x14ac:dyDescent="0.2">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2.75" customHeight="1" x14ac:dyDescent="0.2">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2.75" customHeight="1" x14ac:dyDescent="0.2">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2.75" customHeight="1" x14ac:dyDescent="0.2">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2.75" customHeight="1" x14ac:dyDescent="0.2">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2.75" customHeight="1" x14ac:dyDescent="0.2">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2.75" customHeight="1" x14ac:dyDescent="0.2">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2.75" customHeight="1" x14ac:dyDescent="0.2">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2.75" customHeight="1" x14ac:dyDescent="0.2">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2.75" customHeight="1" x14ac:dyDescent="0.2">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2.75" customHeight="1" x14ac:dyDescent="0.2">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2.75" customHeight="1" x14ac:dyDescent="0.2">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2.75" customHeight="1" x14ac:dyDescent="0.2">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2.75" customHeight="1" x14ac:dyDescent="0.2">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2.75" customHeight="1" x14ac:dyDescent="0.2">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2.75" customHeight="1" x14ac:dyDescent="0.2">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2.75" customHeight="1" x14ac:dyDescent="0.2">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2.75" customHeight="1" x14ac:dyDescent="0.2">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2.75" customHeight="1" x14ac:dyDescent="0.2">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2.75" customHeight="1" x14ac:dyDescent="0.2">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2.75" customHeight="1" x14ac:dyDescent="0.2">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2.75" customHeight="1" x14ac:dyDescent="0.2">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2.75" customHeight="1" x14ac:dyDescent="0.2">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2.75" customHeight="1" x14ac:dyDescent="0.2">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2.75" customHeight="1" x14ac:dyDescent="0.2">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2.75" customHeight="1" x14ac:dyDescent="0.2">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2.75" customHeight="1" x14ac:dyDescent="0.2">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2.75" customHeight="1" x14ac:dyDescent="0.2">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2.75" customHeight="1" x14ac:dyDescent="0.2">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2.75" customHeight="1" x14ac:dyDescent="0.2">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2.75" customHeight="1" x14ac:dyDescent="0.2">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2.75" customHeight="1" x14ac:dyDescent="0.2">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2.75" customHeight="1" x14ac:dyDescent="0.2">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2.75" customHeight="1" x14ac:dyDescent="0.2">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2.75" customHeight="1" x14ac:dyDescent="0.2">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2.75" customHeight="1" x14ac:dyDescent="0.2">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2.75" customHeight="1" x14ac:dyDescent="0.2">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2.75" customHeight="1" x14ac:dyDescent="0.2">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2.75" customHeight="1" x14ac:dyDescent="0.2">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2.75" customHeight="1" x14ac:dyDescent="0.2">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2.75" customHeight="1" x14ac:dyDescent="0.2">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2.75" customHeight="1" x14ac:dyDescent="0.2">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2.75" customHeight="1" x14ac:dyDescent="0.2">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2.75" customHeight="1" x14ac:dyDescent="0.2">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2.75" customHeight="1" x14ac:dyDescent="0.2">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2.75" customHeight="1" x14ac:dyDescent="0.2">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2.75" customHeight="1" x14ac:dyDescent="0.2">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2.75" customHeight="1" x14ac:dyDescent="0.2">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2.75" customHeight="1" x14ac:dyDescent="0.2">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2.75" customHeight="1" x14ac:dyDescent="0.2">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2.75" customHeight="1" x14ac:dyDescent="0.2">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2.75" customHeight="1" x14ac:dyDescent="0.2">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2.75" customHeight="1" x14ac:dyDescent="0.2">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2.75" customHeight="1" x14ac:dyDescent="0.2">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2.75" customHeight="1" x14ac:dyDescent="0.2">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2.75" customHeight="1" x14ac:dyDescent="0.2">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2.75" customHeight="1" x14ac:dyDescent="0.2">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2.75" customHeight="1" x14ac:dyDescent="0.2">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2.75" customHeight="1" x14ac:dyDescent="0.2">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2.75" customHeight="1" x14ac:dyDescent="0.2">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2.75" customHeight="1" x14ac:dyDescent="0.2">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2.75" customHeight="1" x14ac:dyDescent="0.2">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2.75" customHeight="1" x14ac:dyDescent="0.2">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2.75" customHeight="1" x14ac:dyDescent="0.2">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2.75" customHeight="1" x14ac:dyDescent="0.2">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2.75" customHeight="1" x14ac:dyDescent="0.2">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2.75" customHeight="1" x14ac:dyDescent="0.2">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2.75" customHeight="1" x14ac:dyDescent="0.2">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2.75" customHeight="1" x14ac:dyDescent="0.2">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2.75" customHeight="1" x14ac:dyDescent="0.2">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2.75" customHeight="1" x14ac:dyDescent="0.2">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2.75" customHeight="1" x14ac:dyDescent="0.2">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2.75" customHeight="1" x14ac:dyDescent="0.2">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2.75" customHeight="1" x14ac:dyDescent="0.2">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2.75" customHeight="1" x14ac:dyDescent="0.2">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2.75" customHeight="1" x14ac:dyDescent="0.2">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2.75" customHeight="1" x14ac:dyDescent="0.2">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2.75" customHeight="1" x14ac:dyDescent="0.2">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2.75" customHeight="1" x14ac:dyDescent="0.2">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2.75" customHeight="1" x14ac:dyDescent="0.2">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2.75" customHeight="1" x14ac:dyDescent="0.2">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2.75" customHeight="1" x14ac:dyDescent="0.2">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2.75" customHeight="1" x14ac:dyDescent="0.2">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2.75" customHeight="1" x14ac:dyDescent="0.2">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2.75" customHeight="1" x14ac:dyDescent="0.2">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2.75" customHeight="1" x14ac:dyDescent="0.2">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2.75" customHeight="1" x14ac:dyDescent="0.2">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2.75" customHeight="1" x14ac:dyDescent="0.2">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2.75" customHeight="1" x14ac:dyDescent="0.2">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2.75" customHeight="1" x14ac:dyDescent="0.2">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2.75" customHeight="1" x14ac:dyDescent="0.2">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2.75" customHeight="1" x14ac:dyDescent="0.2">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2.75" customHeight="1" x14ac:dyDescent="0.2">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2.75" customHeight="1" x14ac:dyDescent="0.2">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2.75" customHeight="1" x14ac:dyDescent="0.2">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2.75" customHeight="1" x14ac:dyDescent="0.2">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2.75" customHeight="1" x14ac:dyDescent="0.2">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2.75" customHeight="1" x14ac:dyDescent="0.2">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2.75" customHeight="1" x14ac:dyDescent="0.2">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2.75" customHeight="1" x14ac:dyDescent="0.2">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2.75" customHeight="1" x14ac:dyDescent="0.2">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2.75" customHeight="1" x14ac:dyDescent="0.2">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2.75" customHeight="1" x14ac:dyDescent="0.2">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2.75" customHeight="1" x14ac:dyDescent="0.2">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2.75" customHeight="1" x14ac:dyDescent="0.2">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2.75" customHeight="1" x14ac:dyDescent="0.2">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2.75" customHeight="1" x14ac:dyDescent="0.2">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2.75" customHeight="1" x14ac:dyDescent="0.2">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2.75" customHeight="1" x14ac:dyDescent="0.2">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2.75" customHeight="1" x14ac:dyDescent="0.2">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2.75" customHeight="1" x14ac:dyDescent="0.2">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2.75" customHeight="1" x14ac:dyDescent="0.2">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2.75" customHeight="1" x14ac:dyDescent="0.2">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2.75" customHeight="1" x14ac:dyDescent="0.2">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2.75" customHeight="1" x14ac:dyDescent="0.2">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2.75" customHeight="1" x14ac:dyDescent="0.2">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2.75" customHeight="1" x14ac:dyDescent="0.2">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2.75" customHeight="1" x14ac:dyDescent="0.2">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2.75" customHeight="1" x14ac:dyDescent="0.2">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2.75" customHeight="1" x14ac:dyDescent="0.2">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2.75" customHeight="1" x14ac:dyDescent="0.2">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2.75" customHeight="1" x14ac:dyDescent="0.2">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2.75" customHeight="1" x14ac:dyDescent="0.2">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2.75" customHeight="1" x14ac:dyDescent="0.2">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2.75" customHeight="1" x14ac:dyDescent="0.2">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2.75" customHeight="1" x14ac:dyDescent="0.2">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2.75" customHeight="1" x14ac:dyDescent="0.2">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2.75" customHeight="1" x14ac:dyDescent="0.2">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2.75" customHeight="1" x14ac:dyDescent="0.2">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2.75" customHeight="1" x14ac:dyDescent="0.2">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2.75" customHeight="1" x14ac:dyDescent="0.2">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2.75" customHeight="1" x14ac:dyDescent="0.2">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2.75" customHeight="1" x14ac:dyDescent="0.2">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2.75" customHeight="1" x14ac:dyDescent="0.2">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2.75" customHeight="1" x14ac:dyDescent="0.2">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2.75" customHeight="1" x14ac:dyDescent="0.2">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2.75" customHeight="1" x14ac:dyDescent="0.2">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2.75" customHeight="1" x14ac:dyDescent="0.2">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2.75" customHeight="1" x14ac:dyDescent="0.2">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2.75" customHeight="1" x14ac:dyDescent="0.2">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2.75" customHeight="1" x14ac:dyDescent="0.2">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2.75" customHeight="1" x14ac:dyDescent="0.2">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2.75" customHeight="1" x14ac:dyDescent="0.2">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2.75" customHeight="1" x14ac:dyDescent="0.2">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2.75" customHeight="1" x14ac:dyDescent="0.2">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2.75" customHeight="1" x14ac:dyDescent="0.2">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2.75" customHeight="1" x14ac:dyDescent="0.2">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2.75" customHeight="1" x14ac:dyDescent="0.2">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2.75" customHeight="1" x14ac:dyDescent="0.2">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2.75" customHeight="1" x14ac:dyDescent="0.2">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2.75" customHeight="1" x14ac:dyDescent="0.2">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2.75" customHeight="1" x14ac:dyDescent="0.2">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2.75" customHeight="1" x14ac:dyDescent="0.2">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2.75" customHeight="1" x14ac:dyDescent="0.2">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2.75" customHeight="1" x14ac:dyDescent="0.2">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2.75" customHeight="1" x14ac:dyDescent="0.2">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2.75" customHeight="1" x14ac:dyDescent="0.2">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2.75" customHeight="1" x14ac:dyDescent="0.2">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2.75" customHeight="1" x14ac:dyDescent="0.2">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2.75" customHeight="1" x14ac:dyDescent="0.2">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2.75" customHeight="1" x14ac:dyDescent="0.2">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2.75" customHeight="1" x14ac:dyDescent="0.2">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2.75" customHeight="1" x14ac:dyDescent="0.2">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2.75" customHeight="1" x14ac:dyDescent="0.2">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2.75" customHeight="1" x14ac:dyDescent="0.2">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2.75" customHeight="1" x14ac:dyDescent="0.2">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2.75" customHeight="1" x14ac:dyDescent="0.2">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2.75" customHeight="1" x14ac:dyDescent="0.2">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2.75" customHeight="1" x14ac:dyDescent="0.2">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2.75" customHeight="1" x14ac:dyDescent="0.2">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2.75" customHeight="1" x14ac:dyDescent="0.2">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2.75" customHeight="1" x14ac:dyDescent="0.2">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2.75" customHeight="1" x14ac:dyDescent="0.2">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2.75" customHeight="1" x14ac:dyDescent="0.2">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2.75" customHeight="1" x14ac:dyDescent="0.2">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2.75" customHeight="1" x14ac:dyDescent="0.2">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2.75" customHeight="1" x14ac:dyDescent="0.2">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2.75" customHeight="1" x14ac:dyDescent="0.2">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2.75" customHeight="1" x14ac:dyDescent="0.2">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2.75" customHeight="1" x14ac:dyDescent="0.2">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2.75" customHeight="1" x14ac:dyDescent="0.2">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2.75" customHeight="1" x14ac:dyDescent="0.2">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2.75" customHeight="1" x14ac:dyDescent="0.2">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2.75" customHeight="1" x14ac:dyDescent="0.2">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2.75" customHeight="1" x14ac:dyDescent="0.2">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2.75" customHeight="1" x14ac:dyDescent="0.2">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2.75" customHeight="1" x14ac:dyDescent="0.2">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2.75" customHeight="1" x14ac:dyDescent="0.2">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2.75" customHeight="1" x14ac:dyDescent="0.2">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2.75" customHeight="1" x14ac:dyDescent="0.2">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2.75" customHeight="1" x14ac:dyDescent="0.2">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2.75" customHeight="1" x14ac:dyDescent="0.2">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2.75" customHeight="1" x14ac:dyDescent="0.2">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2.75" customHeight="1" x14ac:dyDescent="0.2">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2.75" customHeight="1" x14ac:dyDescent="0.2">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2.75" customHeight="1" x14ac:dyDescent="0.2">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2.75" customHeight="1" x14ac:dyDescent="0.2">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2.75" customHeight="1" x14ac:dyDescent="0.2">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2.75" customHeight="1" x14ac:dyDescent="0.2">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2.75" customHeight="1" x14ac:dyDescent="0.2">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2.75" customHeight="1" x14ac:dyDescent="0.2">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2.75" customHeight="1" x14ac:dyDescent="0.2">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2.75" customHeight="1" x14ac:dyDescent="0.2">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2.75" customHeight="1" x14ac:dyDescent="0.2">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2.75" customHeight="1" x14ac:dyDescent="0.2">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2.75" customHeight="1" x14ac:dyDescent="0.2">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2.75" customHeight="1" x14ac:dyDescent="0.2">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2.75" customHeight="1" x14ac:dyDescent="0.2">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2.75" customHeight="1" x14ac:dyDescent="0.2">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2.75" customHeight="1" x14ac:dyDescent="0.2">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2.75" customHeight="1" x14ac:dyDescent="0.2">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2.75" customHeight="1" x14ac:dyDescent="0.2">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2.75" customHeight="1" x14ac:dyDescent="0.2">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2.75" customHeight="1" x14ac:dyDescent="0.2">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2.75" customHeight="1" x14ac:dyDescent="0.2">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2.75" customHeight="1" x14ac:dyDescent="0.2">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2.75" customHeight="1" x14ac:dyDescent="0.2">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2.75" customHeight="1" x14ac:dyDescent="0.2">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2.75" customHeight="1" x14ac:dyDescent="0.2">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2.75" customHeight="1" x14ac:dyDescent="0.2">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2.75" customHeight="1" x14ac:dyDescent="0.2">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2.75" customHeight="1" x14ac:dyDescent="0.2">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2.75" customHeight="1" x14ac:dyDescent="0.2">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2.75" customHeight="1" x14ac:dyDescent="0.2">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2.75" customHeight="1" x14ac:dyDescent="0.2">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2.75" customHeight="1" x14ac:dyDescent="0.2">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2.75" customHeight="1" x14ac:dyDescent="0.2">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2.75" customHeight="1" x14ac:dyDescent="0.2">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2.75" customHeight="1" x14ac:dyDescent="0.2">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2.75" customHeight="1" x14ac:dyDescent="0.2">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2.75" customHeight="1" x14ac:dyDescent="0.2">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2.75" customHeight="1" x14ac:dyDescent="0.2">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2.75" customHeight="1" x14ac:dyDescent="0.2">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2.75" customHeight="1" x14ac:dyDescent="0.2">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2.75" customHeight="1" x14ac:dyDescent="0.2">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2.75" customHeight="1" x14ac:dyDescent="0.2">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2.75" customHeight="1" x14ac:dyDescent="0.2">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2.75" customHeight="1" x14ac:dyDescent="0.2">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2.75" customHeight="1" x14ac:dyDescent="0.2">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2.75" customHeight="1" x14ac:dyDescent="0.2">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2.75" customHeight="1" x14ac:dyDescent="0.2">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2.75" customHeight="1" x14ac:dyDescent="0.2">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2.75" customHeight="1" x14ac:dyDescent="0.2">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2.75" customHeight="1" x14ac:dyDescent="0.2">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2.75" customHeight="1" x14ac:dyDescent="0.2">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2.75" customHeight="1" x14ac:dyDescent="0.2">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2.75" customHeight="1" x14ac:dyDescent="0.2">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2.75" customHeight="1" x14ac:dyDescent="0.2">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2.75" customHeight="1" x14ac:dyDescent="0.2">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2.75" customHeight="1" x14ac:dyDescent="0.2">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2.75" customHeight="1" x14ac:dyDescent="0.2">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2.75" customHeight="1" x14ac:dyDescent="0.2">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2.75" customHeight="1" x14ac:dyDescent="0.2">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2.75" customHeight="1" x14ac:dyDescent="0.2">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2.75" customHeight="1" x14ac:dyDescent="0.2">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2.75" customHeight="1" x14ac:dyDescent="0.2">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2.75" customHeight="1" x14ac:dyDescent="0.2">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2.75" customHeight="1" x14ac:dyDescent="0.2">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2.75" customHeight="1" x14ac:dyDescent="0.2">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2.75" customHeight="1" x14ac:dyDescent="0.2">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2.75" customHeight="1" x14ac:dyDescent="0.2">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2.75" customHeight="1" x14ac:dyDescent="0.2">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2.75" customHeight="1" x14ac:dyDescent="0.2">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2.75" customHeight="1" x14ac:dyDescent="0.2">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2.75" customHeight="1" x14ac:dyDescent="0.2">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2.75" customHeight="1" x14ac:dyDescent="0.2">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2.75" customHeight="1" x14ac:dyDescent="0.2">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2.75" customHeight="1" x14ac:dyDescent="0.2">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2.75" customHeight="1" x14ac:dyDescent="0.2">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2.75" customHeight="1" x14ac:dyDescent="0.2">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2.75" customHeight="1" x14ac:dyDescent="0.2">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2.75" customHeight="1" x14ac:dyDescent="0.2">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2.75" customHeight="1" x14ac:dyDescent="0.2">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2.75" customHeight="1" x14ac:dyDescent="0.2">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2.75" customHeight="1" x14ac:dyDescent="0.2">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2.75" customHeight="1" x14ac:dyDescent="0.2">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2.75" customHeight="1" x14ac:dyDescent="0.2">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2.75" customHeight="1" x14ac:dyDescent="0.2">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2.75" customHeight="1" x14ac:dyDescent="0.2">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2.75" customHeight="1" x14ac:dyDescent="0.2">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2.75" customHeight="1" x14ac:dyDescent="0.2">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2.75" customHeight="1" x14ac:dyDescent="0.2">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2.75" customHeight="1" x14ac:dyDescent="0.2">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2.75" customHeight="1" x14ac:dyDescent="0.2">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2.75" customHeight="1" x14ac:dyDescent="0.2">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2.75" customHeight="1" x14ac:dyDescent="0.2">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2.75" customHeight="1" x14ac:dyDescent="0.2">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2.75" customHeight="1" x14ac:dyDescent="0.2">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2.75" customHeight="1" x14ac:dyDescent="0.2">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2.75" customHeight="1" x14ac:dyDescent="0.2">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2.75" customHeight="1" x14ac:dyDescent="0.2">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2.75" customHeight="1" x14ac:dyDescent="0.2">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2.75" customHeight="1" x14ac:dyDescent="0.2">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2.75" customHeight="1" x14ac:dyDescent="0.2">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2.75" customHeight="1" x14ac:dyDescent="0.2">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2.75" customHeight="1" x14ac:dyDescent="0.2">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2.75" customHeight="1" x14ac:dyDescent="0.2">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2.75" customHeight="1" x14ac:dyDescent="0.2">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2.75" customHeight="1" x14ac:dyDescent="0.2">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2.75" customHeight="1" x14ac:dyDescent="0.2">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2.75" customHeight="1" x14ac:dyDescent="0.2">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2.75" customHeight="1" x14ac:dyDescent="0.2">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2.75" customHeight="1" x14ac:dyDescent="0.2">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2.75" customHeight="1" x14ac:dyDescent="0.2">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2.75" customHeight="1" x14ac:dyDescent="0.2">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2.75" customHeight="1" x14ac:dyDescent="0.2">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2.75" customHeight="1" x14ac:dyDescent="0.2">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2.75" customHeight="1" x14ac:dyDescent="0.2">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2.75" customHeight="1" x14ac:dyDescent="0.2">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2.75" customHeight="1" x14ac:dyDescent="0.2">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2.75" customHeight="1" x14ac:dyDescent="0.2">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2.75" customHeight="1" x14ac:dyDescent="0.2">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2.75" customHeight="1" x14ac:dyDescent="0.2">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2.75" customHeight="1" x14ac:dyDescent="0.2">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2.75" customHeight="1" x14ac:dyDescent="0.2">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2.75" customHeight="1" x14ac:dyDescent="0.2">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2.75" customHeight="1" x14ac:dyDescent="0.2">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2.75" customHeight="1" x14ac:dyDescent="0.2">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2.75" customHeight="1" x14ac:dyDescent="0.2">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2.75" customHeight="1" x14ac:dyDescent="0.2">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2.75" customHeight="1" x14ac:dyDescent="0.2">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2.75" customHeight="1" x14ac:dyDescent="0.2">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2.75" customHeight="1" x14ac:dyDescent="0.2">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2.75" customHeight="1" x14ac:dyDescent="0.2">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2.75" customHeight="1" x14ac:dyDescent="0.2">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2.75" customHeight="1" x14ac:dyDescent="0.2">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2.75" customHeight="1" x14ac:dyDescent="0.2">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2.75" customHeight="1" x14ac:dyDescent="0.2">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2.75" customHeight="1" x14ac:dyDescent="0.2">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2.75" customHeight="1" x14ac:dyDescent="0.2">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2.75" customHeight="1" x14ac:dyDescent="0.2">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2.75" customHeight="1" x14ac:dyDescent="0.2">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2.75" customHeight="1" x14ac:dyDescent="0.2">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2.75" customHeight="1" x14ac:dyDescent="0.2">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2.75" customHeight="1" x14ac:dyDescent="0.2">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2.75" customHeight="1" x14ac:dyDescent="0.2">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2.75" customHeight="1" x14ac:dyDescent="0.2">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2.75" customHeight="1" x14ac:dyDescent="0.2">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2.75" customHeight="1" x14ac:dyDescent="0.2">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2.75" customHeight="1" x14ac:dyDescent="0.2">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2.75" customHeight="1" x14ac:dyDescent="0.2">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2.75" customHeight="1" x14ac:dyDescent="0.2">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2.75" customHeight="1" x14ac:dyDescent="0.2">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2.75" customHeight="1" x14ac:dyDescent="0.2">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2.75" customHeight="1" x14ac:dyDescent="0.2">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2.75" customHeight="1" x14ac:dyDescent="0.2">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2.75" customHeight="1" x14ac:dyDescent="0.2">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2.75" customHeight="1" x14ac:dyDescent="0.2">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2.75" customHeight="1" x14ac:dyDescent="0.2">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2.75" customHeight="1" x14ac:dyDescent="0.2">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2.75" customHeight="1" x14ac:dyDescent="0.2">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2.75" customHeight="1" x14ac:dyDescent="0.2">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2.75" customHeight="1" x14ac:dyDescent="0.2">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2.75" customHeight="1" x14ac:dyDescent="0.2">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2.75" customHeight="1" x14ac:dyDescent="0.2">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2.75" customHeight="1" x14ac:dyDescent="0.2">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2.75" customHeight="1" x14ac:dyDescent="0.2">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2.75" customHeight="1" x14ac:dyDescent="0.2">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2.75" customHeight="1" x14ac:dyDescent="0.2">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2.75" customHeight="1" x14ac:dyDescent="0.2">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2.75" customHeight="1" x14ac:dyDescent="0.2">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2.75" customHeight="1" x14ac:dyDescent="0.2">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2.75" customHeight="1" x14ac:dyDescent="0.2">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2.75" customHeight="1" x14ac:dyDescent="0.2">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2.75" customHeight="1" x14ac:dyDescent="0.2">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2.75" customHeight="1" x14ac:dyDescent="0.2">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2.75" customHeight="1" x14ac:dyDescent="0.2">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2.75" customHeight="1" x14ac:dyDescent="0.2">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2.75" customHeight="1" x14ac:dyDescent="0.2">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2.75" customHeight="1" x14ac:dyDescent="0.2">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2.75" customHeight="1" x14ac:dyDescent="0.2">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2.75" customHeight="1" x14ac:dyDescent="0.2">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2.75" customHeight="1" x14ac:dyDescent="0.2">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2.75" customHeight="1" x14ac:dyDescent="0.2">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2.75" customHeight="1" x14ac:dyDescent="0.2">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2.75" customHeight="1" x14ac:dyDescent="0.2">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2.75" customHeight="1" x14ac:dyDescent="0.2">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2.75" customHeight="1" x14ac:dyDescent="0.2">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2.75" customHeight="1" x14ac:dyDescent="0.2">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2.75" customHeight="1" x14ac:dyDescent="0.2">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2.75" customHeight="1" x14ac:dyDescent="0.2">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2.75" customHeight="1" x14ac:dyDescent="0.2">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2.75" customHeight="1" x14ac:dyDescent="0.2">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2.75" customHeight="1" x14ac:dyDescent="0.2">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2.75" customHeight="1" x14ac:dyDescent="0.2">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2.75" customHeight="1" x14ac:dyDescent="0.2">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2.75" customHeight="1" x14ac:dyDescent="0.2">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2.75" customHeight="1" x14ac:dyDescent="0.2">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2.75" customHeight="1" x14ac:dyDescent="0.2">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2.75" customHeight="1" x14ac:dyDescent="0.2">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2.75" customHeight="1" x14ac:dyDescent="0.2">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2.75" customHeight="1" x14ac:dyDescent="0.2">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2.75" customHeight="1" x14ac:dyDescent="0.2">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2.75" customHeight="1" x14ac:dyDescent="0.2">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2.75" customHeight="1" x14ac:dyDescent="0.2">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2.75" customHeight="1" x14ac:dyDescent="0.2">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2.75" customHeight="1" x14ac:dyDescent="0.2">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2.75" customHeight="1" x14ac:dyDescent="0.2">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2.75" customHeight="1" x14ac:dyDescent="0.2">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2.75" customHeight="1" x14ac:dyDescent="0.2">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2.75" customHeight="1" x14ac:dyDescent="0.2">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2.75" customHeight="1" x14ac:dyDescent="0.2">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2.75" customHeight="1" x14ac:dyDescent="0.2">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2.75" customHeight="1" x14ac:dyDescent="0.2">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2.75" customHeight="1" x14ac:dyDescent="0.2">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2.75" customHeight="1" x14ac:dyDescent="0.2">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2.75" customHeight="1" x14ac:dyDescent="0.2">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2.75" customHeight="1" x14ac:dyDescent="0.2">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2.75" customHeight="1" x14ac:dyDescent="0.2">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2.75" customHeight="1" x14ac:dyDescent="0.2">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2.75" customHeight="1" x14ac:dyDescent="0.2">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2.75" customHeight="1" x14ac:dyDescent="0.2">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2.75" customHeight="1" x14ac:dyDescent="0.2">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2.75" customHeight="1" x14ac:dyDescent="0.2">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2.75" customHeight="1" x14ac:dyDescent="0.2">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2.75" customHeight="1" x14ac:dyDescent="0.2">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2.75" customHeight="1" x14ac:dyDescent="0.2">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2.75" customHeight="1" x14ac:dyDescent="0.2">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2.75" customHeight="1" x14ac:dyDescent="0.2">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2.75" customHeight="1" x14ac:dyDescent="0.2">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2.75" customHeight="1" x14ac:dyDescent="0.2">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2.75" customHeight="1" x14ac:dyDescent="0.2">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2.75" customHeight="1" x14ac:dyDescent="0.2">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2.75" customHeight="1" x14ac:dyDescent="0.2">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2.75" customHeight="1" x14ac:dyDescent="0.2">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2.75" customHeight="1" x14ac:dyDescent="0.2">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2.75" customHeight="1" x14ac:dyDescent="0.2">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2.75" customHeight="1" x14ac:dyDescent="0.2">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2.75" customHeight="1" x14ac:dyDescent="0.2">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2.75" customHeight="1" x14ac:dyDescent="0.2">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2.75" customHeight="1" x14ac:dyDescent="0.2">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2.75" customHeight="1" x14ac:dyDescent="0.2">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2.75" customHeight="1" x14ac:dyDescent="0.2">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2.75" customHeight="1" x14ac:dyDescent="0.2">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2.75" customHeight="1" x14ac:dyDescent="0.2">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2.75" customHeight="1" x14ac:dyDescent="0.2">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2.75" customHeight="1" x14ac:dyDescent="0.2">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2.75" customHeight="1" x14ac:dyDescent="0.2">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2.75" customHeight="1" x14ac:dyDescent="0.2">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2.75" customHeight="1" x14ac:dyDescent="0.2">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2.75" customHeight="1" x14ac:dyDescent="0.2">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2.75" customHeight="1" x14ac:dyDescent="0.2">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2.75" customHeight="1" x14ac:dyDescent="0.2">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2.75" customHeight="1" x14ac:dyDescent="0.2">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2.75" customHeight="1" x14ac:dyDescent="0.2">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2.75" customHeight="1" x14ac:dyDescent="0.2">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2.75" customHeight="1" x14ac:dyDescent="0.2">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2.75" customHeight="1" x14ac:dyDescent="0.2">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2.75" customHeight="1" x14ac:dyDescent="0.2">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2.75" customHeight="1" x14ac:dyDescent="0.2">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2.75" customHeight="1" x14ac:dyDescent="0.2">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2.75" customHeight="1" x14ac:dyDescent="0.2">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2.75" customHeight="1" x14ac:dyDescent="0.2">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2.75" customHeight="1" x14ac:dyDescent="0.2">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2.75" customHeight="1" x14ac:dyDescent="0.2">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2.75" customHeight="1" x14ac:dyDescent="0.2">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2.75" customHeight="1" x14ac:dyDescent="0.2">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2.75" customHeight="1" x14ac:dyDescent="0.2">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2.75" customHeight="1" x14ac:dyDescent="0.2">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2.75" customHeight="1" x14ac:dyDescent="0.2">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2.75" customHeight="1" x14ac:dyDescent="0.2">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2.75" customHeight="1" x14ac:dyDescent="0.2">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2.75" customHeight="1" x14ac:dyDescent="0.2">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2.75" customHeight="1" x14ac:dyDescent="0.2">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2.75" customHeight="1" x14ac:dyDescent="0.2">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2.75" customHeight="1" x14ac:dyDescent="0.2">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2.75" customHeight="1" x14ac:dyDescent="0.2">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2.75" customHeight="1" x14ac:dyDescent="0.2">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2.75" customHeight="1" x14ac:dyDescent="0.2">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2.75" customHeight="1" x14ac:dyDescent="0.2">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2.75" customHeight="1" x14ac:dyDescent="0.2">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2.75" customHeight="1" x14ac:dyDescent="0.2">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2.75" customHeight="1" x14ac:dyDescent="0.2">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2.75" customHeight="1" x14ac:dyDescent="0.2">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2.75" customHeight="1" x14ac:dyDescent="0.2">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2.75" customHeight="1" x14ac:dyDescent="0.2">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2.75" customHeight="1" x14ac:dyDescent="0.2">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2.75" customHeight="1" x14ac:dyDescent="0.2">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2.75" customHeight="1" x14ac:dyDescent="0.2">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2.75" customHeight="1" x14ac:dyDescent="0.2">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2.75" customHeight="1" x14ac:dyDescent="0.2">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2.75" customHeight="1" x14ac:dyDescent="0.2">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2.75" customHeight="1" x14ac:dyDescent="0.2">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2.75" customHeight="1" x14ac:dyDescent="0.2">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2.75" customHeight="1" x14ac:dyDescent="0.2">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2.75" customHeight="1" x14ac:dyDescent="0.2">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2.75" customHeight="1" x14ac:dyDescent="0.2">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2.75" customHeight="1" x14ac:dyDescent="0.2">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2.75" customHeight="1" x14ac:dyDescent="0.2">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2.75" customHeight="1" x14ac:dyDescent="0.2">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2.75" customHeight="1" x14ac:dyDescent="0.2">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2.75" customHeight="1" x14ac:dyDescent="0.2">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2.75" customHeight="1" x14ac:dyDescent="0.2">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2.75" customHeight="1" x14ac:dyDescent="0.2">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2.75" customHeight="1" x14ac:dyDescent="0.2">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2.75" customHeight="1" x14ac:dyDescent="0.2">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2.75" customHeight="1" x14ac:dyDescent="0.2">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2.75" customHeight="1" x14ac:dyDescent="0.2">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2.75" customHeight="1" x14ac:dyDescent="0.2">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2.75" customHeight="1" x14ac:dyDescent="0.2">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2.75" customHeight="1" x14ac:dyDescent="0.2">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2.75" customHeight="1" x14ac:dyDescent="0.2">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2.75" customHeight="1" x14ac:dyDescent="0.2">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2.75" customHeight="1" x14ac:dyDescent="0.2">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2.75" customHeight="1" x14ac:dyDescent="0.2">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2.75" customHeight="1" x14ac:dyDescent="0.2">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2.75" customHeight="1" x14ac:dyDescent="0.2">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2.75" customHeight="1" x14ac:dyDescent="0.2">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2.75" customHeight="1" x14ac:dyDescent="0.2">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2.75" customHeight="1" x14ac:dyDescent="0.2">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2.75" customHeight="1" x14ac:dyDescent="0.2">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2.75" customHeight="1" x14ac:dyDescent="0.2">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2.75" customHeight="1" x14ac:dyDescent="0.2">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2.75" customHeight="1" x14ac:dyDescent="0.2">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2.75" customHeight="1" x14ac:dyDescent="0.2">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2.75" customHeight="1" x14ac:dyDescent="0.2">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2.75" customHeight="1" x14ac:dyDescent="0.2">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2.75" customHeight="1" x14ac:dyDescent="0.2">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2.75" customHeight="1" x14ac:dyDescent="0.2">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2.75" customHeight="1" x14ac:dyDescent="0.2">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2.75" customHeight="1" x14ac:dyDescent="0.2">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2.75" customHeight="1" x14ac:dyDescent="0.2">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2.75" customHeight="1" x14ac:dyDescent="0.2">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2.75" customHeight="1" x14ac:dyDescent="0.2">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2.75" customHeight="1" x14ac:dyDescent="0.2">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2.75" customHeight="1" x14ac:dyDescent="0.2">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2.75" customHeight="1" x14ac:dyDescent="0.2">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2.75" customHeight="1" x14ac:dyDescent="0.2">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2.75" customHeight="1" x14ac:dyDescent="0.2">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2.75" customHeight="1" x14ac:dyDescent="0.2">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2.75" customHeight="1" x14ac:dyDescent="0.2">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2.75" customHeight="1" x14ac:dyDescent="0.2">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2.75" customHeight="1" x14ac:dyDescent="0.2">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2.75" customHeight="1" x14ac:dyDescent="0.2">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2.75" customHeight="1" x14ac:dyDescent="0.2">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2.75" customHeight="1" x14ac:dyDescent="0.2">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2.75" customHeight="1" x14ac:dyDescent="0.2">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2.75" customHeight="1" x14ac:dyDescent="0.2">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2.75" customHeight="1" x14ac:dyDescent="0.2">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2.75" customHeight="1" x14ac:dyDescent="0.2">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2.75" customHeight="1" x14ac:dyDescent="0.2">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2.75" customHeight="1" x14ac:dyDescent="0.2">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2.75" customHeight="1" x14ac:dyDescent="0.2">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2.75" customHeight="1" x14ac:dyDescent="0.2">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2.75" customHeight="1" x14ac:dyDescent="0.2">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2.75" customHeight="1" x14ac:dyDescent="0.2">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2.75" customHeight="1" x14ac:dyDescent="0.2">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2.75" customHeight="1" x14ac:dyDescent="0.2">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2.75" customHeight="1" x14ac:dyDescent="0.2">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2.75" customHeight="1" x14ac:dyDescent="0.2">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2.75" customHeight="1" x14ac:dyDescent="0.2">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2.75" customHeight="1" x14ac:dyDescent="0.2">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2.75" customHeight="1" x14ac:dyDescent="0.2">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2.75" customHeight="1" x14ac:dyDescent="0.2">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2.75" customHeight="1" x14ac:dyDescent="0.2">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2.75" customHeight="1" x14ac:dyDescent="0.2">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2.75" customHeight="1" x14ac:dyDescent="0.2">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2.75" customHeight="1" x14ac:dyDescent="0.2">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2.75" customHeight="1" x14ac:dyDescent="0.2">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2.75" customHeight="1" x14ac:dyDescent="0.2">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2.75" customHeight="1" x14ac:dyDescent="0.2">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2.75" customHeight="1" x14ac:dyDescent="0.2">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2.75" customHeight="1" x14ac:dyDescent="0.2">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2.75" customHeight="1" x14ac:dyDescent="0.2">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2.75" customHeight="1" x14ac:dyDescent="0.2">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2.75" customHeight="1" x14ac:dyDescent="0.2">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2.75" customHeight="1" x14ac:dyDescent="0.2">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2.75" customHeight="1" x14ac:dyDescent="0.2">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2.75" customHeight="1" x14ac:dyDescent="0.2">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2.75" customHeight="1" x14ac:dyDescent="0.2">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2.75" customHeight="1" x14ac:dyDescent="0.2">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2.75" customHeight="1" x14ac:dyDescent="0.2">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2.75" customHeight="1" x14ac:dyDescent="0.2">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2.75" customHeight="1" x14ac:dyDescent="0.2">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2.75" customHeight="1" x14ac:dyDescent="0.2">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2.75" customHeight="1" x14ac:dyDescent="0.2">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2.75" customHeight="1" x14ac:dyDescent="0.2">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2.75" customHeight="1" x14ac:dyDescent="0.2">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2.75" customHeight="1" x14ac:dyDescent="0.2">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2.75" customHeight="1" x14ac:dyDescent="0.2">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2.75" customHeight="1" x14ac:dyDescent="0.2">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2.75" customHeight="1" x14ac:dyDescent="0.2">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2.75" customHeight="1" x14ac:dyDescent="0.2">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2.75" customHeight="1" x14ac:dyDescent="0.2">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2.75" customHeight="1" x14ac:dyDescent="0.2">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2.75" customHeight="1" x14ac:dyDescent="0.2">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2.75" customHeight="1" x14ac:dyDescent="0.2">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2.75" customHeight="1" x14ac:dyDescent="0.2">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2.75" customHeight="1" x14ac:dyDescent="0.2">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2.75" customHeight="1" x14ac:dyDescent="0.2">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2.75" customHeight="1" x14ac:dyDescent="0.2">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2.75" customHeight="1" x14ac:dyDescent="0.2">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2.75" customHeight="1" x14ac:dyDescent="0.2">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2.75" customHeight="1" x14ac:dyDescent="0.2">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2.75" customHeight="1" x14ac:dyDescent="0.2">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2.75" customHeight="1" x14ac:dyDescent="0.2">
      <c r="A999" s="35"/>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2.75" customHeight="1" x14ac:dyDescent="0.2">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2"/>
  <sheetViews>
    <sheetView topLeftCell="B1" workbookViewId="0">
      <selection activeCell="S82" sqref="S82"/>
    </sheetView>
  </sheetViews>
  <sheetFormatPr defaultColWidth="12.625" defaultRowHeight="15" customHeight="1" x14ac:dyDescent="0.2"/>
  <cols>
    <col min="1" max="26" width="7.625" customWidth="1"/>
  </cols>
  <sheetData>
    <row r="1" spans="1:14" ht="15" customHeight="1" x14ac:dyDescent="0.3">
      <c r="A1" s="3">
        <v>3</v>
      </c>
      <c r="E1" s="4"/>
      <c r="F1" s="4"/>
      <c r="G1" s="4"/>
      <c r="H1" s="4"/>
      <c r="I1" s="2"/>
    </row>
    <row r="2" spans="1:14" ht="15" customHeight="1" x14ac:dyDescent="0.3">
      <c r="D2" s="215" t="s">
        <v>642</v>
      </c>
      <c r="E2" s="5"/>
      <c r="F2" s="5"/>
      <c r="G2" s="5"/>
      <c r="H2" s="216"/>
      <c r="I2" s="217"/>
      <c r="J2" s="212"/>
      <c r="K2" s="212"/>
      <c r="L2" s="212"/>
      <c r="M2" s="212"/>
      <c r="N2" s="212"/>
    </row>
    <row r="3" spans="1:14" ht="15" customHeight="1" x14ac:dyDescent="0.3">
      <c r="D3" s="5" t="s">
        <v>0</v>
      </c>
      <c r="E3" s="5"/>
      <c r="F3" s="216"/>
      <c r="G3" s="216"/>
      <c r="H3" s="216"/>
      <c r="I3" s="217"/>
      <c r="J3" s="212"/>
      <c r="K3" s="212"/>
      <c r="L3" s="212"/>
      <c r="M3" s="212"/>
      <c r="N3" s="212"/>
    </row>
    <row r="4" spans="1:14" ht="15" customHeight="1" x14ac:dyDescent="0.3">
      <c r="D4" s="4" t="s">
        <v>658</v>
      </c>
      <c r="E4" s="4"/>
      <c r="F4" s="4"/>
      <c r="G4" s="4"/>
      <c r="H4" s="4"/>
      <c r="I4" s="2"/>
    </row>
    <row r="6" spans="1:14" s="150" customFormat="1" ht="15" customHeight="1" x14ac:dyDescent="0.2">
      <c r="A6" s="188" t="s">
        <v>586</v>
      </c>
      <c r="B6" s="188"/>
      <c r="C6" s="188"/>
      <c r="D6" s="188"/>
      <c r="E6" s="188"/>
      <c r="F6" s="188"/>
      <c r="G6" s="188"/>
      <c r="H6" s="188"/>
      <c r="I6" s="188"/>
    </row>
    <row r="7" spans="1:14" x14ac:dyDescent="0.25">
      <c r="A7" s="6" t="s">
        <v>1</v>
      </c>
    </row>
    <row r="8" spans="1:14" x14ac:dyDescent="0.25">
      <c r="B8" s="6" t="s">
        <v>4</v>
      </c>
    </row>
    <row r="9" spans="1:14" x14ac:dyDescent="0.25">
      <c r="B9" s="6" t="s">
        <v>5</v>
      </c>
    </row>
    <row r="10" spans="1:14" x14ac:dyDescent="0.25">
      <c r="B10" s="6" t="s">
        <v>6</v>
      </c>
    </row>
    <row r="12" spans="1:14" x14ac:dyDescent="0.25">
      <c r="A12" s="6" t="s">
        <v>8</v>
      </c>
    </row>
    <row r="13" spans="1:14" x14ac:dyDescent="0.25">
      <c r="B13" s="6" t="s">
        <v>9</v>
      </c>
    </row>
    <row r="14" spans="1:14" x14ac:dyDescent="0.25">
      <c r="B14" s="6" t="s">
        <v>10</v>
      </c>
    </row>
    <row r="15" spans="1:14" x14ac:dyDescent="0.25">
      <c r="B15" s="6" t="s">
        <v>11</v>
      </c>
    </row>
    <row r="16" spans="1:14" s="236" customFormat="1" x14ac:dyDescent="0.25">
      <c r="B16" s="2" t="s">
        <v>659</v>
      </c>
    </row>
    <row r="17" spans="1:2" x14ac:dyDescent="0.25">
      <c r="B17" s="6" t="s">
        <v>12</v>
      </c>
    </row>
    <row r="19" spans="1:2" x14ac:dyDescent="0.25">
      <c r="A19" s="6" t="s">
        <v>13</v>
      </c>
    </row>
    <row r="20" spans="1:2" x14ac:dyDescent="0.25">
      <c r="B20" s="6" t="s">
        <v>14</v>
      </c>
    </row>
    <row r="21" spans="1:2" x14ac:dyDescent="0.25">
      <c r="B21" s="6" t="s">
        <v>15</v>
      </c>
    </row>
    <row r="22" spans="1:2" x14ac:dyDescent="0.25">
      <c r="B22" s="6" t="s">
        <v>16</v>
      </c>
    </row>
    <row r="23" spans="1:2" ht="15.75" customHeight="1" x14ac:dyDescent="0.2"/>
    <row r="24" spans="1:2" ht="15.75" customHeight="1" x14ac:dyDescent="0.2"/>
    <row r="25" spans="1:2" ht="15.75" customHeight="1" x14ac:dyDescent="0.2"/>
    <row r="26" spans="1:2" ht="15.75" customHeight="1" x14ac:dyDescent="0.2"/>
    <row r="27" spans="1:2" ht="15.75" customHeight="1" x14ac:dyDescent="0.2"/>
    <row r="28" spans="1:2" ht="15.75" customHeight="1" x14ac:dyDescent="0.2"/>
    <row r="29" spans="1:2" ht="15.75" customHeight="1" x14ac:dyDescent="0.2"/>
    <row r="30" spans="1:2" ht="15.75" customHeight="1" x14ac:dyDescent="0.2"/>
    <row r="31" spans="1:2" ht="15.75" customHeight="1" x14ac:dyDescent="0.2"/>
    <row r="32" spans="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16"/>
  <sheetViews>
    <sheetView workbookViewId="0">
      <selection activeCell="E49" sqref="E49"/>
    </sheetView>
  </sheetViews>
  <sheetFormatPr defaultColWidth="12.625" defaultRowHeight="15" customHeight="1" x14ac:dyDescent="0.2"/>
  <cols>
    <col min="1" max="1" width="36" customWidth="1"/>
    <col min="2" max="2" width="11.625" customWidth="1"/>
    <col min="3" max="3" width="11.875" customWidth="1"/>
    <col min="4" max="4" width="15" customWidth="1"/>
    <col min="5" max="5" width="13.25" customWidth="1"/>
    <col min="6" max="26" width="7.625" customWidth="1"/>
  </cols>
  <sheetData>
    <row r="1" spans="1:7" ht="15" customHeight="1" x14ac:dyDescent="0.3">
      <c r="B1" s="1"/>
      <c r="C1" s="2"/>
      <c r="D1" s="2"/>
      <c r="E1" s="4"/>
      <c r="F1" s="4"/>
      <c r="G1" s="2"/>
    </row>
    <row r="2" spans="1:7" ht="15" customHeight="1" x14ac:dyDescent="0.3">
      <c r="B2" s="4" t="str">
        <f>Intro!D2</f>
        <v>Carbon Calculator for &lt;&lt;names&gt;&gt; &lt;e-mail address&gt;</v>
      </c>
      <c r="D2" s="2"/>
      <c r="E2" s="4"/>
      <c r="F2" s="4"/>
      <c r="G2" s="2"/>
    </row>
    <row r="3" spans="1:7" ht="15" customHeight="1" x14ac:dyDescent="0.3">
      <c r="B3" s="4" t="str">
        <f>Intro!D3</f>
        <v>&lt;&lt;Street&gt;&gt;</v>
      </c>
      <c r="D3" s="2"/>
      <c r="E3" s="4"/>
      <c r="F3" s="4"/>
      <c r="G3" s="2"/>
    </row>
    <row r="4" spans="1:7" ht="15" customHeight="1" x14ac:dyDescent="0.3">
      <c r="B4" s="4" t="str">
        <f>Intro!D4</f>
        <v>Yorktown Heights, NY 10598</v>
      </c>
      <c r="D4" s="2"/>
      <c r="E4" s="4"/>
      <c r="F4" s="4"/>
      <c r="G4" s="2"/>
    </row>
    <row r="5" spans="1:7" s="158" customFormat="1" ht="15" customHeight="1" x14ac:dyDescent="0.3">
      <c r="B5" s="4"/>
      <c r="D5" s="2"/>
      <c r="E5" s="4"/>
      <c r="F5" s="4"/>
      <c r="G5" s="2"/>
    </row>
    <row r="6" spans="1:7" s="158" customFormat="1" ht="15" customHeight="1" x14ac:dyDescent="0.3">
      <c r="A6" s="6" t="s">
        <v>588</v>
      </c>
      <c r="B6" s="4"/>
      <c r="D6" s="2"/>
      <c r="E6" s="4"/>
      <c r="F6" s="4"/>
      <c r="G6" s="2"/>
    </row>
    <row r="7" spans="1:7" s="158" customFormat="1" ht="15" customHeight="1" x14ac:dyDescent="0.3">
      <c r="B7" s="2" t="s">
        <v>589</v>
      </c>
      <c r="D7" s="2"/>
      <c r="E7" s="4"/>
      <c r="F7" s="4"/>
      <c r="G7" s="2"/>
    </row>
    <row r="8" spans="1:7" s="158" customFormat="1" ht="15" customHeight="1" x14ac:dyDescent="0.3">
      <c r="B8" s="2" t="s">
        <v>590</v>
      </c>
      <c r="D8" s="2"/>
      <c r="E8" s="4"/>
      <c r="F8" s="4"/>
      <c r="G8" s="2"/>
    </row>
    <row r="9" spans="1:7" x14ac:dyDescent="0.25">
      <c r="A9" s="7" t="s">
        <v>7</v>
      </c>
      <c r="B9" s="7" t="s">
        <v>17</v>
      </c>
      <c r="C9" s="7" t="s">
        <v>18</v>
      </c>
      <c r="D9" s="7" t="s">
        <v>19</v>
      </c>
      <c r="E9" s="7" t="s">
        <v>20</v>
      </c>
    </row>
    <row r="10" spans="1:7" x14ac:dyDescent="0.25">
      <c r="A10" s="8" t="s">
        <v>25</v>
      </c>
      <c r="B10" s="9">
        <v>3</v>
      </c>
      <c r="C10" s="10"/>
      <c r="D10" s="8"/>
      <c r="E10" s="8"/>
    </row>
    <row r="11" spans="1:7" x14ac:dyDescent="0.25">
      <c r="A11" s="8" t="s">
        <v>27</v>
      </c>
      <c r="B11" s="11"/>
      <c r="C11" s="10"/>
      <c r="D11" s="8"/>
      <c r="E11" s="8"/>
    </row>
    <row r="12" spans="1:7" x14ac:dyDescent="0.25">
      <c r="A12" s="8" t="s">
        <v>33</v>
      </c>
      <c r="B12" s="12"/>
      <c r="C12" s="10"/>
      <c r="D12" s="8"/>
      <c r="E12" s="8"/>
    </row>
    <row r="13" spans="1:7" x14ac:dyDescent="0.25">
      <c r="A13" s="8" t="s">
        <v>36</v>
      </c>
      <c r="B13" s="12"/>
      <c r="C13" s="10"/>
      <c r="D13" s="8"/>
      <c r="E13" s="8"/>
    </row>
    <row r="14" spans="1:7" x14ac:dyDescent="0.25">
      <c r="A14" s="8" t="s">
        <v>37</v>
      </c>
      <c r="B14" s="13">
        <f>Assumptions!$C$8</f>
        <v>11398</v>
      </c>
      <c r="C14" s="10"/>
      <c r="D14" s="8" t="s">
        <v>38</v>
      </c>
      <c r="E14" s="14">
        <f>Assumptions!$C$8</f>
        <v>11398</v>
      </c>
    </row>
    <row r="15" spans="1:7" x14ac:dyDescent="0.25">
      <c r="A15" s="8" t="s">
        <v>41</v>
      </c>
      <c r="B15" s="15">
        <f>Assumptions!$C$7</f>
        <v>21.6</v>
      </c>
      <c r="C15" s="218">
        <f>B14/B15*Assumptions!$C$5/Assumptions!$C$90</f>
        <v>4.691337889670038</v>
      </c>
      <c r="D15" s="8" t="s">
        <v>38</v>
      </c>
      <c r="E15" s="8">
        <f>Assumptions!$C$7</f>
        <v>21.6</v>
      </c>
    </row>
    <row r="16" spans="1:7" x14ac:dyDescent="0.25">
      <c r="A16" s="8" t="s">
        <v>44</v>
      </c>
      <c r="B16" s="11"/>
      <c r="C16" s="10"/>
      <c r="D16" s="8"/>
      <c r="E16" s="8"/>
    </row>
    <row r="17" spans="1:5" x14ac:dyDescent="0.25">
      <c r="A17" s="8" t="s">
        <v>47</v>
      </c>
      <c r="B17" s="12"/>
      <c r="C17" s="10"/>
      <c r="D17" s="8"/>
      <c r="E17" s="8"/>
    </row>
    <row r="18" spans="1:5" x14ac:dyDescent="0.25">
      <c r="A18" s="8" t="s">
        <v>51</v>
      </c>
      <c r="B18" s="12"/>
      <c r="C18" s="10"/>
      <c r="D18" s="8"/>
      <c r="E18" s="8"/>
    </row>
    <row r="19" spans="1:5" x14ac:dyDescent="0.25">
      <c r="A19" s="8" t="s">
        <v>52</v>
      </c>
      <c r="B19" s="13">
        <f>Assumptions!$C$8</f>
        <v>11398</v>
      </c>
      <c r="C19" s="10"/>
      <c r="D19" s="8"/>
      <c r="E19" s="8"/>
    </row>
    <row r="20" spans="1:5" x14ac:dyDescent="0.25">
      <c r="A20" s="8" t="s">
        <v>54</v>
      </c>
      <c r="B20" s="15">
        <f>Assumptions!$C$7</f>
        <v>21.6</v>
      </c>
      <c r="C20" s="218">
        <f>B19/B20*Assumptions!$C$5/Assumptions!$C$90</f>
        <v>4.691337889670038</v>
      </c>
      <c r="D20" s="8" t="s">
        <v>57</v>
      </c>
      <c r="E20" s="8"/>
    </row>
    <row r="21" spans="1:5" x14ac:dyDescent="0.25">
      <c r="A21" s="8" t="s">
        <v>58</v>
      </c>
      <c r="B21" s="11"/>
      <c r="C21" s="10"/>
      <c r="D21" s="8"/>
      <c r="E21" s="8"/>
    </row>
    <row r="22" spans="1:5" x14ac:dyDescent="0.25">
      <c r="A22" s="8" t="s">
        <v>60</v>
      </c>
      <c r="B22" s="12"/>
      <c r="C22" s="10"/>
      <c r="D22" s="8"/>
      <c r="E22" s="8"/>
    </row>
    <row r="23" spans="1:5" x14ac:dyDescent="0.25">
      <c r="A23" s="8" t="s">
        <v>62</v>
      </c>
      <c r="B23" s="12"/>
      <c r="C23" s="10"/>
      <c r="D23" s="8"/>
      <c r="E23" s="8"/>
    </row>
    <row r="24" spans="1:5" ht="15.75" customHeight="1" x14ac:dyDescent="0.25">
      <c r="A24" s="8" t="s">
        <v>63</v>
      </c>
      <c r="B24" s="13">
        <f>Assumptions!$C$8</f>
        <v>11398</v>
      </c>
      <c r="C24" s="10"/>
      <c r="D24" s="160" t="s">
        <v>592</v>
      </c>
      <c r="E24" s="159"/>
    </row>
    <row r="25" spans="1:5" ht="15.75" customHeight="1" x14ac:dyDescent="0.25">
      <c r="A25" s="8" t="s">
        <v>64</v>
      </c>
      <c r="B25" s="15">
        <f>Assumptions!$C$7</f>
        <v>21.6</v>
      </c>
      <c r="C25" s="218">
        <f>B24/B25*Assumptions!$C$5/Assumptions!$C$90</f>
        <v>4.691337889670038</v>
      </c>
      <c r="D25" s="160" t="s">
        <v>593</v>
      </c>
      <c r="E25" s="159"/>
    </row>
    <row r="26" spans="1:5" ht="15.75" customHeight="1" x14ac:dyDescent="0.25">
      <c r="A26" s="8" t="s">
        <v>68</v>
      </c>
      <c r="B26" s="11"/>
      <c r="C26" s="10"/>
      <c r="D26" s="8"/>
      <c r="E26" s="8"/>
    </row>
    <row r="27" spans="1:5" ht="15.75" customHeight="1" x14ac:dyDescent="0.25">
      <c r="A27" s="8" t="s">
        <v>69</v>
      </c>
      <c r="B27" s="12"/>
      <c r="C27" s="10"/>
      <c r="D27" s="8"/>
      <c r="E27" s="8"/>
    </row>
    <row r="28" spans="1:5" ht="15.75" customHeight="1" x14ac:dyDescent="0.25">
      <c r="A28" s="8" t="s">
        <v>72</v>
      </c>
      <c r="B28" s="12"/>
      <c r="C28" s="10"/>
      <c r="D28" s="8"/>
      <c r="E28" s="8"/>
    </row>
    <row r="29" spans="1:5" ht="15.75" customHeight="1" x14ac:dyDescent="0.25">
      <c r="A29" s="162" t="s">
        <v>79</v>
      </c>
      <c r="B29" s="13">
        <f>Assumptions!$C$8</f>
        <v>11398</v>
      </c>
      <c r="C29" s="163"/>
      <c r="D29" s="160" t="s">
        <v>600</v>
      </c>
      <c r="E29" s="159"/>
    </row>
    <row r="30" spans="1:5" ht="15.75" customHeight="1" x14ac:dyDescent="0.25">
      <c r="A30" s="177" t="s">
        <v>82</v>
      </c>
      <c r="B30" s="15">
        <f>Assumptions!$C$7</f>
        <v>21.6</v>
      </c>
      <c r="C30" s="218">
        <f>B29/B30*Assumptions!$C$5/Assumptions!$C$90</f>
        <v>4.691337889670038</v>
      </c>
      <c r="D30" s="160" t="s">
        <v>593</v>
      </c>
      <c r="E30" s="159"/>
    </row>
    <row r="31" spans="1:5" s="158" customFormat="1" ht="15.75" customHeight="1" x14ac:dyDescent="0.25">
      <c r="A31" s="169" t="s">
        <v>588</v>
      </c>
      <c r="B31" s="170"/>
      <c r="C31" s="171"/>
      <c r="D31" s="172"/>
      <c r="E31" s="172"/>
    </row>
    <row r="32" spans="1:5" s="158" customFormat="1" ht="15.75" customHeight="1" x14ac:dyDescent="0.25">
      <c r="A32" s="172"/>
      <c r="B32" s="173" t="s">
        <v>594</v>
      </c>
      <c r="C32" s="171"/>
      <c r="D32" s="172"/>
      <c r="E32" s="172"/>
    </row>
    <row r="33" spans="1:7" ht="15" customHeight="1" x14ac:dyDescent="0.3">
      <c r="A33" s="174"/>
      <c r="B33" s="172" t="s">
        <v>591</v>
      </c>
      <c r="C33" s="172"/>
      <c r="D33" s="172"/>
      <c r="E33" s="175"/>
      <c r="F33" s="4"/>
      <c r="G33" s="2"/>
    </row>
    <row r="34" spans="1:7" s="158" customFormat="1" ht="15" customHeight="1" x14ac:dyDescent="0.3">
      <c r="A34" s="174"/>
      <c r="B34" s="169" t="s">
        <v>596</v>
      </c>
      <c r="C34" s="172"/>
      <c r="D34" s="172"/>
      <c r="E34" s="175"/>
      <c r="F34" s="4"/>
      <c r="G34" s="2"/>
    </row>
    <row r="35" spans="1:7" s="158" customFormat="1" ht="15" customHeight="1" x14ac:dyDescent="0.3">
      <c r="A35" s="174"/>
      <c r="B35" s="169" t="s">
        <v>597</v>
      </c>
      <c r="C35" s="172"/>
      <c r="D35" s="172"/>
      <c r="E35" s="175"/>
      <c r="F35" s="4"/>
      <c r="G35" s="2"/>
    </row>
    <row r="36" spans="1:7" s="158" customFormat="1" ht="15" customHeight="1" x14ac:dyDescent="0.3">
      <c r="A36" s="174"/>
      <c r="B36" s="169" t="s">
        <v>598</v>
      </c>
      <c r="C36" s="172"/>
      <c r="D36" s="172"/>
      <c r="E36" s="175"/>
      <c r="F36" s="4"/>
      <c r="G36" s="2"/>
    </row>
    <row r="37" spans="1:7" s="158" customFormat="1" ht="15" customHeight="1" x14ac:dyDescent="0.3">
      <c r="A37" s="174"/>
      <c r="B37" s="169" t="s">
        <v>599</v>
      </c>
      <c r="C37" s="172"/>
      <c r="D37" s="172"/>
      <c r="E37" s="175"/>
      <c r="F37" s="4"/>
      <c r="G37" s="2"/>
    </row>
    <row r="38" spans="1:7" ht="15.75" customHeight="1" x14ac:dyDescent="0.25">
      <c r="A38" s="177" t="s">
        <v>84</v>
      </c>
      <c r="B38" s="179">
        <v>1</v>
      </c>
      <c r="C38" s="220">
        <f>B38*Assumptions!$C$105*Assumptions!$C$108/1000</f>
        <v>0.39900000000000002</v>
      </c>
      <c r="D38" s="180" t="s">
        <v>595</v>
      </c>
      <c r="E38" s="180"/>
    </row>
    <row r="39" spans="1:7" ht="15.75" customHeight="1" x14ac:dyDescent="0.25">
      <c r="A39" s="164" t="s">
        <v>85</v>
      </c>
      <c r="B39" s="165">
        <v>1</v>
      </c>
      <c r="C39" s="221">
        <f>B39*Assumptions!$C$106*Assumptions!$C$108/1000</f>
        <v>0.93100000000000005</v>
      </c>
      <c r="D39" s="167" t="s">
        <v>595</v>
      </c>
      <c r="E39" s="167"/>
    </row>
    <row r="40" spans="1:7" ht="15.75" customHeight="1" x14ac:dyDescent="0.25">
      <c r="A40" s="8" t="s">
        <v>91</v>
      </c>
      <c r="B40" s="11">
        <v>1</v>
      </c>
      <c r="C40" s="218">
        <f>B40*Assumptions!$C$107*Assumptions!$C$108/1000</f>
        <v>1.9950000000000001</v>
      </c>
      <c r="D40" s="160" t="s">
        <v>595</v>
      </c>
      <c r="E40" s="160"/>
    </row>
    <row r="41" spans="1:7" ht="15.75" customHeight="1" x14ac:dyDescent="0.25">
      <c r="A41" s="8" t="s">
        <v>97</v>
      </c>
      <c r="B41" s="11">
        <v>1</v>
      </c>
      <c r="C41" s="218">
        <f>B41*Assumptions!$C$105*Assumptions!$C$109/1000</f>
        <v>1.2</v>
      </c>
      <c r="D41" s="160" t="s">
        <v>595</v>
      </c>
      <c r="E41" s="160"/>
    </row>
    <row r="42" spans="1:7" ht="15.75" customHeight="1" x14ac:dyDescent="0.25">
      <c r="A42" s="162" t="s">
        <v>98</v>
      </c>
      <c r="B42" s="181">
        <v>1</v>
      </c>
      <c r="C42" s="222">
        <f>B42*Assumptions!$C$106*Assumptions!$C$109/1000</f>
        <v>2.8</v>
      </c>
      <c r="D42" s="182" t="s">
        <v>595</v>
      </c>
      <c r="E42" s="182"/>
    </row>
    <row r="43" spans="1:7" ht="15.75" customHeight="1" x14ac:dyDescent="0.25">
      <c r="A43" s="177" t="s">
        <v>99</v>
      </c>
      <c r="B43" s="179">
        <v>1</v>
      </c>
      <c r="C43" s="220">
        <f>B43*Assumptions!$C$107*Assumptions!$C$109/1000</f>
        <v>6</v>
      </c>
      <c r="D43" s="180" t="s">
        <v>595</v>
      </c>
      <c r="E43" s="180"/>
    </row>
    <row r="44" spans="1:7" s="158" customFormat="1" ht="15.75" customHeight="1" x14ac:dyDescent="0.25">
      <c r="A44" s="169" t="s">
        <v>588</v>
      </c>
      <c r="B44" s="183"/>
      <c r="C44" s="171"/>
      <c r="D44" s="184"/>
      <c r="E44" s="184"/>
    </row>
    <row r="45" spans="1:7" s="158" customFormat="1" ht="15.75" customHeight="1" x14ac:dyDescent="0.25">
      <c r="A45" s="172"/>
      <c r="B45" s="242" t="s">
        <v>656</v>
      </c>
      <c r="C45" s="171"/>
      <c r="D45" s="184"/>
      <c r="E45" s="184"/>
    </row>
    <row r="46" spans="1:7" ht="15.75" customHeight="1" x14ac:dyDescent="0.25">
      <c r="A46" s="177" t="s">
        <v>100</v>
      </c>
      <c r="B46" s="179">
        <v>220</v>
      </c>
      <c r="C46" s="178"/>
      <c r="D46" s="177"/>
      <c r="E46" s="177"/>
    </row>
    <row r="47" spans="1:7" ht="15.75" customHeight="1" x14ac:dyDescent="0.25">
      <c r="A47" s="164" t="s">
        <v>101</v>
      </c>
      <c r="B47" s="165">
        <v>65</v>
      </c>
      <c r="C47" s="220">
        <f>B46*B47*Assumptions!$C$111/Assumptions!$C$90</f>
        <v>0.46701870454363742</v>
      </c>
      <c r="D47" s="164" t="s">
        <v>102</v>
      </c>
      <c r="E47" s="164" t="s">
        <v>103</v>
      </c>
    </row>
    <row r="48" spans="1:7" ht="15.75" customHeight="1" x14ac:dyDescent="0.25">
      <c r="A48" s="8" t="s">
        <v>104</v>
      </c>
      <c r="C48" s="10">
        <f>B46*B47*Assumptions!$C$112/Assumptions!$C$90 -C47</f>
        <v>5.046396557429861</v>
      </c>
      <c r="D48" s="180" t="s">
        <v>601</v>
      </c>
      <c r="E48" s="180"/>
    </row>
    <row r="49" spans="1:5" ht="15.75" customHeight="1" x14ac:dyDescent="0.25">
      <c r="A49" s="7" t="s">
        <v>65</v>
      </c>
      <c r="B49" s="8"/>
      <c r="C49" s="223">
        <f>C15+C20+C25+C30+SUM(C38:C43)+C47</f>
        <v>32.557370263223795</v>
      </c>
      <c r="D49" s="8" t="s">
        <v>660</v>
      </c>
      <c r="E49" s="8" t="s">
        <v>663</v>
      </c>
    </row>
    <row r="50" spans="1:5" ht="15.75" customHeight="1" x14ac:dyDescent="0.2"/>
    <row r="51" spans="1:5" ht="15.75" customHeight="1" x14ac:dyDescent="0.25">
      <c r="A51" s="219" t="s">
        <v>105</v>
      </c>
      <c r="B51" s="213"/>
    </row>
    <row r="52" spans="1:5" ht="15.75" customHeight="1" x14ac:dyDescent="0.25">
      <c r="A52" s="213"/>
      <c r="B52" s="219" t="s">
        <v>106</v>
      </c>
    </row>
    <row r="53" spans="1:5" ht="15.75" customHeight="1" x14ac:dyDescent="0.25">
      <c r="A53" s="213"/>
      <c r="B53" s="219" t="s">
        <v>655</v>
      </c>
    </row>
    <row r="54" spans="1:5" ht="15.75" customHeight="1" x14ac:dyDescent="0.25">
      <c r="A54" s="213"/>
      <c r="B54" s="219" t="s">
        <v>107</v>
      </c>
    </row>
    <row r="55" spans="1:5" ht="15.75" customHeight="1" x14ac:dyDescent="0.25">
      <c r="A55" s="213"/>
      <c r="B55" s="219" t="s">
        <v>108</v>
      </c>
    </row>
    <row r="56" spans="1:5" ht="15.75" customHeight="1" x14ac:dyDescent="0.25">
      <c r="A56" s="213"/>
      <c r="B56" s="219" t="s">
        <v>109</v>
      </c>
    </row>
    <row r="57" spans="1:5" ht="15.75" customHeight="1" x14ac:dyDescent="0.25">
      <c r="A57" s="219" t="s">
        <v>110</v>
      </c>
      <c r="B57" s="213"/>
    </row>
    <row r="58" spans="1:5" ht="15.75" customHeight="1" x14ac:dyDescent="0.25">
      <c r="A58" s="213"/>
      <c r="B58" s="219" t="s">
        <v>111</v>
      </c>
    </row>
    <row r="59" spans="1:5" ht="15.75" customHeight="1" x14ac:dyDescent="0.25">
      <c r="A59" s="213"/>
      <c r="B59" s="219" t="s">
        <v>112</v>
      </c>
    </row>
    <row r="60" spans="1:5" ht="15.75" customHeight="1" x14ac:dyDescent="0.25">
      <c r="A60" s="213"/>
      <c r="B60" s="219" t="s">
        <v>113</v>
      </c>
    </row>
    <row r="61" spans="1:5" s="157" customFormat="1" ht="15.75" customHeight="1" x14ac:dyDescent="0.25">
      <c r="A61" s="213"/>
      <c r="B61" s="219" t="s">
        <v>587</v>
      </c>
    </row>
    <row r="62" spans="1:5" ht="15.75" customHeight="1" x14ac:dyDescent="0.25">
      <c r="A62" s="213"/>
      <c r="B62" s="219" t="s">
        <v>114</v>
      </c>
    </row>
    <row r="63" spans="1:5" ht="15.75" customHeight="1" x14ac:dyDescent="0.25">
      <c r="A63" s="213"/>
      <c r="B63" s="219" t="s">
        <v>115</v>
      </c>
    </row>
    <row r="64" spans="1:5" s="158" customFormat="1" ht="15.75" customHeight="1" x14ac:dyDescent="0.25">
      <c r="A64" s="213" t="s">
        <v>602</v>
      </c>
      <c r="B64" s="219"/>
    </row>
    <row r="65" spans="1:2" s="158" customFormat="1" ht="15.75" customHeight="1" x14ac:dyDescent="0.25">
      <c r="A65" s="213"/>
      <c r="B65" s="219" t="s">
        <v>603</v>
      </c>
    </row>
    <row r="66" spans="1:2" s="158" customFormat="1" ht="15.75" customHeight="1" x14ac:dyDescent="0.25">
      <c r="A66" s="213"/>
      <c r="B66" s="219" t="s">
        <v>604</v>
      </c>
    </row>
    <row r="67" spans="1:2" s="158" customFormat="1" ht="15.75" customHeight="1" x14ac:dyDescent="0.25">
      <c r="A67" s="213"/>
      <c r="B67" s="219" t="s">
        <v>605</v>
      </c>
    </row>
    <row r="68" spans="1:2" s="158" customFormat="1" ht="15.75" customHeight="1" x14ac:dyDescent="0.25">
      <c r="A68" s="213"/>
      <c r="B68" s="219" t="s">
        <v>606</v>
      </c>
    </row>
    <row r="69" spans="1:2" ht="15.75" customHeight="1" x14ac:dyDescent="0.25">
      <c r="A69" s="219" t="s">
        <v>116</v>
      </c>
      <c r="B69" s="213"/>
    </row>
    <row r="70" spans="1:2" ht="15.75" customHeight="1" x14ac:dyDescent="0.25">
      <c r="A70" s="213"/>
      <c r="B70" s="219" t="s">
        <v>117</v>
      </c>
    </row>
    <row r="71" spans="1:2" ht="15.75" customHeight="1" x14ac:dyDescent="0.25">
      <c r="A71" s="213"/>
      <c r="B71" s="219" t="s">
        <v>118</v>
      </c>
    </row>
    <row r="72" spans="1:2" ht="15.75" customHeight="1" x14ac:dyDescent="0.2"/>
    <row r="73" spans="1:2" ht="15.75" customHeight="1" x14ac:dyDescent="0.2"/>
    <row r="74" spans="1:2" ht="15.75" customHeight="1" x14ac:dyDescent="0.2"/>
    <row r="75" spans="1:2" ht="15.75" customHeight="1" x14ac:dyDescent="0.2"/>
    <row r="76" spans="1:2" ht="15.75" customHeight="1" x14ac:dyDescent="0.2"/>
    <row r="77" spans="1:2" ht="15.75" customHeight="1" x14ac:dyDescent="0.2"/>
    <row r="78" spans="1:2" ht="15.75" customHeight="1" x14ac:dyDescent="0.2"/>
    <row r="79" spans="1:2" ht="15.75" customHeight="1" x14ac:dyDescent="0.2"/>
    <row r="80" spans="1:2"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sheetData>
  <dataValidations disablePrompts="1" count="4">
    <dataValidation type="whole" allowBlank="1" showInputMessage="1" showErrorMessage="1" sqref="B10" xr:uid="{067AFCC0-751A-4629-9884-714034B7BE2E}">
      <formula1>0</formula1>
      <formula2>4</formula2>
    </dataValidation>
    <dataValidation type="whole" allowBlank="1" showInputMessage="1" showErrorMessage="1" sqref="B11 B16 B21 B26" xr:uid="{D91BBD99-56D1-4947-8E1B-8D7BD98F388C}">
      <formula1>1900</formula1>
      <formula2>2030</formula2>
    </dataValidation>
    <dataValidation type="whole" allowBlank="1" showInputMessage="1" showErrorMessage="1" sqref="B38:B43" xr:uid="{28A397F9-BCE6-490A-9AF7-E66821CB9A18}">
      <formula1>0</formula1>
      <formula2>200</formula2>
    </dataValidation>
    <dataValidation type="whole" allowBlank="1" showInputMessage="1" showErrorMessage="1" sqref="B46" xr:uid="{5BFF1F03-9A5B-441E-9019-B646B8A23BA3}">
      <formula1>0</formula1>
      <formula2>365</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13"/>
  <sheetViews>
    <sheetView workbookViewId="0">
      <selection activeCell="E35" sqref="E35"/>
    </sheetView>
  </sheetViews>
  <sheetFormatPr defaultColWidth="12.625" defaultRowHeight="15" customHeight="1" x14ac:dyDescent="0.2"/>
  <cols>
    <col min="1" max="1" width="37.125" customWidth="1"/>
    <col min="2" max="2" width="11.625" customWidth="1"/>
    <col min="3" max="3" width="11.875" customWidth="1"/>
    <col min="4" max="4" width="17" customWidth="1"/>
    <col min="5" max="5" width="14.625" customWidth="1"/>
    <col min="6" max="26" width="7.625" customWidth="1"/>
  </cols>
  <sheetData>
    <row r="1" spans="1:9" ht="15" customHeight="1" x14ac:dyDescent="0.25">
      <c r="B1" s="1"/>
      <c r="C1" s="2"/>
      <c r="D1" s="2"/>
      <c r="E1" s="2"/>
      <c r="F1" s="2"/>
      <c r="G1" s="2"/>
    </row>
    <row r="2" spans="1:9" ht="15" customHeight="1" x14ac:dyDescent="0.3">
      <c r="B2" s="4" t="str">
        <f>Intro!D2</f>
        <v>Carbon Calculator for &lt;&lt;names&gt;&gt; &lt;e-mail address&gt;</v>
      </c>
      <c r="C2" s="2"/>
      <c r="D2" s="2"/>
      <c r="E2" s="2"/>
      <c r="F2" s="2"/>
      <c r="G2" s="2"/>
    </row>
    <row r="3" spans="1:9" ht="15" customHeight="1" x14ac:dyDescent="0.3">
      <c r="B3" s="4" t="str">
        <f>Intro!D3</f>
        <v>&lt;&lt;Street&gt;&gt;</v>
      </c>
      <c r="C3" s="2"/>
      <c r="D3" s="2"/>
      <c r="E3" s="2"/>
      <c r="F3" s="2"/>
      <c r="G3" s="2"/>
    </row>
    <row r="4" spans="1:9" ht="15" customHeight="1" x14ac:dyDescent="0.3">
      <c r="B4" s="4" t="str">
        <f>Intro!D4</f>
        <v>Yorktown Heights, NY 10598</v>
      </c>
      <c r="C4" s="2"/>
      <c r="D4" s="2"/>
      <c r="E4" s="2"/>
      <c r="F4" s="2"/>
      <c r="G4" s="2"/>
    </row>
    <row r="5" spans="1:9" s="158" customFormat="1" ht="15" customHeight="1" x14ac:dyDescent="0.3">
      <c r="B5" s="4"/>
      <c r="C5" s="2"/>
      <c r="D5" s="2"/>
      <c r="E5" s="2"/>
      <c r="F5" s="2"/>
      <c r="G5" s="2"/>
    </row>
    <row r="6" spans="1:9" s="158" customFormat="1" ht="15" customHeight="1" x14ac:dyDescent="0.3">
      <c r="A6" s="6" t="s">
        <v>588</v>
      </c>
      <c r="B6" s="4"/>
      <c r="C6" s="2"/>
      <c r="D6" s="2"/>
      <c r="E6" s="2"/>
      <c r="F6" s="2"/>
      <c r="G6" s="2"/>
    </row>
    <row r="7" spans="1:9" ht="15" customHeight="1" x14ac:dyDescent="0.25">
      <c r="B7" s="6" t="s">
        <v>607</v>
      </c>
      <c r="C7" s="2"/>
      <c r="D7" s="2"/>
      <c r="E7" s="2"/>
      <c r="F7" s="2"/>
      <c r="G7" s="2" t="s">
        <v>2</v>
      </c>
      <c r="H7" s="6" t="s">
        <v>2</v>
      </c>
      <c r="I7" s="6" t="s">
        <v>3</v>
      </c>
    </row>
    <row r="8" spans="1:9" x14ac:dyDescent="0.25">
      <c r="A8" s="7" t="s">
        <v>7</v>
      </c>
      <c r="B8" s="7" t="s">
        <v>17</v>
      </c>
      <c r="C8" s="7" t="s">
        <v>18</v>
      </c>
      <c r="D8" s="7" t="s">
        <v>19</v>
      </c>
      <c r="E8" s="7" t="s">
        <v>20</v>
      </c>
      <c r="G8" s="6" t="s">
        <v>3</v>
      </c>
      <c r="H8" s="2" t="s">
        <v>3</v>
      </c>
      <c r="I8" s="2" t="s">
        <v>21</v>
      </c>
    </row>
    <row r="9" spans="1:9" x14ac:dyDescent="0.25">
      <c r="A9" s="8" t="s">
        <v>22</v>
      </c>
      <c r="B9" s="9"/>
      <c r="C9" s="10"/>
      <c r="D9" s="8"/>
      <c r="E9" s="8"/>
      <c r="G9" s="6" t="s">
        <v>21</v>
      </c>
      <c r="H9" s="6" t="s">
        <v>21</v>
      </c>
      <c r="I9" s="6" t="s">
        <v>23</v>
      </c>
    </row>
    <row r="10" spans="1:9" x14ac:dyDescent="0.25">
      <c r="A10" s="8" t="s">
        <v>24</v>
      </c>
      <c r="B10" s="9"/>
      <c r="C10" s="10"/>
      <c r="D10" s="8"/>
      <c r="E10" s="8"/>
      <c r="G10" s="6" t="s">
        <v>23</v>
      </c>
      <c r="H10" s="6" t="s">
        <v>23</v>
      </c>
      <c r="I10" s="6" t="s">
        <v>26</v>
      </c>
    </row>
    <row r="11" spans="1:9" x14ac:dyDescent="0.25">
      <c r="A11" s="8" t="s">
        <v>28</v>
      </c>
      <c r="B11" s="9"/>
      <c r="C11" s="10"/>
      <c r="D11" s="8"/>
      <c r="E11" s="8"/>
      <c r="G11" s="6" t="s">
        <v>29</v>
      </c>
      <c r="H11" s="6" t="s">
        <v>26</v>
      </c>
    </row>
    <row r="12" spans="1:9" x14ac:dyDescent="0.25">
      <c r="A12" s="8" t="s">
        <v>30</v>
      </c>
      <c r="B12" s="9"/>
      <c r="C12" s="10"/>
      <c r="D12" s="8"/>
      <c r="E12" s="8"/>
      <c r="G12" s="6" t="s">
        <v>31</v>
      </c>
    </row>
    <row r="13" spans="1:9" x14ac:dyDescent="0.25">
      <c r="A13" s="8" t="s">
        <v>32</v>
      </c>
      <c r="B13" s="9"/>
      <c r="C13" s="10"/>
      <c r="D13" s="8"/>
      <c r="E13" s="8"/>
      <c r="G13" s="6" t="s">
        <v>26</v>
      </c>
    </row>
    <row r="14" spans="1:9" x14ac:dyDescent="0.25">
      <c r="A14" s="8" t="s">
        <v>34</v>
      </c>
      <c r="B14" s="9"/>
      <c r="C14" s="10"/>
      <c r="D14" s="8"/>
      <c r="E14" s="8"/>
    </row>
    <row r="15" spans="1:9" x14ac:dyDescent="0.25">
      <c r="A15" s="8" t="s">
        <v>35</v>
      </c>
      <c r="B15" s="13">
        <f>Assumptions!$C$103</f>
        <v>2392</v>
      </c>
      <c r="C15" s="10"/>
      <c r="D15" s="8" t="s">
        <v>38</v>
      </c>
      <c r="E15" s="14">
        <f>Assumptions!$C$103</f>
        <v>2392</v>
      </c>
      <c r="G15" s="6" t="s">
        <v>39</v>
      </c>
      <c r="H15" s="234">
        <v>0.05</v>
      </c>
      <c r="I15" s="6" t="s">
        <v>66</v>
      </c>
    </row>
    <row r="16" spans="1:9" x14ac:dyDescent="0.25">
      <c r="A16" s="192" t="s">
        <v>40</v>
      </c>
      <c r="B16" s="193">
        <f>Assumptions!$C$29*12*B15/Assumptions!$C$103</f>
        <v>551</v>
      </c>
      <c r="C16" s="194"/>
      <c r="D16" s="192" t="s">
        <v>38</v>
      </c>
      <c r="E16" s="192">
        <f>Assumptions!$C$29*12</f>
        <v>551</v>
      </c>
      <c r="F16" s="168"/>
      <c r="G16" s="6" t="s">
        <v>42</v>
      </c>
      <c r="H16" s="234">
        <v>0.2</v>
      </c>
      <c r="I16" s="6" t="s">
        <v>80</v>
      </c>
    </row>
    <row r="17" spans="1:14" s="158" customFormat="1" x14ac:dyDescent="0.25">
      <c r="A17" s="169" t="s">
        <v>588</v>
      </c>
      <c r="B17" s="190"/>
      <c r="C17" s="171"/>
      <c r="D17" s="172"/>
      <c r="E17" s="172"/>
      <c r="F17" s="174"/>
      <c r="G17" s="6" t="s">
        <v>48</v>
      </c>
      <c r="I17" s="6"/>
    </row>
    <row r="18" spans="1:14" s="158" customFormat="1" x14ac:dyDescent="0.25">
      <c r="A18" s="172"/>
      <c r="B18" s="191" t="s">
        <v>609</v>
      </c>
      <c r="C18" s="171"/>
      <c r="D18" s="172"/>
      <c r="E18" s="172"/>
      <c r="F18" s="174"/>
      <c r="G18" s="6" t="s">
        <v>53</v>
      </c>
      <c r="I18" s="6" t="s">
        <v>2</v>
      </c>
    </row>
    <row r="19" spans="1:14" s="158" customFormat="1" x14ac:dyDescent="0.25">
      <c r="A19" s="172"/>
      <c r="B19" s="191" t="s">
        <v>615</v>
      </c>
      <c r="C19" s="171"/>
      <c r="D19" s="172"/>
      <c r="E19" s="172"/>
      <c r="F19" s="174"/>
      <c r="I19" s="6" t="s">
        <v>3</v>
      </c>
    </row>
    <row r="20" spans="1:14" s="158" customFormat="1" x14ac:dyDescent="0.25">
      <c r="A20" s="172"/>
      <c r="B20" s="191" t="s">
        <v>610</v>
      </c>
      <c r="C20" s="171"/>
      <c r="D20" s="172"/>
      <c r="E20" s="172"/>
      <c r="F20" s="174"/>
      <c r="G20" s="6"/>
      <c r="I20" s="6" t="s">
        <v>86</v>
      </c>
    </row>
    <row r="21" spans="1:14" s="158" customFormat="1" x14ac:dyDescent="0.25">
      <c r="A21" s="172"/>
      <c r="B21" s="233" t="s">
        <v>616</v>
      </c>
      <c r="C21" s="171"/>
      <c r="D21" s="172"/>
      <c r="E21" s="172"/>
      <c r="F21" s="174"/>
      <c r="G21" s="6"/>
      <c r="I21" s="151" t="s">
        <v>23</v>
      </c>
    </row>
    <row r="22" spans="1:14" x14ac:dyDescent="0.25">
      <c r="A22" s="177" t="s">
        <v>43</v>
      </c>
      <c r="B22" s="198">
        <v>0.05</v>
      </c>
      <c r="C22" s="220">
        <f>B16/Assumptions!$C$90*(Assumptions!$C$32*(1-B22) + Assumptions!$C$33*B22)</f>
        <v>5.4424054104280195</v>
      </c>
      <c r="D22" s="177" t="s">
        <v>45</v>
      </c>
      <c r="E22" s="177" t="s">
        <v>46</v>
      </c>
      <c r="F22" s="168"/>
    </row>
    <row r="23" spans="1:14" x14ac:dyDescent="0.25">
      <c r="A23" s="164" t="s">
        <v>49</v>
      </c>
      <c r="B23" s="195"/>
      <c r="C23" s="166">
        <f>B16*B22/Assumptions!$C$90*(Assumptions!$C$32-Assumptions!$C$33)</f>
        <v>0.20927348199417736</v>
      </c>
      <c r="D23" s="196" t="s">
        <v>608</v>
      </c>
      <c r="E23" s="197"/>
    </row>
    <row r="24" spans="1:14" x14ac:dyDescent="0.25">
      <c r="A24" s="8" t="s">
        <v>55</v>
      </c>
      <c r="B24" s="13">
        <f>Assumptions!$C$12*12*B15/Assumptions!$C$103</f>
        <v>66000</v>
      </c>
      <c r="C24" s="218">
        <f>B24/1000*Assumptions!$C$17/Assumptions!$C$90</f>
        <v>3.5798043599999998</v>
      </c>
      <c r="D24" s="8" t="s">
        <v>38</v>
      </c>
      <c r="E24" s="14">
        <f>Assumptions!$C$12*12</f>
        <v>66000</v>
      </c>
      <c r="F24" s="187" t="s">
        <v>624</v>
      </c>
      <c r="G24" s="188"/>
      <c r="H24" s="188"/>
      <c r="I24" s="188"/>
      <c r="J24" s="188"/>
      <c r="K24" s="186"/>
      <c r="L24" s="186"/>
      <c r="M24" s="186"/>
      <c r="N24" s="186"/>
    </row>
    <row r="25" spans="1:14" x14ac:dyDescent="0.25">
      <c r="A25" s="8" t="s">
        <v>59</v>
      </c>
      <c r="B25" s="13">
        <f>Assumptions!$C$12*12*B15/Assumptions!$C$103/1000*Assumptions!$C$91</f>
        <v>675.18000000000006</v>
      </c>
      <c r="C25" s="218">
        <f>B25*Assumptions!$C$16/Assumptions!$C$90</f>
        <v>3.5798043600000002</v>
      </c>
      <c r="D25" s="8" t="s">
        <v>38</v>
      </c>
      <c r="E25" s="14">
        <f>E24/1000*Assumptions!$C$91</f>
        <v>675.18000000000006</v>
      </c>
      <c r="F25" s="187" t="s">
        <v>624</v>
      </c>
      <c r="G25" s="188"/>
      <c r="H25" s="188"/>
      <c r="I25" s="188"/>
      <c r="J25" s="188"/>
      <c r="K25" s="186"/>
      <c r="L25" s="186"/>
      <c r="M25" s="186"/>
      <c r="N25" s="186"/>
    </row>
    <row r="26" spans="1:14" x14ac:dyDescent="0.25">
      <c r="A26" s="162" t="s">
        <v>67</v>
      </c>
      <c r="B26" s="181">
        <f>Assumptions!$C$39*12*B15/Assumptions!$C$103</f>
        <v>464</v>
      </c>
      <c r="C26" s="222">
        <f>Assumptions!$C$42*B26/Assumptions!$C$90</f>
        <v>2.615262143550749</v>
      </c>
      <c r="D26" s="162" t="s">
        <v>38</v>
      </c>
      <c r="E26" s="201">
        <f>Assumptions!$C$39*12</f>
        <v>464</v>
      </c>
    </row>
    <row r="27" spans="1:14" x14ac:dyDescent="0.25">
      <c r="A27" s="177" t="s">
        <v>81</v>
      </c>
      <c r="B27" s="224"/>
      <c r="C27" s="220">
        <v>0</v>
      </c>
      <c r="D27" s="177" t="s">
        <v>83</v>
      </c>
      <c r="E27" s="177"/>
    </row>
    <row r="28" spans="1:14" s="158" customFormat="1" x14ac:dyDescent="0.25">
      <c r="A28" s="169" t="s">
        <v>588</v>
      </c>
      <c r="B28" s="199"/>
      <c r="C28" s="171"/>
      <c r="D28" s="172"/>
      <c r="E28" s="172"/>
    </row>
    <row r="29" spans="1:14" s="158" customFormat="1" x14ac:dyDescent="0.25">
      <c r="A29" s="172"/>
      <c r="B29" s="200" t="s">
        <v>611</v>
      </c>
      <c r="C29" s="171"/>
      <c r="D29" s="172"/>
      <c r="E29" s="172"/>
    </row>
    <row r="30" spans="1:14" s="158" customFormat="1" x14ac:dyDescent="0.25">
      <c r="A30" s="172"/>
      <c r="B30" s="200" t="s">
        <v>612</v>
      </c>
      <c r="C30" s="171"/>
      <c r="D30" s="172"/>
      <c r="E30" s="172"/>
    </row>
    <row r="31" spans="1:14" s="158" customFormat="1" x14ac:dyDescent="0.25">
      <c r="A31" s="172"/>
      <c r="B31" s="200" t="s">
        <v>613</v>
      </c>
      <c r="C31" s="171"/>
      <c r="D31" s="172"/>
      <c r="E31" s="172"/>
    </row>
    <row r="32" spans="1:14" ht="15.75" customHeight="1" x14ac:dyDescent="0.25">
      <c r="A32" s="177" t="s">
        <v>31</v>
      </c>
      <c r="B32" s="224"/>
      <c r="C32" s="220">
        <v>0</v>
      </c>
      <c r="D32" s="177" t="s">
        <v>83</v>
      </c>
      <c r="E32" s="177"/>
    </row>
    <row r="33" spans="1:7" ht="15.75" customHeight="1" x14ac:dyDescent="0.25">
      <c r="A33" s="164" t="s">
        <v>29</v>
      </c>
      <c r="B33" s="225"/>
      <c r="C33" s="221">
        <v>0</v>
      </c>
      <c r="D33" s="164" t="s">
        <v>83</v>
      </c>
      <c r="E33" s="164"/>
    </row>
    <row r="34" spans="1:7" s="158" customFormat="1" ht="15.75" customHeight="1" x14ac:dyDescent="0.25">
      <c r="A34" s="203" t="s">
        <v>614</v>
      </c>
      <c r="B34" s="225"/>
      <c r="C34" s="221">
        <v>0</v>
      </c>
      <c r="D34" s="203" t="s">
        <v>83</v>
      </c>
      <c r="E34" s="164"/>
      <c r="G34" s="6"/>
    </row>
    <row r="35" spans="1:7" ht="15.75" customHeight="1" x14ac:dyDescent="0.25">
      <c r="A35" s="7" t="s">
        <v>65</v>
      </c>
      <c r="B35" s="8"/>
      <c r="C35" s="223">
        <f>C22+C24+C25+C26</f>
        <v>15.21727627397877</v>
      </c>
      <c r="D35" s="8" t="s">
        <v>661</v>
      </c>
      <c r="E35" s="17" t="s">
        <v>662</v>
      </c>
    </row>
    <row r="36" spans="1:7" ht="15.75" customHeight="1" x14ac:dyDescent="0.2"/>
    <row r="37" spans="1:7" ht="15.75" customHeight="1" x14ac:dyDescent="0.25">
      <c r="A37" s="219" t="s">
        <v>70</v>
      </c>
      <c r="B37" s="213"/>
    </row>
    <row r="38" spans="1:7" ht="15.75" customHeight="1" x14ac:dyDescent="0.25">
      <c r="A38" s="213"/>
      <c r="B38" s="219" t="s">
        <v>87</v>
      </c>
    </row>
    <row r="39" spans="1:7" ht="15.75" customHeight="1" x14ac:dyDescent="0.25">
      <c r="A39" s="213"/>
      <c r="B39" s="219" t="s">
        <v>88</v>
      </c>
    </row>
    <row r="40" spans="1:7" ht="15.75" customHeight="1" x14ac:dyDescent="0.25">
      <c r="A40" s="213"/>
      <c r="B40" s="219" t="s">
        <v>89</v>
      </c>
    </row>
    <row r="41" spans="1:7" ht="15.75" customHeight="1" x14ac:dyDescent="0.25">
      <c r="A41" s="213"/>
      <c r="B41" s="219" t="s">
        <v>90</v>
      </c>
    </row>
    <row r="42" spans="1:7" ht="15.75" customHeight="1" x14ac:dyDescent="0.25">
      <c r="A42" s="213"/>
      <c r="B42" s="219" t="s">
        <v>92</v>
      </c>
    </row>
    <row r="43" spans="1:7" s="149" customFormat="1" ht="15.75" customHeight="1" x14ac:dyDescent="0.25">
      <c r="A43" s="213"/>
      <c r="B43" s="219" t="s">
        <v>584</v>
      </c>
    </row>
    <row r="44" spans="1:7" ht="15.75" customHeight="1" x14ac:dyDescent="0.25">
      <c r="A44" s="213"/>
      <c r="B44" s="219" t="s">
        <v>93</v>
      </c>
    </row>
    <row r="45" spans="1:7" ht="15.75" customHeight="1" x14ac:dyDescent="0.25">
      <c r="A45" s="219" t="s">
        <v>94</v>
      </c>
      <c r="B45" s="213"/>
    </row>
    <row r="46" spans="1:7" ht="15.75" customHeight="1" x14ac:dyDescent="0.25">
      <c r="A46" s="213"/>
      <c r="B46" s="219" t="s">
        <v>95</v>
      </c>
    </row>
    <row r="47" spans="1:7" ht="15.75" customHeight="1" x14ac:dyDescent="0.25">
      <c r="A47" s="213"/>
      <c r="B47" s="219" t="s">
        <v>96</v>
      </c>
    </row>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sheetData>
  <dataValidations count="10">
    <dataValidation type="list" allowBlank="1" showErrorMessage="1" sqref="B10" xr:uid="{00000000-0002-0000-0200-000000000000}">
      <formula1>$H$7:$H$11</formula1>
    </dataValidation>
    <dataValidation type="list" allowBlank="1" showErrorMessage="1" sqref="B11" xr:uid="{00000000-0002-0000-0200-000001000000}">
      <formula1>$I$7:$I$10</formula1>
    </dataValidation>
    <dataValidation type="list" allowBlank="1" showErrorMessage="1" sqref="B9" xr:uid="{00000000-0002-0000-0200-000004000000}">
      <formula1>$G$7:$G$13</formula1>
    </dataValidation>
    <dataValidation type="list" allowBlank="1" showErrorMessage="1" sqref="B13" xr:uid="{00000000-0002-0000-0200-000003000000}">
      <formula1>$I$15:$I$16</formula1>
    </dataValidation>
    <dataValidation type="list" allowBlank="1" showErrorMessage="1" sqref="B14" xr:uid="{00000000-0002-0000-0200-000002000000}">
      <formula1>$I$18:$I$21</formula1>
    </dataValidation>
    <dataValidation type="list" allowBlank="1" showErrorMessage="1" sqref="B12" xr:uid="{00000000-0002-0000-0200-000005000000}">
      <formula1>$G$15:$G$18</formula1>
    </dataValidation>
    <dataValidation type="whole" allowBlank="1" showInputMessage="1" showErrorMessage="1" sqref="B15 B24" xr:uid="{0B17D925-58A8-4123-917E-5F4BC79457DD}">
      <formula1>0</formula1>
      <formula2>1000000</formula2>
    </dataValidation>
    <dataValidation type="decimal" allowBlank="1" showInputMessage="1" showErrorMessage="1" sqref="B16" xr:uid="{E65FC1DD-4CBD-49E8-B033-09E4ECF327F5}">
      <formula1>0</formula1>
      <formula2>100000</formula2>
    </dataValidation>
    <dataValidation type="list" allowBlank="1" showInputMessage="1" showErrorMessage="1" sqref="B22" xr:uid="{097FD62E-B550-4259-B420-5621D211943A}">
      <formula1>$H$15:$H$16</formula1>
    </dataValidation>
    <dataValidation type="whole" allowBlank="1" showInputMessage="1" showErrorMessage="1" sqref="B25 B26" xr:uid="{5E18A38D-3777-4607-B946-BB5E69C89336}">
      <formula1>0</formula1>
      <formula2>100000</formula2>
    </dataValidation>
  </dataValidation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3"/>
  <sheetViews>
    <sheetView workbookViewId="0">
      <selection activeCell="E16" sqref="E16"/>
    </sheetView>
  </sheetViews>
  <sheetFormatPr defaultColWidth="12.625" defaultRowHeight="15" customHeight="1" x14ac:dyDescent="0.2"/>
  <cols>
    <col min="1" max="1" width="37" customWidth="1"/>
    <col min="2" max="2" width="11.625" customWidth="1"/>
    <col min="3" max="3" width="11.875" customWidth="1"/>
    <col min="4" max="4" width="16.75" customWidth="1"/>
    <col min="5" max="5" width="13.125" customWidth="1"/>
    <col min="6" max="26" width="7.625" customWidth="1"/>
  </cols>
  <sheetData>
    <row r="1" spans="1:14" ht="15" customHeight="1" x14ac:dyDescent="0.3">
      <c r="A1" s="2"/>
      <c r="B1" s="2"/>
      <c r="C1" s="2"/>
      <c r="D1" s="2"/>
      <c r="E1" s="2"/>
      <c r="F1" s="4"/>
      <c r="G1" s="2"/>
    </row>
    <row r="2" spans="1:14" ht="15" customHeight="1" x14ac:dyDescent="0.3">
      <c r="A2" s="2"/>
      <c r="B2" s="4" t="str">
        <f>Intro!D2</f>
        <v>Carbon Calculator for &lt;&lt;names&gt;&gt; &lt;e-mail address&gt;</v>
      </c>
      <c r="C2" s="2"/>
      <c r="D2" s="2"/>
      <c r="E2" s="2"/>
      <c r="F2" s="4"/>
      <c r="G2" s="2"/>
    </row>
    <row r="3" spans="1:14" ht="15" customHeight="1" x14ac:dyDescent="0.3">
      <c r="A3" s="2"/>
      <c r="B3" s="4" t="str">
        <f>Intro!D3</f>
        <v>&lt;&lt;Street&gt;&gt;</v>
      </c>
      <c r="C3" s="2"/>
      <c r="D3" s="2"/>
      <c r="E3" s="2"/>
      <c r="F3" s="4"/>
      <c r="G3" s="2"/>
    </row>
    <row r="4" spans="1:14" ht="15" customHeight="1" x14ac:dyDescent="0.3">
      <c r="A4" s="2"/>
      <c r="B4" s="4" t="str">
        <f>Intro!D4</f>
        <v>Yorktown Heights, NY 10598</v>
      </c>
      <c r="C4" s="2"/>
      <c r="D4" s="2"/>
      <c r="E4" s="2"/>
      <c r="F4" s="4"/>
      <c r="G4" s="2"/>
    </row>
    <row r="5" spans="1:14" s="158" customFormat="1" ht="15" customHeight="1" x14ac:dyDescent="0.3">
      <c r="A5" s="2"/>
      <c r="B5" s="4"/>
      <c r="C5" s="2"/>
      <c r="D5" s="2"/>
      <c r="E5" s="2"/>
      <c r="F5" s="4"/>
      <c r="G5" s="2"/>
    </row>
    <row r="6" spans="1:14" s="158" customFormat="1" ht="15" customHeight="1" x14ac:dyDescent="0.3">
      <c r="A6" s="151" t="s">
        <v>588</v>
      </c>
      <c r="B6" s="4"/>
      <c r="C6" s="2"/>
      <c r="D6" s="2"/>
      <c r="E6" s="2"/>
      <c r="F6" s="4"/>
      <c r="G6" s="2"/>
    </row>
    <row r="7" spans="1:14" s="158" customFormat="1" ht="15" customHeight="1" x14ac:dyDescent="0.3">
      <c r="A7" s="2"/>
      <c r="B7" s="151" t="s">
        <v>617</v>
      </c>
      <c r="C7" s="2"/>
      <c r="D7" s="2"/>
      <c r="E7" s="2"/>
      <c r="F7" s="4"/>
      <c r="G7" s="2"/>
    </row>
    <row r="8" spans="1:14" ht="15" customHeight="1" x14ac:dyDescent="0.3">
      <c r="A8" s="2"/>
      <c r="B8" s="151" t="s">
        <v>618</v>
      </c>
      <c r="C8" s="2"/>
      <c r="D8" s="2"/>
      <c r="E8" s="2"/>
      <c r="F8" s="4"/>
      <c r="G8" s="2"/>
    </row>
    <row r="9" spans="1:14" s="158" customFormat="1" ht="15" customHeight="1" x14ac:dyDescent="0.3">
      <c r="A9" s="2"/>
      <c r="B9" s="151" t="s">
        <v>619</v>
      </c>
      <c r="C9" s="2"/>
      <c r="D9" s="2"/>
      <c r="E9" s="2"/>
      <c r="F9" s="4"/>
      <c r="G9" s="2"/>
    </row>
    <row r="10" spans="1:14" x14ac:dyDescent="0.25">
      <c r="A10" s="7" t="s">
        <v>7</v>
      </c>
      <c r="B10" s="7" t="s">
        <v>17</v>
      </c>
      <c r="C10" s="7" t="s">
        <v>18</v>
      </c>
      <c r="D10" s="7" t="s">
        <v>19</v>
      </c>
      <c r="E10" s="7" t="s">
        <v>20</v>
      </c>
      <c r="F10" s="2"/>
    </row>
    <row r="11" spans="1:14" x14ac:dyDescent="0.25">
      <c r="A11" s="161" t="s">
        <v>620</v>
      </c>
      <c r="B11" s="204" t="s">
        <v>621</v>
      </c>
      <c r="C11" s="10"/>
      <c r="D11" s="8"/>
      <c r="E11" s="8"/>
    </row>
    <row r="12" spans="1:14" x14ac:dyDescent="0.25">
      <c r="A12" s="8" t="s">
        <v>50</v>
      </c>
      <c r="B12" s="9"/>
      <c r="C12" s="10"/>
      <c r="D12" s="8"/>
      <c r="E12" s="8"/>
    </row>
    <row r="13" spans="1:14" x14ac:dyDescent="0.25">
      <c r="A13" s="8" t="s">
        <v>35</v>
      </c>
      <c r="B13" s="226">
        <f>Heating!B15</f>
        <v>2392</v>
      </c>
      <c r="C13" s="10"/>
      <c r="D13" s="8" t="s">
        <v>38</v>
      </c>
      <c r="E13" s="14">
        <f>Assumptions!$C$103</f>
        <v>2392</v>
      </c>
    </row>
    <row r="14" spans="1:14" x14ac:dyDescent="0.25">
      <c r="A14" s="8" t="s">
        <v>56</v>
      </c>
      <c r="B14" s="13">
        <f>Assumptions!$C$22*12*B13/Assumptions!$C$103</f>
        <v>11320</v>
      </c>
      <c r="C14" s="10"/>
      <c r="D14" s="8" t="s">
        <v>38</v>
      </c>
      <c r="E14" s="14">
        <f>Assumptions!$C$22*12</f>
        <v>11320</v>
      </c>
      <c r="F14" s="205" t="s">
        <v>622</v>
      </c>
      <c r="G14" s="188"/>
      <c r="H14" s="188"/>
      <c r="I14" s="188"/>
      <c r="J14" s="188"/>
      <c r="K14" s="188"/>
      <c r="L14" s="188"/>
      <c r="M14" s="188"/>
      <c r="N14" s="188"/>
    </row>
    <row r="15" spans="1:14" x14ac:dyDescent="0.25">
      <c r="A15" s="8" t="s">
        <v>61</v>
      </c>
      <c r="B15" s="16">
        <v>0</v>
      </c>
      <c r="C15" s="218">
        <f>EMISSION_FACTORS!$C$16*B14/1000*(1-B15)/Assumptions!$C$90</f>
        <v>3.2029232939649326</v>
      </c>
      <c r="D15" s="8"/>
      <c r="E15" s="8"/>
      <c r="F15" s="205" t="s">
        <v>623</v>
      </c>
      <c r="G15" s="188"/>
      <c r="H15" s="188"/>
      <c r="I15" s="188"/>
      <c r="J15" s="188"/>
      <c r="K15" s="188"/>
      <c r="L15" s="188"/>
      <c r="M15" s="188"/>
      <c r="N15" s="188"/>
    </row>
    <row r="16" spans="1:14" x14ac:dyDescent="0.25">
      <c r="A16" s="7" t="s">
        <v>65</v>
      </c>
      <c r="B16" s="8"/>
      <c r="C16" s="223">
        <f>C15</f>
        <v>3.2029232939649326</v>
      </c>
      <c r="D16" s="8" t="s">
        <v>661</v>
      </c>
      <c r="E16" s="8" t="s">
        <v>662</v>
      </c>
    </row>
    <row r="18" spans="1:2" x14ac:dyDescent="0.25">
      <c r="A18" s="219" t="s">
        <v>70</v>
      </c>
      <c r="B18" s="213"/>
    </row>
    <row r="19" spans="1:2" s="235" customFormat="1" x14ac:dyDescent="0.25">
      <c r="A19" s="219"/>
      <c r="B19" s="219" t="s">
        <v>650</v>
      </c>
    </row>
    <row r="20" spans="1:2" x14ac:dyDescent="0.25">
      <c r="A20" s="213"/>
      <c r="B20" s="219" t="s">
        <v>71</v>
      </c>
    </row>
    <row r="21" spans="1:2" x14ac:dyDescent="0.25">
      <c r="A21" s="213"/>
      <c r="B21" s="219" t="s">
        <v>73</v>
      </c>
    </row>
    <row r="22" spans="1:2" x14ac:dyDescent="0.25">
      <c r="A22" s="213"/>
      <c r="B22" s="219" t="s">
        <v>74</v>
      </c>
    </row>
    <row r="23" spans="1:2" x14ac:dyDescent="0.25">
      <c r="A23" s="213"/>
      <c r="B23" s="219" t="s">
        <v>649</v>
      </c>
    </row>
    <row r="24" spans="1:2" x14ac:dyDescent="0.25">
      <c r="A24" s="213"/>
      <c r="B24" s="219" t="s">
        <v>75</v>
      </c>
    </row>
    <row r="25" spans="1:2" x14ac:dyDescent="0.25">
      <c r="A25" s="213"/>
      <c r="B25" s="219" t="s">
        <v>76</v>
      </c>
    </row>
    <row r="26" spans="1:2" ht="15.75" customHeight="1" x14ac:dyDescent="0.25">
      <c r="A26" s="213"/>
      <c r="B26" s="219" t="s">
        <v>77</v>
      </c>
    </row>
    <row r="27" spans="1:2" ht="15.75" customHeight="1" x14ac:dyDescent="0.25">
      <c r="A27" s="213"/>
      <c r="B27" s="219" t="s">
        <v>78</v>
      </c>
    </row>
    <row r="28" spans="1:2" ht="15.75" customHeight="1" x14ac:dyDescent="0.2"/>
    <row r="29" spans="1:2" ht="15.75" customHeight="1" x14ac:dyDescent="0.2"/>
    <row r="30" spans="1:2" ht="15.75" customHeight="1" x14ac:dyDescent="0.2"/>
    <row r="31" spans="1:2" ht="15.75" customHeight="1" x14ac:dyDescent="0.2"/>
    <row r="32" spans="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dataValidations count="2">
    <dataValidation type="decimal" allowBlank="1" showInputMessage="1" showErrorMessage="1" sqref="B14" xr:uid="{A1D57C2F-180A-446C-9891-0A22B02FD14E}">
      <formula1>0</formula1>
      <formula2>1000000</formula2>
    </dataValidation>
    <dataValidation type="decimal" allowBlank="1" showInputMessage="1" showErrorMessage="1" sqref="B15" xr:uid="{C9AD8EDE-0624-4252-93FE-258011B818B3}">
      <formula1>0</formula1>
      <formula2>1</formula2>
    </dataValidation>
  </dataValidation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08"/>
  <sheetViews>
    <sheetView workbookViewId="0">
      <selection activeCell="D28" sqref="D28"/>
    </sheetView>
  </sheetViews>
  <sheetFormatPr defaultColWidth="12.625" defaultRowHeight="15" customHeight="1" x14ac:dyDescent="0.2"/>
  <cols>
    <col min="1" max="1" width="32.875" customWidth="1"/>
    <col min="2" max="2" width="11.625" customWidth="1"/>
    <col min="3" max="3" width="11.875" customWidth="1"/>
    <col min="4" max="4" width="25.25" customWidth="1"/>
    <col min="5" max="26" width="7.625" customWidth="1"/>
  </cols>
  <sheetData>
    <row r="1" spans="1:8" ht="15" customHeight="1" x14ac:dyDescent="0.25">
      <c r="A1" s="2"/>
      <c r="B1" s="18"/>
      <c r="C1" s="2"/>
      <c r="D1" s="2"/>
      <c r="E1" s="2"/>
      <c r="F1" s="2"/>
      <c r="G1" s="2"/>
    </row>
    <row r="2" spans="1:8" ht="15" customHeight="1" x14ac:dyDescent="0.3">
      <c r="A2" s="2"/>
      <c r="B2" s="4" t="str">
        <f>Intro!D2</f>
        <v>Carbon Calculator for &lt;&lt;names&gt;&gt; &lt;e-mail address&gt;</v>
      </c>
      <c r="C2" s="2"/>
      <c r="D2" s="2"/>
      <c r="E2" s="2"/>
      <c r="F2" s="2"/>
      <c r="G2" s="2"/>
    </row>
    <row r="3" spans="1:8" ht="15" customHeight="1" x14ac:dyDescent="0.3">
      <c r="A3" s="2"/>
      <c r="B3" s="4" t="str">
        <f>Intro!D3</f>
        <v>&lt;&lt;Street&gt;&gt;</v>
      </c>
      <c r="C3" s="2"/>
      <c r="D3" s="2"/>
      <c r="E3" s="2"/>
      <c r="F3" s="2"/>
      <c r="G3" s="2"/>
    </row>
    <row r="4" spans="1:8" ht="15" customHeight="1" x14ac:dyDescent="0.3">
      <c r="A4" s="2"/>
      <c r="B4" s="4" t="str">
        <f>Intro!D4</f>
        <v>Yorktown Heights, NY 10598</v>
      </c>
      <c r="C4" s="2"/>
      <c r="D4" s="2"/>
      <c r="E4" s="2"/>
      <c r="F4" s="2"/>
      <c r="G4" s="2"/>
    </row>
    <row r="5" spans="1:8" s="158" customFormat="1" ht="15" customHeight="1" x14ac:dyDescent="0.3">
      <c r="A5" s="2"/>
      <c r="B5" s="4"/>
      <c r="C5" s="2"/>
      <c r="D5" s="2"/>
      <c r="E5" s="2"/>
      <c r="F5" s="2"/>
      <c r="G5" s="2"/>
    </row>
    <row r="6" spans="1:8" s="158" customFormat="1" ht="15" customHeight="1" x14ac:dyDescent="0.3">
      <c r="A6" s="151" t="s">
        <v>588</v>
      </c>
      <c r="B6" s="4"/>
      <c r="C6" s="2"/>
      <c r="D6" s="2"/>
      <c r="E6" s="2"/>
      <c r="F6" s="2"/>
      <c r="G6" s="2"/>
    </row>
    <row r="7" spans="1:8" s="158" customFormat="1" ht="15" customHeight="1" x14ac:dyDescent="0.25">
      <c r="A7" s="2"/>
      <c r="B7" s="151" t="s">
        <v>625</v>
      </c>
      <c r="C7" s="2"/>
      <c r="D7" s="2"/>
      <c r="E7" s="2"/>
      <c r="F7" s="2"/>
      <c r="G7" s="2"/>
    </row>
    <row r="8" spans="1:8" s="158" customFormat="1" ht="15" customHeight="1" x14ac:dyDescent="0.25">
      <c r="A8" s="2"/>
      <c r="B8" s="151" t="s">
        <v>626</v>
      </c>
      <c r="C8" s="2"/>
      <c r="D8" s="2"/>
      <c r="E8" s="2"/>
      <c r="F8" s="2"/>
      <c r="G8" s="2"/>
    </row>
    <row r="9" spans="1:8" s="158" customFormat="1" ht="15" customHeight="1" x14ac:dyDescent="0.25">
      <c r="A9" s="2"/>
      <c r="B9" s="219" t="s">
        <v>627</v>
      </c>
      <c r="C9" s="2"/>
      <c r="D9" s="2"/>
      <c r="E9" s="2"/>
      <c r="F9" s="2"/>
      <c r="G9" s="2"/>
    </row>
    <row r="10" spans="1:8" s="158" customFormat="1" ht="15" customHeight="1" x14ac:dyDescent="0.25">
      <c r="A10" s="2"/>
      <c r="B10" s="151" t="s">
        <v>628</v>
      </c>
      <c r="C10" s="2"/>
      <c r="D10" s="2"/>
      <c r="E10" s="2"/>
      <c r="F10" s="2"/>
      <c r="G10" s="2"/>
    </row>
    <row r="11" spans="1:8" s="158" customFormat="1" ht="15" customHeight="1" x14ac:dyDescent="0.25">
      <c r="A11" s="2"/>
      <c r="B11" s="151" t="s">
        <v>629</v>
      </c>
      <c r="C11" s="2"/>
      <c r="D11" s="2"/>
      <c r="E11" s="2"/>
      <c r="F11" s="2"/>
      <c r="G11" s="2"/>
    </row>
    <row r="12" spans="1:8" ht="15" customHeight="1" x14ac:dyDescent="0.25">
      <c r="A12" s="2"/>
      <c r="B12" s="18"/>
      <c r="C12" s="2"/>
      <c r="D12" s="2"/>
      <c r="E12" s="2"/>
      <c r="F12" s="2"/>
      <c r="G12" s="151" t="s">
        <v>66</v>
      </c>
      <c r="H12" s="153" t="s">
        <v>80</v>
      </c>
    </row>
    <row r="13" spans="1:8" x14ac:dyDescent="0.25">
      <c r="A13" s="19" t="s">
        <v>7</v>
      </c>
      <c r="B13" s="7" t="s">
        <v>17</v>
      </c>
      <c r="C13" s="7" t="s">
        <v>18</v>
      </c>
      <c r="D13" s="7" t="s">
        <v>19</v>
      </c>
      <c r="F13" s="151" t="s">
        <v>120</v>
      </c>
      <c r="G13" s="155">
        <v>-0.13200000000000001</v>
      </c>
      <c r="H13" s="156">
        <v>0</v>
      </c>
    </row>
    <row r="14" spans="1:8" x14ac:dyDescent="0.25">
      <c r="A14" s="8" t="s">
        <v>119</v>
      </c>
      <c r="B14" s="8"/>
      <c r="C14" s="218">
        <f>Assumptions!$C$47*Assumptions!$C$101/Assumptions!$C$90</f>
        <v>0.80610394898334115</v>
      </c>
      <c r="D14" s="10" t="str">
        <f>"10520 ave. garbage = "&amp;TEXT(C14,"##0.000")&amp;" tons"</f>
        <v>10520 ave. garbage = 0.806 tons</v>
      </c>
      <c r="F14" s="151" t="s">
        <v>121</v>
      </c>
      <c r="G14" s="154">
        <f>Assumptions!$C$48*Assumptions!$C$101/Assumptions!$C$90</f>
        <v>-0.10419316118601739</v>
      </c>
      <c r="H14" s="156">
        <v>0</v>
      </c>
    </row>
    <row r="15" spans="1:8" x14ac:dyDescent="0.25">
      <c r="A15" s="8" t="s">
        <v>120</v>
      </c>
      <c r="B15" s="13" t="s">
        <v>80</v>
      </c>
      <c r="C15" s="218">
        <f>HLOOKUP(B15,$G$12:$H$18,2,FALSE)</f>
        <v>0</v>
      </c>
      <c r="D15" s="10"/>
      <c r="F15" s="152" t="s">
        <v>122</v>
      </c>
      <c r="G15" s="154">
        <f>Assumptions!$C$49*Assumptions!$C$101/Assumptions!$C$90</f>
        <v>-4.1453443855166465E-2</v>
      </c>
      <c r="H15" s="156">
        <v>0</v>
      </c>
    </row>
    <row r="16" spans="1:8" x14ac:dyDescent="0.25">
      <c r="A16" s="8" t="s">
        <v>121</v>
      </c>
      <c r="B16" s="13" t="s">
        <v>80</v>
      </c>
      <c r="C16" s="218">
        <f>HLOOKUP(B16,$G$12:$H$18,3,FALSE)</f>
        <v>0</v>
      </c>
      <c r="D16" s="10"/>
      <c r="F16" s="152" t="s">
        <v>123</v>
      </c>
      <c r="G16" s="154">
        <f>Assumptions!$C$52*Assumptions!$C$101/Assumptions!$C$90</f>
        <v>-3.2011011480958126E-2</v>
      </c>
      <c r="H16" s="156">
        <v>0</v>
      </c>
    </row>
    <row r="17" spans="1:8" x14ac:dyDescent="0.25">
      <c r="A17" s="8" t="s">
        <v>122</v>
      </c>
      <c r="B17" s="13" t="s">
        <v>80</v>
      </c>
      <c r="C17" s="218">
        <f>HLOOKUP(B17,$G$12:$H$18,4,FALSE)</f>
        <v>0</v>
      </c>
      <c r="D17" s="10"/>
      <c r="F17" s="152" t="s">
        <v>124</v>
      </c>
      <c r="G17" s="154">
        <f>Assumptions!$C$50*Assumptions!$C$101/Assumptions!$C$90</f>
        <v>-2.9597945429771552E-2</v>
      </c>
      <c r="H17" s="156">
        <v>0</v>
      </c>
    </row>
    <row r="18" spans="1:8" x14ac:dyDescent="0.25">
      <c r="A18" s="8" t="s">
        <v>123</v>
      </c>
      <c r="B18" s="13" t="s">
        <v>80</v>
      </c>
      <c r="C18" s="218">
        <f>HLOOKUP(B18,$G$12:$H$18,5,FALSE)</f>
        <v>0</v>
      </c>
      <c r="D18" s="10"/>
      <c r="F18" s="152" t="s">
        <v>585</v>
      </c>
      <c r="G18" s="155">
        <v>0</v>
      </c>
      <c r="H18" s="156">
        <v>0</v>
      </c>
    </row>
    <row r="19" spans="1:8" x14ac:dyDescent="0.25">
      <c r="A19" s="162" t="s">
        <v>124</v>
      </c>
      <c r="B19" s="176" t="s">
        <v>80</v>
      </c>
      <c r="C19" s="222">
        <f>HLOOKUP(B19,$G$12:$H$18,6,FALSE)</f>
        <v>0</v>
      </c>
      <c r="D19" s="163"/>
    </row>
    <row r="20" spans="1:8" x14ac:dyDescent="0.25">
      <c r="A20" s="211" t="s">
        <v>125</v>
      </c>
      <c r="B20" s="202" t="s">
        <v>80</v>
      </c>
      <c r="C20" s="220">
        <f>HLOOKUP(B20,$G$12:$H$18,7,FALSE)</f>
        <v>0</v>
      </c>
      <c r="D20" s="227" t="s">
        <v>645</v>
      </c>
    </row>
    <row r="21" spans="1:8" s="158" customFormat="1" x14ac:dyDescent="0.25">
      <c r="A21" s="207" t="s">
        <v>588</v>
      </c>
      <c r="B21" s="208"/>
      <c r="C21" s="209"/>
      <c r="D21" s="209"/>
    </row>
    <row r="22" spans="1:8" s="158" customFormat="1" x14ac:dyDescent="0.25">
      <c r="A22" s="207"/>
      <c r="B22" s="208" t="s">
        <v>630</v>
      </c>
      <c r="C22" s="209"/>
      <c r="D22" s="209"/>
    </row>
    <row r="23" spans="1:8" s="158" customFormat="1" x14ac:dyDescent="0.25">
      <c r="A23" s="207"/>
      <c r="B23" s="208" t="s">
        <v>647</v>
      </c>
      <c r="C23" s="209"/>
      <c r="D23" s="209"/>
    </row>
    <row r="24" spans="1:8" s="158" customFormat="1" x14ac:dyDescent="0.25">
      <c r="A24" s="207"/>
      <c r="B24" s="208" t="s">
        <v>632</v>
      </c>
      <c r="C24" s="209"/>
      <c r="D24" s="209"/>
    </row>
    <row r="25" spans="1:8" s="158" customFormat="1" x14ac:dyDescent="0.25">
      <c r="A25" s="207"/>
      <c r="B25" s="208" t="s">
        <v>633</v>
      </c>
      <c r="C25" s="209"/>
      <c r="D25" s="209"/>
    </row>
    <row r="26" spans="1:8" s="158" customFormat="1" x14ac:dyDescent="0.25">
      <c r="A26" s="207"/>
      <c r="B26" s="208" t="s">
        <v>634</v>
      </c>
      <c r="C26" s="209"/>
      <c r="D26" s="209"/>
    </row>
    <row r="27" spans="1:8" s="158" customFormat="1" x14ac:dyDescent="0.25">
      <c r="A27" s="207"/>
      <c r="B27" s="210" t="s">
        <v>631</v>
      </c>
      <c r="C27" s="209"/>
      <c r="D27" s="209"/>
    </row>
    <row r="28" spans="1:8" x14ac:dyDescent="0.25">
      <c r="A28" s="211" t="s">
        <v>577</v>
      </c>
      <c r="B28" s="198" t="s">
        <v>26</v>
      </c>
      <c r="C28" s="228">
        <f t="shared" ref="C28:C33" si="0">VLOOKUP(B28,$F$28:$G$33,2,FALSE)</f>
        <v>0</v>
      </c>
      <c r="D28" s="178" t="s">
        <v>664</v>
      </c>
      <c r="F28" s="152" t="s">
        <v>646</v>
      </c>
      <c r="G28" s="155">
        <f>Assumptions!C114</f>
        <v>3.3</v>
      </c>
    </row>
    <row r="29" spans="1:8" x14ac:dyDescent="0.25">
      <c r="A29" s="206" t="s">
        <v>578</v>
      </c>
      <c r="B29" s="189" t="s">
        <v>26</v>
      </c>
      <c r="C29" s="229">
        <f t="shared" si="0"/>
        <v>0</v>
      </c>
      <c r="D29" s="166"/>
      <c r="F29" s="152" t="str">
        <f>Assumptions!B115</f>
        <v>Average meat</v>
      </c>
      <c r="G29" s="155">
        <f>Assumptions!C115</f>
        <v>2.5</v>
      </c>
    </row>
    <row r="30" spans="1:8" x14ac:dyDescent="0.25">
      <c r="A30" s="17" t="s">
        <v>579</v>
      </c>
      <c r="B30" s="16" t="s">
        <v>26</v>
      </c>
      <c r="C30" s="230">
        <f t="shared" si="0"/>
        <v>0</v>
      </c>
      <c r="D30" s="10"/>
      <c r="F30" s="152" t="str">
        <f>Assumptions!B116</f>
        <v>No beef</v>
      </c>
      <c r="G30" s="155">
        <f>Assumptions!C116</f>
        <v>1.9</v>
      </c>
    </row>
    <row r="31" spans="1:8" x14ac:dyDescent="0.25">
      <c r="A31" s="17" t="s">
        <v>580</v>
      </c>
      <c r="B31" s="16" t="s">
        <v>26</v>
      </c>
      <c r="C31" s="230">
        <f t="shared" si="0"/>
        <v>0</v>
      </c>
      <c r="D31" s="10"/>
      <c r="F31" s="152" t="str">
        <f>Assumptions!B117</f>
        <v>Vegetarian</v>
      </c>
      <c r="G31" s="155">
        <f>Assumptions!C117</f>
        <v>1.7</v>
      </c>
    </row>
    <row r="32" spans="1:8" x14ac:dyDescent="0.25">
      <c r="A32" s="17" t="s">
        <v>581</v>
      </c>
      <c r="B32" s="16" t="s">
        <v>26</v>
      </c>
      <c r="C32" s="230">
        <f t="shared" si="0"/>
        <v>0</v>
      </c>
      <c r="D32" s="10"/>
      <c r="F32" s="152" t="str">
        <f>Assumptions!B118</f>
        <v>Vegan</v>
      </c>
      <c r="G32" s="155">
        <f>Assumptions!C118</f>
        <v>1.5</v>
      </c>
    </row>
    <row r="33" spans="1:7" x14ac:dyDescent="0.25">
      <c r="A33" s="17" t="s">
        <v>582</v>
      </c>
      <c r="B33" s="16" t="s">
        <v>26</v>
      </c>
      <c r="C33" s="230">
        <f t="shared" si="0"/>
        <v>0</v>
      </c>
      <c r="D33" s="10"/>
      <c r="F33" s="152" t="s">
        <v>26</v>
      </c>
      <c r="G33" s="155">
        <v>0</v>
      </c>
    </row>
    <row r="34" spans="1:7" x14ac:dyDescent="0.25">
      <c r="A34" s="21" t="s">
        <v>576</v>
      </c>
      <c r="B34" s="8"/>
      <c r="C34" s="223">
        <f>SUM(C14:C33)</f>
        <v>0.80610394898334115</v>
      </c>
      <c r="D34" s="8"/>
    </row>
    <row r="35" spans="1:7" x14ac:dyDescent="0.25">
      <c r="A35" s="20"/>
      <c r="B35" s="2"/>
      <c r="C35" s="24"/>
      <c r="D35" s="2"/>
    </row>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dataValidations count="3">
    <dataValidation type="list" allowBlank="1" showErrorMessage="1" sqref="B15:B20" xr:uid="{422DF569-BCD5-4BED-9078-043A59A29530}">
      <formula1>$G$12:$H$12</formula1>
    </dataValidation>
    <dataValidation type="list" allowBlank="1" showErrorMessage="1" sqref="B28:B33" xr:uid="{6E95948B-4F22-4F3A-A84C-EF2F83B4C0E9}">
      <formula1>$F$28:$F$33</formula1>
    </dataValidation>
    <dataValidation allowBlank="1" showErrorMessage="1" sqref="B21:B26" xr:uid="{C000BDEF-B620-4A68-89D0-56CACDF1CF8D}"/>
  </dataValidations>
  <pageMargins left="0.7" right="0.7" top="0.75" bottom="0.7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2"/>
  <sheetViews>
    <sheetView workbookViewId="0">
      <selection activeCell="B19" sqref="B19"/>
    </sheetView>
  </sheetViews>
  <sheetFormatPr defaultColWidth="12.625" defaultRowHeight="15" customHeight="1" x14ac:dyDescent="0.2"/>
  <cols>
    <col min="1" max="1" width="32.875" customWidth="1"/>
    <col min="2" max="2" width="11.625" customWidth="1"/>
    <col min="3" max="3" width="11.875" customWidth="1"/>
    <col min="4" max="4" width="24" customWidth="1"/>
    <col min="5" max="26" width="7.625" customWidth="1"/>
  </cols>
  <sheetData>
    <row r="1" spans="1:26" ht="15" customHeight="1" x14ac:dyDescent="0.3">
      <c r="A1" s="2"/>
      <c r="B1" s="18"/>
      <c r="C1" s="2"/>
      <c r="D1" s="2"/>
      <c r="E1" s="4"/>
      <c r="F1" s="4"/>
      <c r="G1" s="2"/>
    </row>
    <row r="2" spans="1:26" ht="15" customHeight="1" x14ac:dyDescent="0.3">
      <c r="A2" s="2"/>
      <c r="B2" s="4" t="str">
        <f>Intro!D2</f>
        <v>Carbon Calculator for &lt;&lt;names&gt;&gt; &lt;e-mail address&gt;</v>
      </c>
      <c r="C2" s="2"/>
      <c r="D2" s="2"/>
      <c r="E2" s="2"/>
      <c r="F2" s="2"/>
      <c r="G2" s="2"/>
      <c r="H2" s="2"/>
      <c r="I2" s="2"/>
      <c r="J2" s="2"/>
      <c r="K2" s="2"/>
      <c r="L2" s="2"/>
      <c r="M2" s="2"/>
      <c r="N2" s="2"/>
      <c r="O2" s="2"/>
      <c r="P2" s="2"/>
      <c r="Q2" s="2"/>
      <c r="R2" s="2"/>
      <c r="S2" s="2"/>
      <c r="T2" s="2"/>
      <c r="U2" s="2"/>
      <c r="V2" s="2"/>
      <c r="W2" s="2"/>
      <c r="X2" s="2"/>
      <c r="Y2" s="2"/>
      <c r="Z2" s="2"/>
    </row>
    <row r="3" spans="1:26" ht="15" customHeight="1" x14ac:dyDescent="0.3">
      <c r="A3" s="2"/>
      <c r="B3" s="4" t="str">
        <f>Intro!D3</f>
        <v>&lt;&lt;Street&gt;&gt;</v>
      </c>
      <c r="C3" s="2"/>
      <c r="D3" s="2"/>
      <c r="E3" s="2"/>
      <c r="F3" s="2"/>
      <c r="G3" s="2"/>
      <c r="H3" s="2"/>
      <c r="I3" s="2"/>
      <c r="J3" s="2"/>
      <c r="K3" s="2"/>
      <c r="L3" s="2"/>
      <c r="M3" s="2"/>
      <c r="N3" s="2"/>
      <c r="O3" s="2"/>
      <c r="P3" s="2"/>
      <c r="Q3" s="2"/>
      <c r="R3" s="2"/>
      <c r="S3" s="2"/>
      <c r="T3" s="2"/>
      <c r="U3" s="2"/>
      <c r="V3" s="2"/>
      <c r="W3" s="2"/>
      <c r="X3" s="2"/>
      <c r="Y3" s="2"/>
      <c r="Z3" s="2"/>
    </row>
    <row r="4" spans="1:26" ht="15" customHeight="1" x14ac:dyDescent="0.3">
      <c r="A4" s="2"/>
      <c r="B4" s="4" t="str">
        <f>Intro!D4</f>
        <v>Yorktown Heights, NY 10598</v>
      </c>
      <c r="C4" s="2"/>
      <c r="D4" s="2"/>
      <c r="E4" s="2"/>
      <c r="F4" s="2"/>
      <c r="G4" s="2"/>
      <c r="H4" s="2"/>
      <c r="I4" s="2"/>
      <c r="J4" s="2"/>
      <c r="K4" s="2"/>
      <c r="L4" s="2"/>
      <c r="M4" s="2"/>
      <c r="N4" s="2"/>
      <c r="O4" s="2"/>
      <c r="P4" s="2"/>
      <c r="Q4" s="2"/>
      <c r="R4" s="2"/>
      <c r="S4" s="2"/>
      <c r="T4" s="2"/>
      <c r="U4" s="2"/>
      <c r="V4" s="2"/>
      <c r="W4" s="2"/>
      <c r="X4" s="2"/>
      <c r="Y4" s="2"/>
      <c r="Z4" s="2"/>
    </row>
    <row r="5" spans="1:26" ht="15" customHeight="1" x14ac:dyDescent="0.25">
      <c r="A5" s="2"/>
      <c r="B5" s="2"/>
      <c r="C5" s="2"/>
      <c r="D5" s="2"/>
      <c r="E5" s="2"/>
      <c r="F5" s="2"/>
      <c r="G5" s="2"/>
      <c r="H5" s="2"/>
      <c r="I5" s="2"/>
      <c r="J5" s="2"/>
      <c r="K5" s="2"/>
      <c r="L5" s="2"/>
      <c r="M5" s="2"/>
      <c r="N5" s="2"/>
      <c r="O5" s="2"/>
      <c r="P5" s="2"/>
      <c r="Q5" s="2"/>
      <c r="R5" s="2"/>
      <c r="S5" s="2"/>
      <c r="T5" s="2"/>
      <c r="U5" s="2"/>
      <c r="V5" s="2"/>
      <c r="W5" s="2"/>
      <c r="X5" s="2"/>
      <c r="Y5" s="2"/>
      <c r="Z5" s="2"/>
    </row>
    <row r="6" spans="1:26" x14ac:dyDescent="0.25">
      <c r="A6" s="23" t="s">
        <v>126</v>
      </c>
      <c r="B6" s="20"/>
      <c r="C6" s="20"/>
      <c r="D6" s="20"/>
      <c r="E6" s="2"/>
      <c r="F6" s="2"/>
      <c r="G6" s="2"/>
      <c r="H6" s="2"/>
      <c r="I6" s="2"/>
      <c r="J6" s="2"/>
      <c r="K6" s="2"/>
      <c r="L6" s="2"/>
      <c r="M6" s="2"/>
      <c r="N6" s="2"/>
      <c r="O6" s="2"/>
      <c r="P6" s="2"/>
      <c r="Q6" s="2"/>
      <c r="R6" s="2"/>
      <c r="S6" s="2"/>
      <c r="T6" s="2"/>
      <c r="U6" s="2"/>
      <c r="V6" s="2"/>
      <c r="W6" s="2"/>
      <c r="X6" s="2"/>
      <c r="Y6" s="2"/>
      <c r="Z6" s="2"/>
    </row>
    <row r="7" spans="1:26" s="158" customFormat="1" x14ac:dyDescent="0.25">
      <c r="A7" s="23"/>
      <c r="B7" s="23" t="s">
        <v>635</v>
      </c>
      <c r="C7" s="20"/>
      <c r="D7" s="20"/>
      <c r="E7" s="2"/>
      <c r="F7" s="2"/>
      <c r="G7" s="2"/>
      <c r="H7" s="2"/>
      <c r="I7" s="2"/>
      <c r="J7" s="2"/>
      <c r="K7" s="2"/>
      <c r="L7" s="2"/>
      <c r="M7" s="2"/>
      <c r="N7" s="2"/>
      <c r="O7" s="2"/>
      <c r="P7" s="2"/>
      <c r="Q7" s="2"/>
      <c r="R7" s="2"/>
      <c r="S7" s="2"/>
      <c r="T7" s="2"/>
      <c r="U7" s="2"/>
      <c r="V7" s="2"/>
      <c r="W7" s="2"/>
      <c r="X7" s="2"/>
      <c r="Y7" s="2"/>
      <c r="Z7" s="2"/>
    </row>
    <row r="8" spans="1:26" s="158" customFormat="1" x14ac:dyDescent="0.25">
      <c r="A8" s="2"/>
      <c r="B8" s="23" t="s">
        <v>657</v>
      </c>
      <c r="C8" s="20"/>
      <c r="D8" s="20"/>
      <c r="E8" s="2"/>
      <c r="F8" s="2"/>
      <c r="G8" s="2"/>
      <c r="H8" s="2"/>
      <c r="I8" s="2"/>
      <c r="J8" s="2"/>
      <c r="K8" s="2"/>
      <c r="L8" s="2"/>
      <c r="M8" s="2"/>
      <c r="N8" s="2"/>
      <c r="O8" s="2"/>
      <c r="P8" s="2"/>
      <c r="Q8" s="2"/>
      <c r="R8" s="2"/>
      <c r="S8" s="2"/>
      <c r="T8" s="2"/>
      <c r="U8" s="2"/>
      <c r="V8" s="2"/>
      <c r="W8" s="2"/>
      <c r="X8" s="2"/>
      <c r="Y8" s="2"/>
      <c r="Z8" s="2"/>
    </row>
    <row r="9" spans="1:26" x14ac:dyDescent="0.25">
      <c r="A9" s="2"/>
      <c r="B9" s="219" t="s">
        <v>127</v>
      </c>
      <c r="C9" s="22"/>
      <c r="D9" s="2"/>
      <c r="E9" s="2"/>
      <c r="F9" s="2"/>
      <c r="G9" s="2"/>
      <c r="H9" s="2"/>
      <c r="I9" s="2"/>
      <c r="J9" s="2"/>
      <c r="K9" s="2"/>
      <c r="L9" s="2"/>
      <c r="M9" s="2"/>
      <c r="N9" s="2"/>
      <c r="O9" s="2"/>
      <c r="P9" s="2"/>
      <c r="Q9" s="2"/>
      <c r="R9" s="2"/>
      <c r="S9" s="2"/>
      <c r="T9" s="2"/>
      <c r="U9" s="2"/>
      <c r="V9" s="2"/>
      <c r="W9" s="2"/>
      <c r="X9" s="2"/>
      <c r="Y9" s="2"/>
      <c r="Z9" s="2"/>
    </row>
    <row r="10" spans="1:26" x14ac:dyDescent="0.25">
      <c r="A10" s="2"/>
      <c r="B10" s="231" t="s">
        <v>128</v>
      </c>
      <c r="C10" s="22"/>
      <c r="D10" s="2"/>
      <c r="E10" s="2"/>
      <c r="F10" s="2"/>
      <c r="G10" s="2"/>
      <c r="H10" s="2"/>
      <c r="I10" s="2"/>
      <c r="J10" s="2"/>
      <c r="K10" s="2"/>
      <c r="L10" s="2"/>
      <c r="M10" s="2"/>
      <c r="N10" s="2"/>
      <c r="O10" s="2"/>
      <c r="P10" s="2"/>
      <c r="Q10" s="2"/>
      <c r="R10" s="2"/>
      <c r="S10" s="2"/>
      <c r="T10" s="2"/>
      <c r="U10" s="2"/>
      <c r="V10" s="2"/>
      <c r="W10" s="2"/>
      <c r="X10" s="2"/>
      <c r="Y10" s="2"/>
      <c r="Z10" s="2"/>
    </row>
    <row r="11" spans="1:26" x14ac:dyDescent="0.25">
      <c r="A11" s="2"/>
      <c r="B11" s="232" t="s">
        <v>129</v>
      </c>
      <c r="C11" s="22"/>
      <c r="D11" s="2"/>
      <c r="E11" s="2"/>
      <c r="F11" s="2"/>
      <c r="G11" s="2"/>
      <c r="H11" s="2"/>
      <c r="I11" s="2"/>
      <c r="J11" s="2"/>
      <c r="K11" s="2"/>
      <c r="L11" s="2"/>
      <c r="M11" s="2"/>
      <c r="N11" s="2"/>
      <c r="O11" s="2"/>
      <c r="P11" s="2"/>
      <c r="Q11" s="2"/>
      <c r="R11" s="2"/>
      <c r="S11" s="2"/>
      <c r="T11" s="2"/>
      <c r="U11" s="2"/>
      <c r="V11" s="2"/>
      <c r="W11" s="2"/>
      <c r="X11" s="2"/>
      <c r="Y11" s="2"/>
      <c r="Z11" s="2"/>
    </row>
    <row r="12" spans="1:26" x14ac:dyDescent="0.25">
      <c r="A12" s="20"/>
      <c r="B12" s="219" t="s">
        <v>130</v>
      </c>
      <c r="C12" s="24"/>
      <c r="D12" s="2"/>
      <c r="E12" s="2"/>
      <c r="F12" s="2"/>
      <c r="G12" s="2"/>
      <c r="H12" s="2"/>
      <c r="I12" s="2"/>
      <c r="J12" s="2"/>
      <c r="K12" s="2"/>
      <c r="L12" s="2"/>
      <c r="M12" s="2"/>
      <c r="N12" s="2"/>
      <c r="O12" s="2"/>
      <c r="P12" s="2"/>
      <c r="Q12" s="2"/>
      <c r="R12" s="2"/>
      <c r="S12" s="2"/>
      <c r="T12" s="2"/>
      <c r="U12" s="2"/>
      <c r="V12" s="2"/>
      <c r="W12" s="2"/>
      <c r="X12" s="2"/>
      <c r="Y12" s="2"/>
      <c r="Z12" s="2"/>
    </row>
    <row r="13" spans="1:26" x14ac:dyDescent="0.25">
      <c r="A13" s="2"/>
      <c r="B13" s="219" t="s">
        <v>132</v>
      </c>
      <c r="C13" s="2"/>
      <c r="D13" s="2"/>
      <c r="E13" s="2"/>
      <c r="F13" s="2"/>
      <c r="G13" s="2"/>
      <c r="H13" s="2"/>
      <c r="I13" s="2"/>
      <c r="J13" s="2"/>
      <c r="K13" s="2"/>
      <c r="L13" s="2"/>
      <c r="M13" s="2"/>
      <c r="N13" s="2"/>
      <c r="O13" s="2"/>
      <c r="P13" s="2"/>
      <c r="Q13" s="2"/>
      <c r="R13" s="2"/>
      <c r="S13" s="2"/>
      <c r="T13" s="2"/>
      <c r="U13" s="2"/>
      <c r="V13" s="2"/>
      <c r="W13" s="2"/>
      <c r="X13" s="2"/>
      <c r="Y13" s="2"/>
      <c r="Z13" s="2"/>
    </row>
    <row r="14" spans="1:26" x14ac:dyDescent="0.25">
      <c r="A14" s="2"/>
      <c r="B14" s="219" t="s">
        <v>133</v>
      </c>
      <c r="C14" s="2"/>
      <c r="D14" s="2"/>
      <c r="E14" s="2"/>
      <c r="F14" s="2"/>
      <c r="G14" s="2"/>
      <c r="H14" s="2"/>
      <c r="I14" s="2"/>
      <c r="J14" s="2"/>
      <c r="K14" s="2"/>
      <c r="L14" s="2"/>
      <c r="M14" s="2"/>
      <c r="N14" s="2"/>
      <c r="O14" s="2"/>
      <c r="P14" s="2"/>
      <c r="Q14" s="2"/>
      <c r="R14" s="2"/>
      <c r="S14" s="2"/>
      <c r="T14" s="2"/>
      <c r="U14" s="2"/>
      <c r="V14" s="2"/>
      <c r="W14" s="2"/>
      <c r="X14" s="2"/>
      <c r="Y14" s="2"/>
      <c r="Z14" s="2"/>
    </row>
    <row r="15" spans="1:26" x14ac:dyDescent="0.25">
      <c r="A15" s="2"/>
      <c r="B15" s="219" t="s">
        <v>135</v>
      </c>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2"/>
      <c r="B16" s="219" t="s">
        <v>137</v>
      </c>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25" t="s">
        <v>666</v>
      </c>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1"/>
  <sheetViews>
    <sheetView workbookViewId="0">
      <selection activeCell="B12" sqref="B12"/>
    </sheetView>
  </sheetViews>
  <sheetFormatPr defaultColWidth="12.625" defaultRowHeight="15" customHeight="1" x14ac:dyDescent="0.2"/>
  <cols>
    <col min="1" max="1" width="32.875" customWidth="1"/>
    <col min="2" max="2" width="11.625" customWidth="1"/>
    <col min="3" max="3" width="11.875" customWidth="1"/>
    <col min="4" max="4" width="22.875" customWidth="1"/>
    <col min="5" max="5" width="10.5" customWidth="1"/>
    <col min="6" max="26" width="7.625" customWidth="1"/>
  </cols>
  <sheetData>
    <row r="1" spans="1:26" ht="15" customHeight="1" x14ac:dyDescent="0.3">
      <c r="A1" s="2"/>
      <c r="B1" s="18"/>
      <c r="C1" s="2"/>
      <c r="D1" s="2"/>
      <c r="E1" s="4"/>
      <c r="F1" s="4"/>
      <c r="G1" s="2"/>
    </row>
    <row r="2" spans="1:26" ht="15" customHeight="1" x14ac:dyDescent="0.3">
      <c r="A2" s="2"/>
      <c r="B2" s="4" t="str">
        <f>Intro!D2</f>
        <v>Carbon Calculator for &lt;&lt;names&gt;&gt; &lt;e-mail address&gt;</v>
      </c>
      <c r="C2" s="2"/>
      <c r="D2" s="2"/>
      <c r="E2" s="2"/>
      <c r="F2" s="2"/>
      <c r="G2" s="2"/>
      <c r="H2" s="2"/>
      <c r="I2" s="2"/>
      <c r="J2" s="2"/>
      <c r="K2" s="2"/>
      <c r="L2" s="2"/>
      <c r="M2" s="2"/>
      <c r="N2" s="2"/>
      <c r="O2" s="2"/>
      <c r="P2" s="2"/>
      <c r="Q2" s="2"/>
      <c r="R2" s="2"/>
      <c r="S2" s="2"/>
      <c r="T2" s="2"/>
      <c r="U2" s="2"/>
      <c r="V2" s="2"/>
      <c r="W2" s="2"/>
      <c r="X2" s="2"/>
      <c r="Y2" s="2"/>
      <c r="Z2" s="2"/>
    </row>
    <row r="3" spans="1:26" ht="15" customHeight="1" x14ac:dyDescent="0.3">
      <c r="A3" s="2"/>
      <c r="B3" s="4" t="str">
        <f>Intro!D3</f>
        <v>&lt;&lt;Street&gt;&gt;</v>
      </c>
      <c r="C3" s="2"/>
      <c r="D3" s="2"/>
      <c r="E3" s="2"/>
      <c r="F3" s="2"/>
      <c r="G3" s="2"/>
      <c r="H3" s="2"/>
      <c r="I3" s="2"/>
      <c r="J3" s="2"/>
      <c r="K3" s="2"/>
      <c r="L3" s="2"/>
      <c r="M3" s="2"/>
      <c r="N3" s="2"/>
      <c r="O3" s="2"/>
      <c r="P3" s="2"/>
      <c r="Q3" s="2"/>
      <c r="R3" s="2"/>
      <c r="S3" s="2"/>
      <c r="T3" s="2"/>
      <c r="U3" s="2"/>
      <c r="V3" s="2"/>
      <c r="W3" s="2"/>
      <c r="X3" s="2"/>
      <c r="Y3" s="2"/>
      <c r="Z3" s="2"/>
    </row>
    <row r="4" spans="1:26" ht="15" customHeight="1" x14ac:dyDescent="0.3">
      <c r="A4" s="2"/>
      <c r="B4" s="4" t="str">
        <f>Intro!D4</f>
        <v>Yorktown Heights, NY 10598</v>
      </c>
      <c r="C4" s="2"/>
      <c r="D4" s="2"/>
      <c r="E4" s="2"/>
      <c r="F4" s="2"/>
      <c r="G4" s="2"/>
      <c r="H4" s="2"/>
      <c r="I4" s="2"/>
      <c r="J4" s="2"/>
      <c r="K4" s="2"/>
      <c r="L4" s="2"/>
      <c r="M4" s="2"/>
      <c r="N4" s="2"/>
      <c r="O4" s="2"/>
      <c r="P4" s="2"/>
      <c r="Q4" s="2"/>
      <c r="R4" s="2"/>
      <c r="S4" s="2"/>
      <c r="T4" s="2"/>
      <c r="U4" s="2"/>
      <c r="V4" s="2"/>
      <c r="W4" s="2"/>
      <c r="X4" s="2"/>
      <c r="Y4" s="2"/>
      <c r="Z4" s="2"/>
    </row>
    <row r="5" spans="1:26" ht="15" customHeight="1" x14ac:dyDescent="0.25">
      <c r="A5" s="2"/>
      <c r="B5" s="22"/>
      <c r="C5" s="2"/>
      <c r="D5" s="2"/>
      <c r="E5" s="2"/>
      <c r="F5" s="2"/>
      <c r="G5" s="2"/>
      <c r="H5" s="2"/>
      <c r="I5" s="2"/>
      <c r="J5" s="2"/>
      <c r="K5" s="2"/>
      <c r="L5" s="2"/>
      <c r="M5" s="2"/>
      <c r="N5" s="2"/>
      <c r="O5" s="2"/>
      <c r="P5" s="2"/>
      <c r="Q5" s="2"/>
      <c r="R5" s="2"/>
      <c r="S5" s="2"/>
      <c r="T5" s="2"/>
      <c r="U5" s="2"/>
      <c r="V5" s="2"/>
      <c r="W5" s="2"/>
      <c r="X5" s="2"/>
      <c r="Y5" s="2"/>
      <c r="Z5" s="2"/>
    </row>
    <row r="6" spans="1:26" x14ac:dyDescent="0.25">
      <c r="A6" s="20" t="s">
        <v>218</v>
      </c>
      <c r="B6" s="24" t="s">
        <v>219</v>
      </c>
      <c r="C6" s="20" t="s">
        <v>220</v>
      </c>
      <c r="D6" s="20" t="s">
        <v>221</v>
      </c>
      <c r="E6" s="20" t="s">
        <v>224</v>
      </c>
      <c r="F6" s="20" t="s">
        <v>225</v>
      </c>
      <c r="G6" s="2"/>
      <c r="H6" s="2"/>
      <c r="I6" s="2"/>
      <c r="J6" s="2"/>
      <c r="K6" s="2"/>
      <c r="L6" s="2"/>
      <c r="M6" s="2"/>
      <c r="N6" s="2"/>
      <c r="O6" s="2"/>
      <c r="P6" s="2"/>
      <c r="Q6" s="2"/>
      <c r="R6" s="2"/>
      <c r="S6" s="2"/>
      <c r="T6" s="2"/>
      <c r="U6" s="2"/>
      <c r="V6" s="2"/>
      <c r="W6" s="2"/>
      <c r="X6" s="2"/>
      <c r="Y6" s="2"/>
      <c r="Z6" s="2"/>
    </row>
    <row r="7" spans="1:26" x14ac:dyDescent="0.25">
      <c r="A7" s="2" t="s">
        <v>226</v>
      </c>
      <c r="B7" s="2"/>
      <c r="C7" s="22">
        <f>Transportation!C15+Transportation!C20+Transportation!C25+Transportation!C30</f>
        <v>18.765351558680152</v>
      </c>
      <c r="D7" s="22">
        <f>SUM(Transportation!C38:C43)</f>
        <v>13.324999999999999</v>
      </c>
      <c r="E7" s="22">
        <f>Transportation!C47</f>
        <v>0.46701870454363742</v>
      </c>
      <c r="F7" s="22">
        <f>Transportation!C49</f>
        <v>32.557370263223795</v>
      </c>
      <c r="G7" s="71" t="s">
        <v>235</v>
      </c>
      <c r="H7" s="2"/>
      <c r="I7" s="2"/>
      <c r="J7" s="2"/>
      <c r="K7" s="2"/>
      <c r="L7" s="2"/>
      <c r="M7" s="2"/>
      <c r="N7" s="2"/>
      <c r="O7" s="2"/>
      <c r="P7" s="2"/>
      <c r="Q7" s="2"/>
      <c r="R7" s="2"/>
      <c r="S7" s="2"/>
      <c r="T7" s="2"/>
      <c r="U7" s="2"/>
      <c r="V7" s="2"/>
      <c r="W7" s="2"/>
      <c r="X7" s="2"/>
      <c r="Y7" s="2"/>
      <c r="Z7" s="2"/>
    </row>
    <row r="8" spans="1:26" x14ac:dyDescent="0.25">
      <c r="A8" s="2" t="s">
        <v>236</v>
      </c>
      <c r="B8" s="22">
        <f>Heating!C35</f>
        <v>15.21727627397877</v>
      </c>
      <c r="C8" s="22"/>
      <c r="D8" s="2"/>
      <c r="E8" s="2"/>
      <c r="F8" s="2"/>
      <c r="G8" s="2"/>
      <c r="H8" s="2"/>
      <c r="I8" s="2"/>
      <c r="J8" s="2"/>
      <c r="K8" s="2"/>
      <c r="L8" s="2"/>
      <c r="M8" s="2"/>
      <c r="N8" s="2"/>
      <c r="O8" s="2"/>
      <c r="P8" s="2"/>
      <c r="Q8" s="2"/>
      <c r="R8" s="2"/>
      <c r="S8" s="2"/>
      <c r="T8" s="2"/>
      <c r="U8" s="2"/>
      <c r="V8" s="2"/>
      <c r="W8" s="2"/>
      <c r="X8" s="2"/>
      <c r="Y8" s="2"/>
      <c r="Z8" s="2"/>
    </row>
    <row r="9" spans="1:26" x14ac:dyDescent="0.25">
      <c r="A9" s="2" t="s">
        <v>242</v>
      </c>
      <c r="B9" s="22">
        <f>Electricity!C16</f>
        <v>3.2029232939649326</v>
      </c>
      <c r="C9" s="22"/>
      <c r="D9" s="2"/>
      <c r="E9" s="2"/>
      <c r="F9" s="2"/>
      <c r="G9" s="2"/>
      <c r="H9" s="2"/>
      <c r="I9" s="2"/>
      <c r="J9" s="2"/>
      <c r="K9" s="2"/>
      <c r="L9" s="2"/>
      <c r="M9" s="2"/>
      <c r="N9" s="2"/>
      <c r="O9" s="2"/>
      <c r="P9" s="2"/>
      <c r="Q9" s="2"/>
      <c r="R9" s="2"/>
      <c r="S9" s="2"/>
      <c r="T9" s="2"/>
      <c r="U9" s="2"/>
      <c r="V9" s="2"/>
      <c r="W9" s="2"/>
      <c r="X9" s="2"/>
      <c r="Y9" s="2"/>
      <c r="Z9" s="2"/>
    </row>
    <row r="10" spans="1:26" x14ac:dyDescent="0.25">
      <c r="A10" s="75" t="s">
        <v>244</v>
      </c>
      <c r="B10" s="22">
        <f>'Food and Waste'!C34</f>
        <v>0.80610394898334115</v>
      </c>
      <c r="C10" s="22"/>
      <c r="D10" s="2"/>
      <c r="E10" s="2"/>
      <c r="F10" s="2"/>
      <c r="G10" s="2"/>
      <c r="H10" s="2"/>
      <c r="I10" s="2"/>
      <c r="J10" s="2"/>
      <c r="K10" s="2"/>
      <c r="L10" s="2"/>
      <c r="M10" s="2"/>
      <c r="N10" s="2"/>
      <c r="O10" s="2"/>
      <c r="P10" s="2"/>
      <c r="Q10" s="2"/>
      <c r="R10" s="2"/>
      <c r="S10" s="2"/>
      <c r="T10" s="2"/>
      <c r="U10" s="2"/>
      <c r="V10" s="2"/>
      <c r="W10" s="2"/>
      <c r="X10" s="2"/>
      <c r="Y10" s="2"/>
      <c r="Z10" s="2"/>
    </row>
    <row r="11" spans="1:26" x14ac:dyDescent="0.25">
      <c r="A11" s="2" t="s">
        <v>248</v>
      </c>
      <c r="B11" s="76">
        <v>12.694000000000001</v>
      </c>
      <c r="C11" s="24"/>
      <c r="D11" s="2"/>
      <c r="E11" s="2"/>
      <c r="F11" s="2"/>
      <c r="G11" s="2"/>
      <c r="H11" s="2"/>
      <c r="I11" s="2"/>
      <c r="J11" s="2"/>
      <c r="K11" s="2"/>
      <c r="L11" s="2"/>
      <c r="M11" s="2"/>
      <c r="N11" s="2"/>
      <c r="O11" s="2"/>
      <c r="P11" s="2"/>
      <c r="Q11" s="2"/>
      <c r="R11" s="2"/>
      <c r="S11" s="2"/>
      <c r="T11" s="2"/>
      <c r="U11" s="2"/>
      <c r="V11" s="2"/>
      <c r="W11" s="2"/>
      <c r="X11" s="2"/>
      <c r="Y11" s="2"/>
      <c r="Z11" s="2"/>
    </row>
    <row r="12" spans="1:26" x14ac:dyDescent="0.25">
      <c r="A12" s="2" t="s">
        <v>255</v>
      </c>
      <c r="B12" s="22">
        <v>5</v>
      </c>
      <c r="C12" s="2"/>
      <c r="D12" s="2"/>
      <c r="E12" s="2"/>
      <c r="F12" s="2"/>
      <c r="G12" s="2"/>
      <c r="H12" s="2"/>
      <c r="I12" s="2"/>
      <c r="J12" s="2"/>
      <c r="K12" s="2"/>
      <c r="L12" s="2"/>
      <c r="M12" s="2"/>
      <c r="N12" s="2"/>
      <c r="O12" s="2"/>
      <c r="P12" s="2"/>
      <c r="Q12" s="2"/>
      <c r="R12" s="2"/>
      <c r="S12" s="2"/>
      <c r="T12" s="2"/>
      <c r="U12" s="2"/>
      <c r="V12" s="2"/>
      <c r="W12" s="2"/>
      <c r="X12" s="2"/>
      <c r="Y12" s="2"/>
      <c r="Z12" s="2"/>
    </row>
    <row r="13" spans="1:26" x14ac:dyDescent="0.25">
      <c r="A13" s="20" t="s">
        <v>257</v>
      </c>
      <c r="B13" s="24">
        <f>SUM(B7:B12)+F7</f>
        <v>69.477673780150838</v>
      </c>
      <c r="C13" s="24" t="str">
        <f>A13&amp;": "&amp;TEXT($B$13,"##0.000")&amp;" Metric Tons per Year"</f>
        <v>Emissions Total: 69.478 Metric Tons per Year</v>
      </c>
      <c r="D13" s="2"/>
      <c r="E13" s="2"/>
      <c r="F13" s="2"/>
      <c r="G13" s="2"/>
      <c r="H13" s="2"/>
      <c r="I13" s="2"/>
      <c r="J13" s="2"/>
      <c r="K13" s="2"/>
      <c r="L13" s="2"/>
      <c r="M13" s="2"/>
      <c r="N13" s="2"/>
      <c r="O13" s="2"/>
      <c r="P13" s="2"/>
      <c r="Q13" s="2"/>
      <c r="R13" s="2"/>
      <c r="S13" s="2"/>
      <c r="T13" s="2"/>
      <c r="U13" s="2"/>
      <c r="V13" s="2"/>
      <c r="W13" s="2"/>
      <c r="X13" s="2"/>
      <c r="Y13" s="2"/>
      <c r="Z13" s="2"/>
    </row>
    <row r="14" spans="1:26" x14ac:dyDescent="0.25">
      <c r="A14" s="2"/>
      <c r="B14" s="2"/>
      <c r="C14" s="2" t="s">
        <v>665</v>
      </c>
      <c r="D14" s="2"/>
      <c r="E14" s="2"/>
      <c r="F14" s="2"/>
      <c r="G14" s="2"/>
      <c r="H14" s="2"/>
      <c r="I14" s="2"/>
      <c r="J14" s="2"/>
      <c r="K14" s="2"/>
      <c r="L14" s="2"/>
      <c r="M14" s="2"/>
      <c r="N14" s="2"/>
      <c r="O14" s="2"/>
      <c r="P14" s="2"/>
      <c r="Q14" s="2"/>
      <c r="R14" s="2"/>
      <c r="S14" s="2"/>
      <c r="T14" s="2"/>
      <c r="U14" s="2"/>
      <c r="V14" s="2"/>
      <c r="W14" s="2"/>
      <c r="X14" s="2"/>
      <c r="Y14" s="2"/>
      <c r="Z14" s="2"/>
    </row>
    <row r="15" spans="1:26" x14ac:dyDescent="0.2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spans="1:1" ht="15.75" customHeight="1" x14ac:dyDescent="0.25">
      <c r="A33" s="6" t="s">
        <v>274</v>
      </c>
    </row>
    <row r="34" spans="1:1" ht="15.75" customHeight="1" x14ac:dyDescent="0.25">
      <c r="A34" s="6" t="s">
        <v>275</v>
      </c>
    </row>
    <row r="35" spans="1:1" ht="15.75" customHeight="1" x14ac:dyDescent="0.25">
      <c r="A35" s="6" t="s">
        <v>276</v>
      </c>
    </row>
    <row r="36" spans="1:1" s="158" customFormat="1" ht="15.75" customHeight="1" x14ac:dyDescent="0.25">
      <c r="A36" s="151" t="s">
        <v>636</v>
      </c>
    </row>
    <row r="37" spans="1:1" ht="15.75" customHeight="1" x14ac:dyDescent="0.25">
      <c r="A37" s="6" t="s">
        <v>277</v>
      </c>
    </row>
    <row r="38" spans="1:1" ht="15.75" customHeight="1" x14ac:dyDescent="0.25">
      <c r="A38" s="6" t="s">
        <v>278</v>
      </c>
    </row>
    <row r="39" spans="1:1" ht="15.75" customHeight="1" x14ac:dyDescent="0.2"/>
    <row r="40" spans="1:1" ht="15.75" customHeight="1" x14ac:dyDescent="0.2"/>
    <row r="41" spans="1:1" ht="15.75" customHeight="1" x14ac:dyDescent="0.2"/>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99"/>
  <sheetViews>
    <sheetView topLeftCell="A100" workbookViewId="0">
      <selection activeCell="A111" sqref="A111:XFD112"/>
    </sheetView>
  </sheetViews>
  <sheetFormatPr defaultColWidth="12.625" defaultRowHeight="15" customHeight="1" x14ac:dyDescent="0.2"/>
  <cols>
    <col min="1" max="1" width="2.375" customWidth="1"/>
    <col min="2" max="2" width="36.625" customWidth="1"/>
    <col min="3" max="3" width="13.125" customWidth="1"/>
    <col min="4" max="4" width="15.75" customWidth="1"/>
    <col min="5" max="5" width="51.125" customWidth="1"/>
    <col min="6" max="6" width="47.75" customWidth="1"/>
    <col min="7" max="7" width="14" customWidth="1"/>
    <col min="8" max="8" width="10.25" customWidth="1"/>
    <col min="9" max="9" width="8" customWidth="1"/>
    <col min="10" max="10" width="9.375" customWidth="1"/>
    <col min="11" max="15" width="8" customWidth="1"/>
    <col min="16" max="26" width="7.625" customWidth="1"/>
  </cols>
  <sheetData>
    <row r="1" spans="1:26" ht="12.75" customHeight="1" x14ac:dyDescent="0.2">
      <c r="A1" s="26"/>
      <c r="B1" s="27" t="s">
        <v>141</v>
      </c>
      <c r="C1" s="28"/>
      <c r="D1" s="26"/>
      <c r="E1" s="26"/>
      <c r="F1" s="26"/>
      <c r="G1" s="29"/>
      <c r="H1" s="29"/>
      <c r="I1" s="29"/>
      <c r="J1" s="29"/>
      <c r="K1" s="29"/>
      <c r="L1" s="29"/>
      <c r="M1" s="29"/>
      <c r="N1" s="29"/>
      <c r="O1" s="29"/>
      <c r="P1" s="29"/>
      <c r="Q1" s="29"/>
      <c r="R1" s="29"/>
      <c r="S1" s="29"/>
      <c r="T1" s="29"/>
      <c r="U1" s="29"/>
      <c r="V1" s="29"/>
      <c r="W1" s="29"/>
      <c r="X1" s="29"/>
      <c r="Y1" s="29"/>
      <c r="Z1" s="29"/>
    </row>
    <row r="2" spans="1:26" ht="12.75" customHeight="1" x14ac:dyDescent="0.2">
      <c r="A2" s="26"/>
      <c r="B2" s="28" t="s">
        <v>142</v>
      </c>
      <c r="C2" s="31">
        <v>43799</v>
      </c>
      <c r="D2" s="26"/>
      <c r="E2" s="26"/>
      <c r="F2" s="26"/>
      <c r="G2" s="29"/>
      <c r="H2" s="29"/>
      <c r="I2" s="29"/>
      <c r="J2" s="29"/>
      <c r="K2" s="29"/>
      <c r="L2" s="29"/>
      <c r="M2" s="29"/>
      <c r="N2" s="29"/>
      <c r="O2" s="29"/>
      <c r="P2" s="29"/>
      <c r="Q2" s="29"/>
      <c r="R2" s="29"/>
      <c r="S2" s="29"/>
      <c r="T2" s="29"/>
      <c r="U2" s="29"/>
      <c r="V2" s="29"/>
      <c r="W2" s="29"/>
      <c r="X2" s="29"/>
      <c r="Y2" s="29"/>
      <c r="Z2" s="29"/>
    </row>
    <row r="3" spans="1:26" ht="12.75" customHeight="1" x14ac:dyDescent="0.2">
      <c r="A3" s="34"/>
      <c r="B3" s="36" t="s">
        <v>143</v>
      </c>
      <c r="C3" s="37" t="s">
        <v>144</v>
      </c>
      <c r="D3" s="38" t="s">
        <v>145</v>
      </c>
      <c r="E3" s="38" t="s">
        <v>146</v>
      </c>
      <c r="F3" s="38" t="s">
        <v>147</v>
      </c>
      <c r="G3" s="39" t="s">
        <v>148</v>
      </c>
      <c r="H3" s="41"/>
      <c r="I3" s="41"/>
      <c r="J3" s="41"/>
      <c r="K3" s="41"/>
      <c r="L3" s="41"/>
      <c r="M3" s="41"/>
      <c r="N3" s="41"/>
      <c r="O3" s="41"/>
      <c r="P3" s="41"/>
      <c r="Q3" s="41"/>
      <c r="R3" s="41"/>
      <c r="S3" s="41"/>
      <c r="T3" s="41"/>
      <c r="U3" s="41"/>
      <c r="V3" s="41"/>
      <c r="W3" s="41"/>
      <c r="X3" s="41"/>
      <c r="Y3" s="41"/>
      <c r="Z3" s="41"/>
    </row>
    <row r="4" spans="1:26" ht="30" customHeight="1" x14ac:dyDescent="0.2">
      <c r="A4" s="46"/>
      <c r="B4" s="48" t="s">
        <v>155</v>
      </c>
      <c r="C4" s="49"/>
      <c r="D4" s="50"/>
      <c r="E4" s="46"/>
      <c r="F4" s="48"/>
      <c r="G4" s="51"/>
      <c r="H4" s="52"/>
      <c r="I4" s="52"/>
      <c r="J4" s="52"/>
      <c r="K4" s="52"/>
      <c r="L4" s="52"/>
      <c r="M4" s="52"/>
      <c r="N4" s="52"/>
      <c r="O4" s="52"/>
      <c r="P4" s="52"/>
      <c r="Q4" s="52"/>
      <c r="R4" s="52"/>
      <c r="S4" s="52"/>
      <c r="T4" s="52"/>
      <c r="U4" s="52"/>
      <c r="V4" s="52"/>
      <c r="W4" s="52"/>
      <c r="X4" s="52"/>
      <c r="Y4" s="52"/>
      <c r="Z4" s="52"/>
    </row>
    <row r="5" spans="1:26" ht="12.75" customHeight="1" x14ac:dyDescent="0.2">
      <c r="A5" s="26"/>
      <c r="B5" s="58" t="s">
        <v>158</v>
      </c>
      <c r="C5" s="28">
        <v>19.600000000000001</v>
      </c>
      <c r="D5" s="58" t="s">
        <v>159</v>
      </c>
      <c r="E5" s="26" t="s">
        <v>160</v>
      </c>
      <c r="F5" s="58" t="s">
        <v>161</v>
      </c>
      <c r="G5" s="58">
        <v>2011</v>
      </c>
      <c r="H5" s="29"/>
      <c r="I5" s="29"/>
      <c r="J5" s="29"/>
      <c r="K5" s="29"/>
      <c r="L5" s="29"/>
      <c r="M5" s="29"/>
      <c r="N5" s="29"/>
      <c r="O5" s="29"/>
      <c r="P5" s="29"/>
      <c r="Q5" s="29"/>
      <c r="R5" s="29"/>
      <c r="S5" s="29"/>
      <c r="T5" s="29"/>
      <c r="U5" s="29"/>
      <c r="V5" s="29"/>
      <c r="W5" s="29"/>
      <c r="X5" s="29"/>
      <c r="Y5" s="29"/>
      <c r="Z5" s="29"/>
    </row>
    <row r="6" spans="1:26" ht="12.75" customHeight="1" x14ac:dyDescent="0.2">
      <c r="A6" s="26"/>
      <c r="B6" s="58" t="s">
        <v>164</v>
      </c>
      <c r="C6" s="62">
        <f>100/98.65</f>
        <v>1.013684744044602</v>
      </c>
      <c r="D6" s="58" t="s">
        <v>169</v>
      </c>
      <c r="E6" s="26" t="s">
        <v>170</v>
      </c>
      <c r="F6" s="58" t="s">
        <v>171</v>
      </c>
      <c r="G6" s="58">
        <v>2011</v>
      </c>
      <c r="H6" s="29"/>
      <c r="I6" s="29"/>
      <c r="J6" s="29"/>
      <c r="K6" s="29"/>
      <c r="L6" s="29"/>
      <c r="M6" s="29"/>
      <c r="N6" s="29"/>
      <c r="O6" s="29"/>
      <c r="P6" s="29"/>
      <c r="Q6" s="29"/>
      <c r="R6" s="29"/>
      <c r="S6" s="29"/>
      <c r="T6" s="29"/>
      <c r="U6" s="29"/>
      <c r="V6" s="29"/>
      <c r="W6" s="29"/>
      <c r="X6" s="29"/>
      <c r="Y6" s="29"/>
      <c r="Z6" s="29"/>
    </row>
    <row r="7" spans="1:26" ht="12.75" customHeight="1" x14ac:dyDescent="0.2">
      <c r="A7" s="26"/>
      <c r="B7" s="58" t="s">
        <v>172</v>
      </c>
      <c r="C7" s="28">
        <v>21.6</v>
      </c>
      <c r="D7" s="58" t="s">
        <v>175</v>
      </c>
      <c r="E7" s="26"/>
      <c r="F7" s="58" t="s">
        <v>176</v>
      </c>
      <c r="G7" s="58">
        <v>2012</v>
      </c>
      <c r="H7" s="29"/>
      <c r="I7" s="29"/>
      <c r="J7" s="29"/>
      <c r="K7" s="29"/>
      <c r="L7" s="29"/>
      <c r="M7" s="29"/>
      <c r="N7" s="29"/>
      <c r="O7" s="29"/>
      <c r="P7" s="29"/>
      <c r="Q7" s="29"/>
      <c r="R7" s="29"/>
      <c r="S7" s="29"/>
      <c r="T7" s="29"/>
      <c r="U7" s="29"/>
      <c r="V7" s="29"/>
      <c r="W7" s="29"/>
      <c r="X7" s="29"/>
      <c r="Y7" s="29"/>
      <c r="Z7" s="29"/>
    </row>
    <row r="8" spans="1:26" ht="12.75" customHeight="1" x14ac:dyDescent="0.2">
      <c r="A8" s="26"/>
      <c r="B8" s="58" t="s">
        <v>179</v>
      </c>
      <c r="C8" s="63">
        <v>11398</v>
      </c>
      <c r="D8" s="58" t="s">
        <v>182</v>
      </c>
      <c r="E8" s="26" t="str">
        <f>ROUND(C8/52,0)&amp;" miles per week"</f>
        <v>219 miles per week</v>
      </c>
      <c r="F8" s="58" t="s">
        <v>185</v>
      </c>
      <c r="G8" s="58">
        <v>2012</v>
      </c>
      <c r="H8" s="29"/>
      <c r="I8" s="29"/>
      <c r="J8" s="29"/>
      <c r="K8" s="29"/>
      <c r="L8" s="29"/>
      <c r="M8" s="29"/>
      <c r="N8" s="29"/>
      <c r="O8" s="29"/>
      <c r="P8" s="29"/>
      <c r="Q8" s="29"/>
      <c r="R8" s="29"/>
      <c r="S8" s="29"/>
      <c r="T8" s="29"/>
      <c r="U8" s="29"/>
      <c r="V8" s="29"/>
      <c r="W8" s="29"/>
      <c r="X8" s="29"/>
      <c r="Y8" s="29"/>
      <c r="Z8" s="29"/>
    </row>
    <row r="9" spans="1:26" ht="12.75" customHeight="1" x14ac:dyDescent="0.2">
      <c r="A9" s="26"/>
      <c r="B9" s="58" t="s">
        <v>189</v>
      </c>
      <c r="C9" s="64">
        <f>1/average_mpg*C8*EF_passenger_vehicle*nonCO2_vehicle_emissions_ratio</f>
        <v>10484.165868859227</v>
      </c>
      <c r="D9" s="58" t="s">
        <v>195</v>
      </c>
      <c r="E9" s="26" t="s">
        <v>196</v>
      </c>
      <c r="F9" s="58" t="s">
        <v>197</v>
      </c>
      <c r="G9" s="58">
        <v>2011</v>
      </c>
      <c r="H9" s="29"/>
      <c r="I9" s="29"/>
      <c r="J9" s="29"/>
      <c r="K9" s="29"/>
      <c r="L9" s="29"/>
      <c r="M9" s="29"/>
      <c r="N9" s="29"/>
      <c r="O9" s="29"/>
      <c r="P9" s="29"/>
      <c r="Q9" s="29"/>
      <c r="R9" s="29"/>
      <c r="S9" s="29"/>
      <c r="T9" s="29"/>
      <c r="U9" s="29"/>
      <c r="V9" s="29"/>
      <c r="W9" s="29"/>
      <c r="X9" s="29"/>
      <c r="Y9" s="29"/>
      <c r="Z9" s="29"/>
    </row>
    <row r="10" spans="1:26" ht="28.5" customHeight="1" x14ac:dyDescent="0.2">
      <c r="A10" s="46"/>
      <c r="B10" s="48" t="s">
        <v>200</v>
      </c>
      <c r="C10" s="65"/>
      <c r="D10" s="66"/>
      <c r="E10" s="46"/>
      <c r="F10" s="66"/>
      <c r="G10" s="66"/>
      <c r="H10" s="52"/>
      <c r="I10" s="52"/>
      <c r="J10" s="52"/>
      <c r="K10" s="52"/>
      <c r="L10" s="52"/>
      <c r="M10" s="52"/>
      <c r="N10" s="52"/>
      <c r="O10" s="52"/>
      <c r="P10" s="52"/>
      <c r="Q10" s="52"/>
      <c r="R10" s="52"/>
      <c r="S10" s="52"/>
      <c r="T10" s="52"/>
      <c r="U10" s="52"/>
      <c r="V10" s="52"/>
      <c r="W10" s="52"/>
      <c r="X10" s="52"/>
      <c r="Y10" s="52"/>
      <c r="Z10" s="52"/>
    </row>
    <row r="11" spans="1:26" ht="12.75" customHeight="1" x14ac:dyDescent="0.2">
      <c r="A11" s="67"/>
      <c r="B11" s="68" t="s">
        <v>215</v>
      </c>
      <c r="C11" s="69"/>
      <c r="D11" s="68"/>
      <c r="E11" s="67"/>
      <c r="F11" s="68"/>
      <c r="G11" s="68"/>
      <c r="H11" s="70"/>
      <c r="I11" s="70"/>
      <c r="J11" s="70"/>
      <c r="K11" s="70"/>
      <c r="L11" s="70"/>
      <c r="M11" s="70"/>
      <c r="N11" s="70"/>
      <c r="O11" s="70"/>
      <c r="P11" s="70"/>
      <c r="Q11" s="70"/>
      <c r="R11" s="70"/>
      <c r="S11" s="70"/>
      <c r="T11" s="70"/>
      <c r="U11" s="70"/>
      <c r="V11" s="70"/>
      <c r="W11" s="70"/>
      <c r="X11" s="70"/>
      <c r="Y11" s="70"/>
      <c r="Z11" s="70"/>
    </row>
    <row r="12" spans="1:26" ht="12.75" customHeight="1" x14ac:dyDescent="0.2">
      <c r="A12" s="26"/>
      <c r="B12" s="58" t="s">
        <v>237</v>
      </c>
      <c r="C12" s="64">
        <f>66000/12</f>
        <v>5500</v>
      </c>
      <c r="D12" s="58" t="s">
        <v>239</v>
      </c>
      <c r="E12" s="58" t="s">
        <v>240</v>
      </c>
      <c r="F12" s="58" t="s">
        <v>241</v>
      </c>
      <c r="G12" s="58">
        <v>2009</v>
      </c>
      <c r="H12" s="29"/>
      <c r="I12" s="29"/>
      <c r="J12" s="29"/>
      <c r="K12" s="29"/>
      <c r="L12" s="29"/>
      <c r="M12" s="29"/>
      <c r="N12" s="29"/>
      <c r="O12" s="29"/>
      <c r="P12" s="29"/>
      <c r="Q12" s="29"/>
      <c r="R12" s="29"/>
      <c r="S12" s="29"/>
      <c r="T12" s="29"/>
      <c r="U12" s="29"/>
      <c r="V12" s="29"/>
      <c r="W12" s="29"/>
      <c r="X12" s="29"/>
      <c r="Y12" s="29"/>
      <c r="Z12" s="29"/>
    </row>
    <row r="13" spans="1:26" ht="12.75" customHeight="1" x14ac:dyDescent="0.2">
      <c r="A13" s="26"/>
      <c r="B13" s="58" t="s">
        <v>243</v>
      </c>
      <c r="C13" s="74">
        <v>10.68</v>
      </c>
      <c r="D13" s="58" t="s">
        <v>245</v>
      </c>
      <c r="E13" s="26"/>
      <c r="F13" s="58" t="s">
        <v>246</v>
      </c>
      <c r="G13" s="58">
        <v>2012</v>
      </c>
      <c r="H13" s="29"/>
      <c r="I13" s="29"/>
      <c r="J13" s="29"/>
      <c r="K13" s="29"/>
      <c r="L13" s="29"/>
      <c r="M13" s="29"/>
      <c r="N13" s="29"/>
      <c r="O13" s="29"/>
      <c r="P13" s="29"/>
      <c r="Q13" s="29"/>
      <c r="R13" s="29"/>
      <c r="S13" s="29"/>
      <c r="T13" s="29"/>
      <c r="U13" s="29"/>
      <c r="V13" s="29"/>
      <c r="W13" s="29"/>
      <c r="X13" s="29"/>
      <c r="Y13" s="29"/>
      <c r="Z13" s="29"/>
    </row>
    <row r="14" spans="1:26" ht="12.75" customHeight="1" x14ac:dyDescent="0.2">
      <c r="A14" s="26"/>
      <c r="B14" s="58" t="s">
        <v>247</v>
      </c>
      <c r="C14" s="74">
        <f>Natural_gas_cost_1000CF/conversion_1000cf_to_therm</f>
        <v>1.0439882697947214</v>
      </c>
      <c r="D14" s="58" t="s">
        <v>249</v>
      </c>
      <c r="E14" s="26"/>
      <c r="F14" s="58" t="s">
        <v>250</v>
      </c>
      <c r="G14" s="58">
        <v>2012</v>
      </c>
      <c r="H14" s="29"/>
      <c r="I14" s="29"/>
      <c r="J14" s="29"/>
      <c r="K14" s="29"/>
      <c r="L14" s="29"/>
      <c r="M14" s="29"/>
      <c r="N14" s="29"/>
      <c r="O14" s="29"/>
      <c r="P14" s="29"/>
      <c r="Q14" s="29"/>
      <c r="R14" s="29"/>
      <c r="S14" s="29"/>
      <c r="T14" s="29"/>
      <c r="U14" s="29"/>
      <c r="V14" s="29"/>
      <c r="W14" s="29"/>
      <c r="X14" s="29"/>
      <c r="Y14" s="29"/>
      <c r="Z14" s="29"/>
    </row>
    <row r="15" spans="1:26" ht="12.75" customHeight="1" x14ac:dyDescent="0.2">
      <c r="A15" s="26"/>
      <c r="B15" s="58" t="s">
        <v>251</v>
      </c>
      <c r="C15" s="28">
        <v>14.46</v>
      </c>
      <c r="D15" s="58" t="s">
        <v>252</v>
      </c>
      <c r="E15" s="26" t="s">
        <v>253</v>
      </c>
      <c r="F15" s="58" t="s">
        <v>254</v>
      </c>
      <c r="G15" s="58">
        <v>2011</v>
      </c>
      <c r="H15" s="29"/>
      <c r="I15" s="29"/>
      <c r="J15" s="29"/>
      <c r="K15" s="29"/>
      <c r="L15" s="29"/>
      <c r="M15" s="29"/>
      <c r="N15" s="29"/>
      <c r="O15" s="29"/>
      <c r="P15" s="29"/>
      <c r="Q15" s="29"/>
      <c r="R15" s="29"/>
      <c r="S15" s="29"/>
      <c r="T15" s="29"/>
      <c r="U15" s="29"/>
      <c r="V15" s="29"/>
      <c r="W15" s="29"/>
      <c r="X15" s="29"/>
      <c r="Y15" s="29"/>
      <c r="Z15" s="29"/>
    </row>
    <row r="16" spans="1:26" ht="12.75" customHeight="1" x14ac:dyDescent="0.2">
      <c r="A16" s="26"/>
      <c r="B16" s="58" t="s">
        <v>256</v>
      </c>
      <c r="C16" s="77">
        <f>EF_natural_gas/conversion_1000cf_to_therm</f>
        <v>11.688909131239999</v>
      </c>
      <c r="D16" s="58" t="s">
        <v>258</v>
      </c>
      <c r="E16" s="78"/>
      <c r="F16" s="58" t="s">
        <v>259</v>
      </c>
      <c r="G16" s="58">
        <v>2011</v>
      </c>
      <c r="H16" s="29"/>
      <c r="I16" s="29"/>
      <c r="J16" s="29"/>
      <c r="K16" s="29"/>
      <c r="L16" s="29"/>
      <c r="M16" s="29"/>
      <c r="N16" s="29"/>
      <c r="O16" s="29"/>
      <c r="P16" s="29"/>
      <c r="Q16" s="29"/>
      <c r="R16" s="29"/>
      <c r="S16" s="29"/>
      <c r="T16" s="29"/>
      <c r="U16" s="29"/>
      <c r="V16" s="29"/>
      <c r="W16" s="29"/>
      <c r="X16" s="29"/>
      <c r="Y16" s="29"/>
      <c r="Z16" s="29"/>
    </row>
    <row r="17" spans="1:26" ht="12.75" customHeight="1" x14ac:dyDescent="0.2">
      <c r="A17" s="26"/>
      <c r="B17" s="58" t="s">
        <v>260</v>
      </c>
      <c r="C17" s="62">
        <f>C15*$C$87*HHV_natural_gas*conversion_Tg_to_lb/conversion_QBtu_to_Btu</f>
        <v>119.57754041258519</v>
      </c>
      <c r="D17" s="58" t="s">
        <v>261</v>
      </c>
      <c r="E17" s="58" t="s">
        <v>262</v>
      </c>
      <c r="F17" s="58" t="s">
        <v>259</v>
      </c>
      <c r="G17" s="58">
        <v>2011</v>
      </c>
      <c r="H17" s="29"/>
      <c r="I17" s="29"/>
      <c r="J17" s="29"/>
      <c r="K17" s="29"/>
      <c r="L17" s="29"/>
      <c r="M17" s="29"/>
      <c r="N17" s="29"/>
      <c r="O17" s="29"/>
      <c r="P17" s="29"/>
      <c r="Q17" s="29"/>
      <c r="R17" s="29"/>
      <c r="S17" s="29"/>
      <c r="T17" s="29"/>
      <c r="U17" s="29"/>
      <c r="V17" s="29"/>
      <c r="W17" s="29"/>
      <c r="X17" s="29"/>
      <c r="Y17" s="29"/>
      <c r="Z17" s="29"/>
    </row>
    <row r="18" spans="1:26" ht="12.75" customHeight="1" x14ac:dyDescent="0.2">
      <c r="A18" s="26"/>
      <c r="B18" s="58" t="s">
        <v>263</v>
      </c>
      <c r="C18" s="63">
        <f>monthly_NG_Consumption*12*EF_natural_gas/1000</f>
        <v>7892.1176672306228</v>
      </c>
      <c r="D18" s="58" t="s">
        <v>264</v>
      </c>
      <c r="E18" s="58" t="s">
        <v>265</v>
      </c>
      <c r="F18" s="58" t="s">
        <v>241</v>
      </c>
      <c r="G18" s="58">
        <v>2009</v>
      </c>
      <c r="H18" s="29"/>
      <c r="I18" s="29"/>
      <c r="J18" s="29"/>
      <c r="K18" s="29"/>
      <c r="L18" s="29"/>
      <c r="M18" s="29"/>
      <c r="N18" s="29"/>
      <c r="O18" s="29"/>
      <c r="P18" s="29"/>
      <c r="Q18" s="29"/>
      <c r="R18" s="29"/>
      <c r="S18" s="29"/>
      <c r="T18" s="29"/>
      <c r="U18" s="29"/>
      <c r="V18" s="29"/>
      <c r="W18" s="29"/>
      <c r="X18" s="29"/>
      <c r="Y18" s="29"/>
      <c r="Z18" s="29"/>
    </row>
    <row r="19" spans="1:26" ht="12.75" customHeight="1" x14ac:dyDescent="0.2">
      <c r="A19" s="26"/>
      <c r="B19" s="58" t="s">
        <v>266</v>
      </c>
      <c r="C19" s="64">
        <f>NG_CO2_annual_emissions/HH_size</f>
        <v>3070.8629055372076</v>
      </c>
      <c r="D19" s="58" t="s">
        <v>267</v>
      </c>
      <c r="E19" s="58" t="s">
        <v>268</v>
      </c>
      <c r="F19" s="58" t="s">
        <v>269</v>
      </c>
      <c r="G19" s="58">
        <v>2009</v>
      </c>
      <c r="H19" s="29"/>
      <c r="I19" s="29"/>
      <c r="J19" s="29"/>
      <c r="K19" s="29"/>
      <c r="L19" s="29"/>
      <c r="M19" s="29"/>
      <c r="N19" s="29"/>
      <c r="O19" s="29"/>
      <c r="P19" s="29"/>
      <c r="Q19" s="29"/>
      <c r="R19" s="29"/>
      <c r="S19" s="29"/>
      <c r="T19" s="29"/>
      <c r="U19" s="29"/>
      <c r="V19" s="29"/>
      <c r="W19" s="29"/>
      <c r="X19" s="29"/>
      <c r="Y19" s="29"/>
      <c r="Z19" s="29"/>
    </row>
    <row r="20" spans="1:26" ht="12.75" customHeight="1" x14ac:dyDescent="0.2">
      <c r="A20" s="26"/>
      <c r="B20" s="58" t="s">
        <v>270</v>
      </c>
      <c r="C20" s="74">
        <f>monthly_NG_Consumption/HH_size*Natural_gas_cost_1000CF/1000</f>
        <v>22.85603112840467</v>
      </c>
      <c r="D20" s="58" t="s">
        <v>271</v>
      </c>
      <c r="E20" s="26" t="s">
        <v>272</v>
      </c>
      <c r="F20" s="58" t="s">
        <v>269</v>
      </c>
      <c r="G20" s="58">
        <v>2012</v>
      </c>
      <c r="H20" s="29"/>
      <c r="I20" s="29"/>
      <c r="J20" s="29"/>
      <c r="K20" s="29"/>
      <c r="L20" s="29"/>
      <c r="M20" s="29"/>
      <c r="N20" s="29"/>
      <c r="O20" s="29"/>
      <c r="P20" s="29"/>
      <c r="Q20" s="29"/>
      <c r="R20" s="29"/>
      <c r="S20" s="29"/>
      <c r="T20" s="29"/>
      <c r="U20" s="29"/>
      <c r="V20" s="29"/>
      <c r="W20" s="29"/>
      <c r="X20" s="29"/>
      <c r="Y20" s="29"/>
      <c r="Z20" s="29"/>
    </row>
    <row r="21" spans="1:26" ht="12.75" customHeight="1" x14ac:dyDescent="0.2">
      <c r="A21" s="67"/>
      <c r="B21" s="68" t="s">
        <v>273</v>
      </c>
      <c r="C21" s="69"/>
      <c r="D21" s="68"/>
      <c r="E21" s="67"/>
      <c r="F21" s="68"/>
      <c r="G21" s="68"/>
      <c r="H21" s="70"/>
      <c r="I21" s="70"/>
      <c r="J21" s="70"/>
      <c r="K21" s="70"/>
      <c r="L21" s="70"/>
      <c r="M21" s="70"/>
      <c r="N21" s="70"/>
      <c r="O21" s="70"/>
      <c r="P21" s="70"/>
      <c r="Q21" s="70"/>
      <c r="R21" s="70"/>
      <c r="S21" s="70"/>
      <c r="T21" s="70"/>
      <c r="U21" s="70"/>
      <c r="V21" s="70"/>
      <c r="W21" s="70"/>
      <c r="X21" s="70"/>
      <c r="Y21" s="70"/>
      <c r="Z21" s="70"/>
    </row>
    <row r="22" spans="1:26" ht="12.75" customHeight="1" x14ac:dyDescent="0.2">
      <c r="A22" s="26"/>
      <c r="B22" s="58" t="s">
        <v>279</v>
      </c>
      <c r="C22" s="62">
        <f>11320/12</f>
        <v>943.33333333333337</v>
      </c>
      <c r="D22" s="58" t="s">
        <v>280</v>
      </c>
      <c r="E22" s="58" t="s">
        <v>281</v>
      </c>
      <c r="F22" s="58" t="s">
        <v>241</v>
      </c>
      <c r="G22" s="58">
        <v>2009</v>
      </c>
      <c r="H22" s="29"/>
      <c r="I22" s="29"/>
      <c r="J22" s="29"/>
      <c r="K22" s="29"/>
      <c r="L22" s="29"/>
      <c r="M22" s="29"/>
      <c r="N22" s="29"/>
      <c r="O22" s="29"/>
      <c r="P22" s="29"/>
      <c r="Q22" s="29"/>
      <c r="R22" s="29"/>
      <c r="S22" s="29"/>
      <c r="T22" s="29"/>
      <c r="U22" s="29"/>
      <c r="V22" s="29"/>
      <c r="W22" s="29"/>
      <c r="X22" s="29"/>
      <c r="Y22" s="29"/>
      <c r="Z22" s="29"/>
    </row>
    <row r="23" spans="1:26" ht="12.75" customHeight="1" x14ac:dyDescent="0.2">
      <c r="A23" s="26"/>
      <c r="B23" s="58" t="s">
        <v>282</v>
      </c>
      <c r="C23" s="79">
        <v>0.1188</v>
      </c>
      <c r="D23" s="58" t="s">
        <v>283</v>
      </c>
      <c r="E23" s="26"/>
      <c r="F23" s="58" t="s">
        <v>284</v>
      </c>
      <c r="G23" s="58">
        <v>2012</v>
      </c>
      <c r="H23" s="29"/>
      <c r="I23" s="29"/>
      <c r="J23" s="29"/>
      <c r="K23" s="29"/>
      <c r="L23" s="29"/>
      <c r="M23" s="29"/>
      <c r="N23" s="29"/>
      <c r="O23" s="29"/>
      <c r="P23" s="29"/>
      <c r="Q23" s="29"/>
      <c r="R23" s="29"/>
      <c r="S23" s="29"/>
      <c r="T23" s="29"/>
      <c r="U23" s="29"/>
      <c r="V23" s="29"/>
      <c r="W23" s="29"/>
      <c r="X23" s="29"/>
      <c r="Y23" s="29"/>
      <c r="Z23" s="29"/>
    </row>
    <row r="24" spans="1:26" ht="12.75" customHeight="1" x14ac:dyDescent="0.2">
      <c r="A24" s="26"/>
      <c r="B24" s="58" t="s">
        <v>285</v>
      </c>
      <c r="C24" s="80" t="s">
        <v>286</v>
      </c>
      <c r="D24" s="58" t="s">
        <v>287</v>
      </c>
      <c r="E24" s="58" t="s">
        <v>288</v>
      </c>
      <c r="F24" s="58" t="s">
        <v>289</v>
      </c>
      <c r="G24" s="58">
        <v>2010</v>
      </c>
      <c r="H24" s="29"/>
      <c r="I24" s="29"/>
      <c r="J24" s="29"/>
      <c r="K24" s="29"/>
      <c r="L24" s="29"/>
      <c r="M24" s="29"/>
      <c r="N24" s="29"/>
      <c r="O24" s="29"/>
      <c r="P24" s="29"/>
      <c r="Q24" s="29"/>
      <c r="R24" s="29"/>
      <c r="S24" s="29"/>
      <c r="T24" s="29"/>
      <c r="U24" s="29"/>
      <c r="V24" s="29"/>
      <c r="W24" s="29"/>
      <c r="X24" s="29"/>
      <c r="Y24" s="29"/>
      <c r="Z24" s="29"/>
    </row>
    <row r="25" spans="1:26" ht="12.75" customHeight="1" x14ac:dyDescent="0.2">
      <c r="A25" s="26"/>
      <c r="B25" s="58" t="s">
        <v>290</v>
      </c>
      <c r="C25" s="64">
        <f>monthly_elec_consumption*12*EMISSION_FACTORS!C33/1000</f>
        <v>14019.997723999999</v>
      </c>
      <c r="D25" s="58" t="s">
        <v>291</v>
      </c>
      <c r="E25" s="58" t="s">
        <v>292</v>
      </c>
      <c r="F25" s="58" t="s">
        <v>241</v>
      </c>
      <c r="G25" s="58">
        <v>2009</v>
      </c>
      <c r="H25" s="29"/>
      <c r="I25" s="29"/>
      <c r="J25" s="29"/>
      <c r="K25" s="29"/>
      <c r="L25" s="29"/>
      <c r="M25" s="29"/>
      <c r="N25" s="29"/>
      <c r="O25" s="29"/>
      <c r="P25" s="29"/>
      <c r="Q25" s="29"/>
      <c r="R25" s="29"/>
      <c r="S25" s="29"/>
      <c r="T25" s="29"/>
      <c r="U25" s="29"/>
      <c r="V25" s="29"/>
      <c r="W25" s="29"/>
      <c r="X25" s="29"/>
      <c r="Y25" s="29"/>
      <c r="Z25" s="29"/>
    </row>
    <row r="26" spans="1:26" ht="12.75" customHeight="1" x14ac:dyDescent="0.2">
      <c r="A26" s="26"/>
      <c r="B26" s="58" t="s">
        <v>293</v>
      </c>
      <c r="C26" s="64">
        <f>Average_elec_CO2_emissions/HH_size</f>
        <v>5455.2520326848244</v>
      </c>
      <c r="D26" s="58" t="s">
        <v>294</v>
      </c>
      <c r="E26" s="58" t="s">
        <v>268</v>
      </c>
      <c r="F26" s="58" t="s">
        <v>269</v>
      </c>
      <c r="G26" s="58">
        <v>2009</v>
      </c>
      <c r="H26" s="29"/>
      <c r="I26" s="29"/>
      <c r="J26" s="29"/>
      <c r="K26" s="29"/>
      <c r="L26" s="29"/>
      <c r="M26" s="29"/>
      <c r="N26" s="29"/>
      <c r="O26" s="29"/>
      <c r="P26" s="29"/>
      <c r="Q26" s="29"/>
      <c r="R26" s="29"/>
      <c r="S26" s="29"/>
      <c r="T26" s="29"/>
      <c r="U26" s="29"/>
      <c r="V26" s="29"/>
      <c r="W26" s="29"/>
      <c r="X26" s="29"/>
      <c r="Y26" s="29"/>
      <c r="Z26" s="29"/>
    </row>
    <row r="27" spans="1:26" ht="12.75" customHeight="1" x14ac:dyDescent="0.2">
      <c r="A27" s="26"/>
      <c r="B27" s="58" t="s">
        <v>295</v>
      </c>
      <c r="C27" s="74">
        <f>monthly_elec_consumption/HH_size*cost_per_kWh</f>
        <v>43.606225680933854</v>
      </c>
      <c r="D27" s="58" t="s">
        <v>271</v>
      </c>
      <c r="E27" s="26" t="s">
        <v>296</v>
      </c>
      <c r="F27" s="58" t="s">
        <v>269</v>
      </c>
      <c r="G27" s="58">
        <v>2012</v>
      </c>
      <c r="H27" s="29"/>
      <c r="I27" s="29"/>
      <c r="J27" s="29"/>
      <c r="K27" s="29"/>
      <c r="L27" s="29"/>
      <c r="M27" s="29"/>
      <c r="N27" s="29"/>
      <c r="O27" s="29"/>
      <c r="P27" s="29"/>
      <c r="Q27" s="29"/>
      <c r="R27" s="29"/>
      <c r="S27" s="29"/>
      <c r="T27" s="29"/>
      <c r="U27" s="29"/>
      <c r="V27" s="29"/>
      <c r="W27" s="29"/>
      <c r="X27" s="29"/>
      <c r="Y27" s="29"/>
      <c r="Z27" s="29"/>
    </row>
    <row r="28" spans="1:26" ht="12.75" customHeight="1" x14ac:dyDescent="0.2">
      <c r="A28" s="67"/>
      <c r="B28" s="68" t="s">
        <v>297</v>
      </c>
      <c r="C28" s="69"/>
      <c r="D28" s="68"/>
      <c r="E28" s="67"/>
      <c r="F28" s="68"/>
      <c r="G28" s="68"/>
      <c r="H28" s="70"/>
      <c r="I28" s="70"/>
      <c r="J28" s="70"/>
      <c r="K28" s="70"/>
      <c r="L28" s="70"/>
      <c r="M28" s="70"/>
      <c r="N28" s="70"/>
      <c r="O28" s="70"/>
      <c r="P28" s="70"/>
      <c r="Q28" s="70"/>
      <c r="R28" s="70"/>
      <c r="S28" s="70"/>
      <c r="T28" s="70"/>
      <c r="U28" s="70"/>
      <c r="V28" s="70"/>
      <c r="W28" s="70"/>
      <c r="X28" s="70"/>
      <c r="Y28" s="70"/>
      <c r="Z28" s="70"/>
    </row>
    <row r="29" spans="1:26" ht="12.75" customHeight="1" x14ac:dyDescent="0.2">
      <c r="A29" s="26"/>
      <c r="B29" s="58" t="s">
        <v>298</v>
      </c>
      <c r="C29" s="80">
        <f>551/12</f>
        <v>45.916666666666664</v>
      </c>
      <c r="D29" s="58" t="s">
        <v>299</v>
      </c>
      <c r="E29" s="26" t="s">
        <v>300</v>
      </c>
      <c r="F29" s="58" t="s">
        <v>241</v>
      </c>
      <c r="G29" s="58">
        <v>2009</v>
      </c>
      <c r="H29" s="29"/>
      <c r="I29" s="29"/>
      <c r="J29" s="29"/>
      <c r="K29" s="29"/>
      <c r="L29" s="29"/>
      <c r="M29" s="29"/>
      <c r="N29" s="29"/>
      <c r="O29" s="29"/>
      <c r="P29" s="29"/>
      <c r="Q29" s="29"/>
      <c r="R29" s="29"/>
      <c r="S29" s="29"/>
      <c r="T29" s="29"/>
      <c r="U29" s="29"/>
      <c r="V29" s="29"/>
      <c r="W29" s="29"/>
      <c r="X29" s="29"/>
      <c r="Y29" s="29"/>
      <c r="Z29" s="29"/>
    </row>
    <row r="30" spans="1:26" ht="12.75" customHeight="1" x14ac:dyDescent="0.2">
      <c r="A30" s="26"/>
      <c r="B30" s="58" t="s">
        <v>301</v>
      </c>
      <c r="C30" s="74">
        <v>4.0199999999999996</v>
      </c>
      <c r="D30" s="58" t="s">
        <v>302</v>
      </c>
      <c r="E30" s="58"/>
      <c r="F30" s="58" t="s">
        <v>303</v>
      </c>
      <c r="G30" s="58">
        <v>2012</v>
      </c>
      <c r="H30" s="29"/>
      <c r="I30" s="29"/>
      <c r="J30" s="29"/>
      <c r="K30" s="29"/>
      <c r="L30" s="29"/>
      <c r="M30" s="29"/>
      <c r="N30" s="29"/>
      <c r="O30" s="29"/>
      <c r="P30" s="29"/>
      <c r="Q30" s="29"/>
      <c r="R30" s="29"/>
      <c r="S30" s="29"/>
      <c r="T30" s="29"/>
      <c r="U30" s="29"/>
      <c r="V30" s="29"/>
      <c r="W30" s="29"/>
      <c r="X30" s="29"/>
      <c r="Y30" s="29"/>
      <c r="Z30" s="29"/>
    </row>
    <row r="31" spans="1:26" ht="12.75" customHeight="1" x14ac:dyDescent="0.2">
      <c r="A31" s="26"/>
      <c r="B31" s="58" t="s">
        <v>304</v>
      </c>
      <c r="C31" s="28">
        <v>20.170000000000002</v>
      </c>
      <c r="D31" s="58" t="s">
        <v>252</v>
      </c>
      <c r="E31" s="26"/>
      <c r="F31" s="58" t="s">
        <v>254</v>
      </c>
      <c r="G31" s="58">
        <v>2011</v>
      </c>
      <c r="H31" s="29"/>
      <c r="I31" s="29"/>
      <c r="J31" s="29"/>
      <c r="K31" s="29"/>
      <c r="L31" s="29"/>
      <c r="M31" s="29"/>
      <c r="N31" s="29"/>
      <c r="O31" s="29"/>
      <c r="P31" s="29"/>
      <c r="Q31" s="29"/>
      <c r="R31" s="29"/>
      <c r="S31" s="29"/>
      <c r="T31" s="29"/>
      <c r="U31" s="29"/>
      <c r="V31" s="29"/>
      <c r="W31" s="29"/>
      <c r="X31" s="29"/>
      <c r="Y31" s="29"/>
      <c r="Z31" s="29"/>
    </row>
    <row r="32" spans="1:26" ht="12.75" customHeight="1" x14ac:dyDescent="0.2">
      <c r="A32" s="26"/>
      <c r="B32" s="58" t="s">
        <v>305</v>
      </c>
      <c r="C32" s="62">
        <f>C31*$C$87*HHV_fuel_oil*conversion_Tg_to_lb/conversion_QBtu_to_Btu</f>
        <v>22.613101864265921</v>
      </c>
      <c r="D32" s="58" t="s">
        <v>306</v>
      </c>
      <c r="E32" s="58" t="s">
        <v>307</v>
      </c>
      <c r="F32" s="58" t="s">
        <v>308</v>
      </c>
      <c r="G32" s="58">
        <v>2011</v>
      </c>
      <c r="H32" s="29"/>
      <c r="I32" s="29"/>
      <c r="J32" s="29">
        <f>2.661*2.20462</f>
        <v>5.8664938199999996</v>
      </c>
      <c r="K32" s="29"/>
      <c r="L32" s="29"/>
      <c r="M32" s="29"/>
      <c r="N32" s="29"/>
      <c r="O32" s="29"/>
      <c r="P32" s="29"/>
      <c r="Q32" s="29"/>
      <c r="R32" s="29"/>
      <c r="S32" s="29"/>
      <c r="T32" s="29"/>
      <c r="U32" s="29"/>
      <c r="V32" s="29"/>
      <c r="W32" s="29"/>
      <c r="X32" s="29"/>
      <c r="Y32" s="29"/>
      <c r="Z32" s="29"/>
    </row>
    <row r="33" spans="1:26" ht="12.75" customHeight="1" x14ac:dyDescent="0.2">
      <c r="A33" s="26"/>
      <c r="B33" s="58" t="s">
        <v>309</v>
      </c>
      <c r="C33" s="62">
        <v>5.8664937999999998</v>
      </c>
      <c r="D33" s="58" t="s">
        <v>310</v>
      </c>
      <c r="E33" s="58" t="s">
        <v>311</v>
      </c>
      <c r="F33" s="81" t="s">
        <v>312</v>
      </c>
      <c r="G33" s="58"/>
      <c r="H33" s="29"/>
      <c r="I33" s="29"/>
      <c r="J33" s="29"/>
      <c r="K33" s="29"/>
      <c r="L33" s="29"/>
      <c r="M33" s="29"/>
      <c r="N33" s="29"/>
      <c r="O33" s="29"/>
      <c r="P33" s="29"/>
      <c r="Q33" s="29"/>
      <c r="R33" s="29"/>
      <c r="S33" s="29"/>
      <c r="T33" s="29"/>
      <c r="U33" s="29"/>
      <c r="V33" s="29"/>
      <c r="W33" s="29"/>
      <c r="X33" s="29"/>
      <c r="Y33" s="29"/>
      <c r="Z33" s="29"/>
    </row>
    <row r="34" spans="1:26" ht="12.75" customHeight="1" x14ac:dyDescent="0.2">
      <c r="A34" s="26"/>
      <c r="B34" s="58" t="s">
        <v>313</v>
      </c>
      <c r="C34" s="62">
        <f>EF_fuel_oil_gallon/(BTU_per_gallon_FO)*10^6</f>
        <v>163.04654023313336</v>
      </c>
      <c r="D34" s="58" t="s">
        <v>314</v>
      </c>
      <c r="E34" s="26" t="s">
        <v>315</v>
      </c>
      <c r="F34" s="58" t="s">
        <v>269</v>
      </c>
      <c r="G34" s="58">
        <v>2011</v>
      </c>
      <c r="H34" s="29"/>
      <c r="I34" s="29"/>
      <c r="J34" s="29"/>
      <c r="K34" s="29"/>
      <c r="L34" s="29"/>
      <c r="M34" s="29"/>
      <c r="N34" s="29"/>
      <c r="O34" s="29"/>
      <c r="P34" s="29"/>
      <c r="Q34" s="29"/>
      <c r="R34" s="29"/>
      <c r="S34" s="29"/>
      <c r="T34" s="29"/>
      <c r="U34" s="29"/>
      <c r="V34" s="29"/>
      <c r="W34" s="29"/>
      <c r="X34" s="29"/>
      <c r="Y34" s="29"/>
      <c r="Z34" s="29"/>
    </row>
    <row r="35" spans="1:26" ht="12.75" customHeight="1" x14ac:dyDescent="0.2">
      <c r="A35" s="26"/>
      <c r="B35" s="58" t="s">
        <v>316</v>
      </c>
      <c r="C35" s="63">
        <f>monthly_FO_consumption*12*EF_fuel_oil_gallon</f>
        <v>12459.819127210523</v>
      </c>
      <c r="D35" s="58" t="s">
        <v>317</v>
      </c>
      <c r="E35" s="26" t="s">
        <v>318</v>
      </c>
      <c r="F35" s="58" t="s">
        <v>241</v>
      </c>
      <c r="G35" s="58">
        <v>2009</v>
      </c>
      <c r="H35" s="29"/>
      <c r="I35" s="29"/>
      <c r="J35" s="29"/>
      <c r="K35" s="29"/>
      <c r="L35" s="29"/>
      <c r="M35" s="29"/>
      <c r="N35" s="29"/>
      <c r="O35" s="29"/>
      <c r="P35" s="29"/>
      <c r="Q35" s="29"/>
      <c r="R35" s="29"/>
      <c r="S35" s="29"/>
      <c r="T35" s="29"/>
      <c r="U35" s="29"/>
      <c r="V35" s="29"/>
      <c r="W35" s="29"/>
      <c r="X35" s="29"/>
      <c r="Y35" s="29"/>
      <c r="Z35" s="29"/>
    </row>
    <row r="36" spans="1:26" ht="12.75" customHeight="1" x14ac:dyDescent="0.2">
      <c r="A36" s="26"/>
      <c r="B36" s="58" t="s">
        <v>319</v>
      </c>
      <c r="C36" s="63">
        <f>Average_FO_CO2_emissions/HH_size</f>
        <v>4848.1786487200479</v>
      </c>
      <c r="D36" s="58" t="s">
        <v>267</v>
      </c>
      <c r="E36" s="58" t="s">
        <v>268</v>
      </c>
      <c r="F36" s="58" t="s">
        <v>269</v>
      </c>
      <c r="G36" s="58">
        <v>2009</v>
      </c>
      <c r="H36" s="29"/>
      <c r="I36" s="29"/>
      <c r="J36" s="29"/>
      <c r="K36" s="29"/>
      <c r="L36" s="29"/>
      <c r="M36" s="29"/>
      <c r="N36" s="29"/>
      <c r="O36" s="29"/>
      <c r="P36" s="29"/>
      <c r="Q36" s="29"/>
      <c r="R36" s="29"/>
      <c r="S36" s="29"/>
      <c r="T36" s="29"/>
      <c r="U36" s="29"/>
      <c r="V36" s="29"/>
      <c r="W36" s="29"/>
      <c r="X36" s="29"/>
      <c r="Y36" s="29"/>
      <c r="Z36" s="29"/>
    </row>
    <row r="37" spans="1:26" ht="12.75" customHeight="1" x14ac:dyDescent="0.2">
      <c r="A37" s="26"/>
      <c r="B37" s="58" t="s">
        <v>320</v>
      </c>
      <c r="C37" s="74">
        <f>monthly_FO_consumption/HH_size*fuel_oil_cost</f>
        <v>71.822957198443575</v>
      </c>
      <c r="D37" s="58" t="s">
        <v>321</v>
      </c>
      <c r="E37" s="26" t="s">
        <v>322</v>
      </c>
      <c r="F37" s="58" t="s">
        <v>269</v>
      </c>
      <c r="G37" s="58">
        <v>2012</v>
      </c>
      <c r="H37" s="29"/>
      <c r="I37" s="29"/>
      <c r="J37" s="29"/>
      <c r="K37" s="29"/>
      <c r="L37" s="29"/>
      <c r="M37" s="29"/>
      <c r="N37" s="29"/>
      <c r="O37" s="29"/>
      <c r="P37" s="29"/>
      <c r="Q37" s="29"/>
      <c r="R37" s="29"/>
      <c r="S37" s="29"/>
      <c r="T37" s="29"/>
      <c r="U37" s="29"/>
      <c r="V37" s="29"/>
      <c r="W37" s="29"/>
      <c r="X37" s="29"/>
      <c r="Y37" s="29"/>
      <c r="Z37" s="29"/>
    </row>
    <row r="38" spans="1:26" ht="12.75" customHeight="1" x14ac:dyDescent="0.2">
      <c r="A38" s="67"/>
      <c r="B38" s="68" t="s">
        <v>323</v>
      </c>
      <c r="C38" s="69"/>
      <c r="D38" s="68"/>
      <c r="E38" s="67"/>
      <c r="F38" s="68"/>
      <c r="G38" s="68"/>
      <c r="H38" s="70"/>
      <c r="I38" s="70"/>
      <c r="J38" s="70"/>
      <c r="K38" s="70"/>
      <c r="L38" s="70"/>
      <c r="M38" s="70"/>
      <c r="N38" s="70"/>
      <c r="O38" s="70"/>
      <c r="P38" s="70"/>
      <c r="Q38" s="70"/>
      <c r="R38" s="70"/>
      <c r="S38" s="70"/>
      <c r="T38" s="70"/>
      <c r="U38" s="70"/>
      <c r="V38" s="70"/>
      <c r="W38" s="70"/>
      <c r="X38" s="70"/>
      <c r="Y38" s="70"/>
      <c r="Z38" s="70"/>
    </row>
    <row r="39" spans="1:26" ht="12.75" customHeight="1" x14ac:dyDescent="0.2">
      <c r="A39" s="26"/>
      <c r="B39" s="58" t="s">
        <v>325</v>
      </c>
      <c r="C39" s="80">
        <f>464/12</f>
        <v>38.666666666666664</v>
      </c>
      <c r="D39" s="58" t="s">
        <v>328</v>
      </c>
      <c r="E39" s="58" t="s">
        <v>329</v>
      </c>
      <c r="F39" s="58" t="s">
        <v>241</v>
      </c>
      <c r="G39" s="58">
        <v>2009</v>
      </c>
      <c r="H39" s="29"/>
      <c r="I39" s="29"/>
      <c r="J39" s="29"/>
      <c r="K39" s="29"/>
      <c r="L39" s="29"/>
      <c r="M39" s="29"/>
      <c r="N39" s="29"/>
      <c r="O39" s="29"/>
      <c r="P39" s="29"/>
      <c r="Q39" s="29"/>
      <c r="R39" s="29"/>
      <c r="S39" s="29"/>
      <c r="T39" s="29"/>
      <c r="U39" s="29"/>
      <c r="V39" s="29"/>
      <c r="W39" s="29"/>
      <c r="X39" s="29"/>
      <c r="Y39" s="29"/>
      <c r="Z39" s="29"/>
    </row>
    <row r="40" spans="1:26" ht="12.75" customHeight="1" x14ac:dyDescent="0.2">
      <c r="A40" s="26"/>
      <c r="B40" s="58" t="s">
        <v>331</v>
      </c>
      <c r="C40" s="74">
        <v>2.4700000000000002</v>
      </c>
      <c r="D40" s="58" t="s">
        <v>332</v>
      </c>
      <c r="E40" s="26"/>
      <c r="F40" s="58" t="s">
        <v>333</v>
      </c>
      <c r="G40" s="58">
        <v>2012</v>
      </c>
      <c r="H40" s="83"/>
      <c r="I40" s="83"/>
      <c r="J40" s="83"/>
      <c r="K40" s="83"/>
      <c r="L40" s="83"/>
      <c r="M40" s="83"/>
      <c r="N40" s="83"/>
      <c r="O40" s="83"/>
      <c r="P40" s="29"/>
      <c r="Q40" s="29"/>
      <c r="R40" s="29"/>
      <c r="S40" s="29"/>
      <c r="T40" s="29"/>
      <c r="U40" s="29"/>
      <c r="V40" s="29"/>
      <c r="W40" s="29"/>
      <c r="X40" s="29"/>
      <c r="Y40" s="29"/>
      <c r="Z40" s="29"/>
    </row>
    <row r="41" spans="1:26" ht="12.75" customHeight="1" x14ac:dyDescent="0.2">
      <c r="A41" s="26"/>
      <c r="B41" s="58" t="s">
        <v>336</v>
      </c>
      <c r="C41" s="62">
        <v>16.829999999999998</v>
      </c>
      <c r="D41" s="58" t="s">
        <v>252</v>
      </c>
      <c r="E41" s="26" t="s">
        <v>337</v>
      </c>
      <c r="F41" s="58" t="s">
        <v>254</v>
      </c>
      <c r="G41" s="58">
        <v>2011</v>
      </c>
      <c r="H41" s="29"/>
      <c r="I41" s="29"/>
      <c r="J41" s="29"/>
      <c r="K41" s="29"/>
      <c r="L41" s="29"/>
      <c r="M41" s="29"/>
      <c r="N41" s="29"/>
      <c r="O41" s="29"/>
      <c r="P41" s="29"/>
      <c r="Q41" s="29"/>
      <c r="R41" s="29"/>
      <c r="S41" s="29"/>
      <c r="T41" s="29"/>
      <c r="U41" s="29"/>
      <c r="V41" s="29"/>
      <c r="W41" s="29"/>
      <c r="X41" s="29"/>
      <c r="Y41" s="29"/>
      <c r="Z41" s="29"/>
    </row>
    <row r="42" spans="1:26" ht="12.75" customHeight="1" x14ac:dyDescent="0.2">
      <c r="A42" s="26"/>
      <c r="B42" s="58" t="s">
        <v>339</v>
      </c>
      <c r="C42" s="62">
        <f>C41*(44/12)*HHV_propane*conversion_Tg_to_lb/conversion_QBtu_to_Btu</f>
        <v>12.426004480391528</v>
      </c>
      <c r="D42" s="58" t="s">
        <v>341</v>
      </c>
      <c r="E42" s="58" t="s">
        <v>343</v>
      </c>
      <c r="F42" s="58" t="s">
        <v>259</v>
      </c>
      <c r="G42" s="58">
        <v>2011</v>
      </c>
      <c r="H42" s="29"/>
      <c r="I42" s="29"/>
      <c r="J42" s="29"/>
      <c r="K42" s="29"/>
      <c r="L42" s="29"/>
      <c r="M42" s="29"/>
      <c r="N42" s="29"/>
      <c r="O42" s="29"/>
      <c r="P42" s="29"/>
      <c r="Q42" s="29"/>
      <c r="R42" s="29"/>
      <c r="S42" s="29"/>
      <c r="T42" s="29"/>
      <c r="U42" s="29"/>
      <c r="V42" s="29"/>
      <c r="W42" s="29"/>
      <c r="X42" s="29"/>
      <c r="Y42" s="29"/>
      <c r="Z42" s="29"/>
    </row>
    <row r="43" spans="1:26" ht="12.75" customHeight="1" x14ac:dyDescent="0.2">
      <c r="A43" s="26"/>
      <c r="B43" s="58" t="s">
        <v>346</v>
      </c>
      <c r="C43" s="64">
        <f>monthly_propane_consumption*12*EF_propane</f>
        <v>5765.6660789016687</v>
      </c>
      <c r="D43" s="58" t="s">
        <v>350</v>
      </c>
      <c r="E43" s="26" t="s">
        <v>351</v>
      </c>
      <c r="F43" s="58" t="s">
        <v>241</v>
      </c>
      <c r="G43" s="58">
        <v>2009</v>
      </c>
      <c r="H43" s="29"/>
      <c r="I43" s="29"/>
      <c r="J43" s="29"/>
      <c r="K43" s="29"/>
      <c r="L43" s="29"/>
      <c r="M43" s="29"/>
      <c r="N43" s="29"/>
      <c r="O43" s="29"/>
      <c r="P43" s="29"/>
      <c r="Q43" s="29"/>
      <c r="R43" s="29"/>
      <c r="S43" s="29"/>
      <c r="T43" s="29"/>
      <c r="U43" s="29"/>
      <c r="V43" s="29"/>
      <c r="W43" s="29"/>
      <c r="X43" s="29"/>
      <c r="Y43" s="29"/>
      <c r="Z43" s="29"/>
    </row>
    <row r="44" spans="1:26" ht="12.75" customHeight="1" x14ac:dyDescent="0.2">
      <c r="A44" s="26"/>
      <c r="B44" s="58" t="s">
        <v>354</v>
      </c>
      <c r="C44" s="64">
        <f>C43/HH_size</f>
        <v>2243.4498361485093</v>
      </c>
      <c r="D44" s="58" t="s">
        <v>267</v>
      </c>
      <c r="E44" s="58" t="s">
        <v>268</v>
      </c>
      <c r="F44" s="58" t="s">
        <v>269</v>
      </c>
      <c r="G44" s="58">
        <v>2009</v>
      </c>
      <c r="H44" s="29"/>
      <c r="I44" s="29"/>
      <c r="J44" s="29"/>
      <c r="K44" s="29"/>
      <c r="L44" s="29"/>
      <c r="M44" s="29"/>
      <c r="N44" s="29"/>
      <c r="O44" s="29"/>
      <c r="P44" s="29"/>
      <c r="Q44" s="29"/>
      <c r="R44" s="29"/>
      <c r="S44" s="29"/>
      <c r="T44" s="29"/>
      <c r="U44" s="29"/>
      <c r="V44" s="29"/>
      <c r="W44" s="29"/>
      <c r="X44" s="29"/>
      <c r="Y44" s="29"/>
      <c r="Z44" s="29"/>
    </row>
    <row r="45" spans="1:26" ht="12.75" customHeight="1" x14ac:dyDescent="0.2">
      <c r="A45" s="26"/>
      <c r="B45" s="58" t="s">
        <v>355</v>
      </c>
      <c r="C45" s="74">
        <f>monthly_propane_consumption/HH_size*propane_cost</f>
        <v>37.162127107652402</v>
      </c>
      <c r="D45" s="58" t="s">
        <v>321</v>
      </c>
      <c r="E45" s="26" t="s">
        <v>356</v>
      </c>
      <c r="F45" s="58" t="s">
        <v>269</v>
      </c>
      <c r="G45" s="58">
        <v>2012</v>
      </c>
      <c r="H45" s="29"/>
      <c r="I45" s="29"/>
      <c r="J45" s="29"/>
      <c r="K45" s="29"/>
      <c r="L45" s="29"/>
      <c r="M45" s="29"/>
      <c r="N45" s="29"/>
      <c r="O45" s="29"/>
      <c r="P45" s="29"/>
      <c r="Q45" s="29"/>
      <c r="R45" s="29"/>
      <c r="S45" s="29"/>
      <c r="T45" s="29"/>
      <c r="U45" s="29"/>
      <c r="V45" s="29"/>
      <c r="W45" s="29"/>
      <c r="X45" s="29"/>
      <c r="Y45" s="29"/>
      <c r="Z45" s="29"/>
    </row>
    <row r="46" spans="1:26" ht="28.5" customHeight="1" x14ac:dyDescent="0.2">
      <c r="A46" s="46"/>
      <c r="B46" s="48" t="s">
        <v>359</v>
      </c>
      <c r="C46" s="65"/>
      <c r="D46" s="66"/>
      <c r="E46" s="46"/>
      <c r="F46" s="66"/>
      <c r="G46" s="66"/>
      <c r="H46" s="52"/>
      <c r="I46" s="52"/>
      <c r="J46" s="52"/>
      <c r="K46" s="52"/>
      <c r="L46" s="52"/>
      <c r="M46" s="52"/>
      <c r="N46" s="52"/>
      <c r="O46" s="52"/>
      <c r="P46" s="52"/>
      <c r="Q46" s="52"/>
      <c r="R46" s="52"/>
      <c r="S46" s="52"/>
      <c r="T46" s="52"/>
      <c r="U46" s="52"/>
      <c r="V46" s="52"/>
      <c r="W46" s="52"/>
      <c r="X46" s="52"/>
      <c r="Y46" s="52"/>
      <c r="Z46" s="52"/>
    </row>
    <row r="47" spans="1:26" ht="12.75" customHeight="1" x14ac:dyDescent="0.2">
      <c r="A47" s="26"/>
      <c r="B47" s="58" t="s">
        <v>361</v>
      </c>
      <c r="C47" s="80">
        <v>691.5</v>
      </c>
      <c r="D47" s="58" t="s">
        <v>362</v>
      </c>
      <c r="E47" s="26"/>
      <c r="F47" s="58" t="s">
        <v>363</v>
      </c>
      <c r="G47" s="58">
        <v>2011</v>
      </c>
      <c r="H47" s="29"/>
      <c r="I47" s="29"/>
      <c r="J47" s="29"/>
      <c r="K47" s="29"/>
      <c r="L47" s="29"/>
      <c r="M47" s="29"/>
      <c r="N47" s="29"/>
      <c r="O47" s="29"/>
      <c r="P47" s="29"/>
      <c r="Q47" s="29"/>
      <c r="R47" s="29"/>
      <c r="S47" s="29"/>
      <c r="T47" s="29"/>
      <c r="U47" s="29"/>
      <c r="V47" s="29"/>
      <c r="W47" s="29"/>
      <c r="X47" s="29"/>
      <c r="Y47" s="29"/>
      <c r="Z47" s="29"/>
    </row>
    <row r="48" spans="1:26" ht="12.75" customHeight="1" x14ac:dyDescent="0.2">
      <c r="A48" s="26"/>
      <c r="B48" s="58" t="s">
        <v>365</v>
      </c>
      <c r="C48" s="62">
        <v>-89.38</v>
      </c>
      <c r="D48" s="58" t="s">
        <v>366</v>
      </c>
      <c r="E48" s="26" t="s">
        <v>367</v>
      </c>
      <c r="F48" s="58" t="s">
        <v>368</v>
      </c>
      <c r="G48" s="58">
        <v>2011</v>
      </c>
      <c r="H48" s="29"/>
      <c r="I48" s="29"/>
      <c r="J48" s="29"/>
      <c r="K48" s="29"/>
      <c r="L48" s="29"/>
      <c r="M48" s="29"/>
      <c r="N48" s="29"/>
      <c r="O48" s="29"/>
      <c r="P48" s="29"/>
      <c r="Q48" s="29"/>
      <c r="R48" s="29"/>
      <c r="S48" s="29"/>
      <c r="T48" s="29"/>
      <c r="U48" s="29"/>
      <c r="V48" s="29"/>
      <c r="W48" s="29"/>
      <c r="X48" s="29"/>
      <c r="Y48" s="29"/>
      <c r="Z48" s="29"/>
    </row>
    <row r="49" spans="1:26" ht="297.75" customHeight="1" x14ac:dyDescent="0.2">
      <c r="A49" s="26"/>
      <c r="B49" s="58" t="s">
        <v>369</v>
      </c>
      <c r="C49" s="62">
        <v>-35.56</v>
      </c>
      <c r="D49" s="58" t="s">
        <v>370</v>
      </c>
      <c r="E49" s="26" t="s">
        <v>371</v>
      </c>
      <c r="F49" s="58" t="s">
        <v>368</v>
      </c>
      <c r="G49" s="58">
        <v>2011</v>
      </c>
      <c r="H49" s="29"/>
      <c r="I49" s="29"/>
      <c r="J49" s="29"/>
      <c r="K49" s="29"/>
      <c r="L49" s="29"/>
      <c r="M49" s="29"/>
      <c r="N49" s="29"/>
      <c r="O49" s="29"/>
      <c r="P49" s="29"/>
      <c r="Q49" s="29"/>
      <c r="R49" s="29"/>
      <c r="S49" s="29"/>
      <c r="T49" s="29"/>
      <c r="U49" s="29"/>
      <c r="V49" s="29"/>
      <c r="W49" s="29"/>
      <c r="X49" s="29"/>
      <c r="Y49" s="29"/>
      <c r="Z49" s="29"/>
    </row>
    <row r="50" spans="1:26" ht="12.75" customHeight="1" x14ac:dyDescent="0.2">
      <c r="A50" s="26"/>
      <c r="B50" s="58" t="s">
        <v>373</v>
      </c>
      <c r="C50" s="28">
        <v>-25.39</v>
      </c>
      <c r="D50" s="58" t="s">
        <v>374</v>
      </c>
      <c r="E50" s="26"/>
      <c r="F50" s="58" t="s">
        <v>368</v>
      </c>
      <c r="G50" s="58">
        <v>2011</v>
      </c>
      <c r="H50" s="29"/>
      <c r="I50" s="29"/>
      <c r="J50" s="29"/>
      <c r="K50" s="29"/>
      <c r="L50" s="29"/>
      <c r="M50" s="29"/>
      <c r="N50" s="29"/>
      <c r="O50" s="29"/>
      <c r="P50" s="29"/>
      <c r="Q50" s="29"/>
      <c r="R50" s="29"/>
      <c r="S50" s="29"/>
      <c r="T50" s="29"/>
      <c r="U50" s="29"/>
      <c r="V50" s="29"/>
      <c r="W50" s="29"/>
      <c r="X50" s="29"/>
      <c r="Y50" s="29"/>
      <c r="Z50" s="29"/>
    </row>
    <row r="51" spans="1:26" ht="12.75" customHeight="1" x14ac:dyDescent="0.2">
      <c r="A51" s="26"/>
      <c r="B51" s="58" t="s">
        <v>375</v>
      </c>
      <c r="C51" s="28">
        <v>-113.14</v>
      </c>
      <c r="D51" s="58" t="s">
        <v>376</v>
      </c>
      <c r="E51" s="26"/>
      <c r="F51" s="58" t="s">
        <v>368</v>
      </c>
      <c r="G51" s="58">
        <v>2011</v>
      </c>
      <c r="H51" s="29"/>
      <c r="I51" s="29"/>
      <c r="J51" s="29"/>
      <c r="K51" s="29"/>
      <c r="L51" s="29"/>
      <c r="M51" s="29"/>
      <c r="N51" s="29"/>
      <c r="O51" s="29"/>
      <c r="P51" s="29"/>
      <c r="Q51" s="29"/>
      <c r="R51" s="29"/>
      <c r="S51" s="29"/>
      <c r="T51" s="29"/>
      <c r="U51" s="29"/>
      <c r="V51" s="29"/>
      <c r="W51" s="29"/>
      <c r="X51" s="29"/>
      <c r="Y51" s="29"/>
      <c r="Z51" s="29"/>
    </row>
    <row r="52" spans="1:26" ht="12.75" customHeight="1" x14ac:dyDescent="0.2">
      <c r="A52" s="26"/>
      <c r="B52" s="58" t="s">
        <v>377</v>
      </c>
      <c r="C52" s="28">
        <v>-27.46</v>
      </c>
      <c r="D52" s="58" t="s">
        <v>378</v>
      </c>
      <c r="E52" s="26"/>
      <c r="F52" s="58" t="s">
        <v>368</v>
      </c>
      <c r="G52" s="58">
        <v>2011</v>
      </c>
      <c r="H52" s="29"/>
      <c r="I52" s="29"/>
      <c r="J52" s="29"/>
      <c r="K52" s="29"/>
      <c r="L52" s="29"/>
      <c r="M52" s="29"/>
      <c r="N52" s="29"/>
      <c r="O52" s="29"/>
      <c r="P52" s="29"/>
      <c r="Q52" s="29"/>
      <c r="R52" s="29"/>
      <c r="S52" s="29"/>
      <c r="T52" s="29"/>
      <c r="U52" s="29"/>
      <c r="V52" s="29"/>
      <c r="W52" s="29"/>
      <c r="X52" s="29"/>
      <c r="Y52" s="29"/>
      <c r="Z52" s="29"/>
    </row>
    <row r="53" spans="1:26" ht="12.75" customHeight="1" x14ac:dyDescent="0.2">
      <c r="A53" s="67"/>
      <c r="B53" s="68" t="s">
        <v>379</v>
      </c>
      <c r="C53" s="102">
        <f>SUM(C47,C26,C19,C9)</f>
        <v>19701.780807081261</v>
      </c>
      <c r="D53" s="68" t="s">
        <v>381</v>
      </c>
      <c r="E53" s="67" t="s">
        <v>382</v>
      </c>
      <c r="F53" s="68"/>
      <c r="G53" s="68">
        <v>2009</v>
      </c>
      <c r="H53" s="70"/>
      <c r="I53" s="70"/>
      <c r="J53" s="70"/>
      <c r="K53" s="70"/>
      <c r="L53" s="70"/>
      <c r="M53" s="70"/>
      <c r="N53" s="70"/>
      <c r="O53" s="70"/>
      <c r="P53" s="70"/>
      <c r="Q53" s="70"/>
      <c r="R53" s="70"/>
      <c r="S53" s="70"/>
      <c r="T53" s="70"/>
      <c r="U53" s="70"/>
      <c r="V53" s="70"/>
      <c r="W53" s="70"/>
      <c r="X53" s="70"/>
      <c r="Y53" s="70"/>
      <c r="Z53" s="70"/>
    </row>
    <row r="54" spans="1:26" ht="12.75" customHeight="1" x14ac:dyDescent="0.2">
      <c r="A54" s="103"/>
      <c r="B54" s="104"/>
      <c r="C54" s="106"/>
      <c r="D54" s="104"/>
      <c r="E54" s="103"/>
      <c r="F54" s="104"/>
      <c r="G54" s="104"/>
      <c r="H54" s="107"/>
      <c r="I54" s="107"/>
      <c r="J54" s="107"/>
      <c r="K54" s="107"/>
      <c r="L54" s="107"/>
      <c r="M54" s="107"/>
      <c r="N54" s="107"/>
      <c r="O54" s="107"/>
      <c r="P54" s="107"/>
      <c r="Q54" s="107"/>
      <c r="R54" s="107"/>
      <c r="S54" s="107"/>
      <c r="T54" s="107"/>
      <c r="U54" s="107"/>
      <c r="V54" s="107"/>
      <c r="W54" s="107"/>
      <c r="X54" s="107"/>
      <c r="Y54" s="107"/>
      <c r="Z54" s="107"/>
    </row>
    <row r="55" spans="1:26" ht="12.75" customHeight="1" x14ac:dyDescent="0.2">
      <c r="A55" s="108"/>
      <c r="B55" s="109" t="s">
        <v>386</v>
      </c>
      <c r="C55" s="110"/>
      <c r="D55" s="111"/>
      <c r="E55" s="108"/>
      <c r="F55" s="111"/>
      <c r="G55" s="111"/>
      <c r="H55" s="112"/>
      <c r="I55" s="112"/>
      <c r="J55" s="112"/>
      <c r="K55" s="112"/>
      <c r="L55" s="112"/>
      <c r="M55" s="112"/>
      <c r="N55" s="112"/>
      <c r="O55" s="112"/>
      <c r="P55" s="112"/>
      <c r="Q55" s="112"/>
      <c r="R55" s="112"/>
      <c r="S55" s="112"/>
      <c r="T55" s="112"/>
      <c r="U55" s="112"/>
      <c r="V55" s="112"/>
      <c r="W55" s="112"/>
      <c r="X55" s="112"/>
      <c r="Y55" s="112"/>
      <c r="Z55" s="112"/>
    </row>
    <row r="56" spans="1:26" ht="30" customHeight="1" x14ac:dyDescent="0.2">
      <c r="A56" s="46"/>
      <c r="B56" s="48" t="s">
        <v>387</v>
      </c>
      <c r="C56" s="65"/>
      <c r="D56" s="66"/>
      <c r="E56" s="46"/>
      <c r="F56" s="66"/>
      <c r="G56" s="66"/>
      <c r="H56" s="52"/>
      <c r="I56" s="52"/>
      <c r="J56" s="52"/>
      <c r="K56" s="52"/>
      <c r="L56" s="52"/>
      <c r="M56" s="52"/>
      <c r="N56" s="52"/>
      <c r="O56" s="52"/>
      <c r="P56" s="52"/>
      <c r="Q56" s="52"/>
      <c r="R56" s="52"/>
      <c r="S56" s="52"/>
      <c r="T56" s="52"/>
      <c r="U56" s="52"/>
      <c r="V56" s="52"/>
      <c r="W56" s="52"/>
      <c r="X56" s="52"/>
      <c r="Y56" s="52"/>
      <c r="Z56" s="52"/>
    </row>
    <row r="57" spans="1:26" ht="12.75" customHeight="1" x14ac:dyDescent="0.2">
      <c r="A57" s="26"/>
      <c r="B57" s="58" t="s">
        <v>388</v>
      </c>
      <c r="C57" s="28">
        <v>0.19639999999999999</v>
      </c>
      <c r="D57" s="58" t="s">
        <v>389</v>
      </c>
      <c r="E57" s="26"/>
      <c r="F57" s="58" t="s">
        <v>390</v>
      </c>
      <c r="G57" s="58">
        <v>2012</v>
      </c>
      <c r="H57" s="29"/>
      <c r="I57" s="29"/>
      <c r="J57" s="29"/>
      <c r="K57" s="29"/>
      <c r="L57" s="29"/>
      <c r="M57" s="29"/>
      <c r="N57" s="29"/>
      <c r="O57" s="29"/>
      <c r="P57" s="29"/>
      <c r="Q57" s="29"/>
      <c r="R57" s="29"/>
      <c r="S57" s="29"/>
      <c r="T57" s="29"/>
      <c r="U57" s="29"/>
      <c r="V57" s="29"/>
      <c r="W57" s="29"/>
      <c r="X57" s="29"/>
      <c r="Y57" s="29"/>
      <c r="Z57" s="29"/>
    </row>
    <row r="58" spans="1:26" ht="12.75" customHeight="1" x14ac:dyDescent="0.2">
      <c r="A58" s="26"/>
      <c r="B58" s="58" t="s">
        <v>391</v>
      </c>
      <c r="C58" s="28">
        <v>0.04</v>
      </c>
      <c r="D58" s="58" t="s">
        <v>392</v>
      </c>
      <c r="E58" s="26" t="s">
        <v>393</v>
      </c>
      <c r="F58" s="58" t="s">
        <v>394</v>
      </c>
      <c r="G58" s="58">
        <v>2015</v>
      </c>
      <c r="H58" s="29"/>
      <c r="I58" s="29"/>
      <c r="J58" s="29"/>
      <c r="K58" s="29"/>
      <c r="L58" s="29"/>
      <c r="M58" s="29"/>
      <c r="N58" s="29"/>
      <c r="O58" s="29"/>
      <c r="P58" s="29"/>
      <c r="Q58" s="29"/>
      <c r="R58" s="29"/>
      <c r="S58" s="29"/>
      <c r="T58" s="29"/>
      <c r="U58" s="29"/>
      <c r="V58" s="29"/>
      <c r="W58" s="29"/>
      <c r="X58" s="29"/>
      <c r="Y58" s="29"/>
      <c r="Z58" s="29"/>
    </row>
    <row r="59" spans="1:26" ht="12.75" customHeight="1" x14ac:dyDescent="0.2">
      <c r="A59" s="26"/>
      <c r="B59" s="58" t="s">
        <v>395</v>
      </c>
      <c r="C59" s="74">
        <v>3.68</v>
      </c>
      <c r="D59" s="58" t="s">
        <v>396</v>
      </c>
      <c r="E59" s="26"/>
      <c r="F59" s="58" t="s">
        <v>397</v>
      </c>
      <c r="G59" s="58">
        <v>2012</v>
      </c>
      <c r="H59" s="29"/>
      <c r="I59" s="29"/>
      <c r="J59" s="29"/>
      <c r="K59" s="29"/>
      <c r="L59" s="29"/>
      <c r="M59" s="29"/>
      <c r="N59" s="29"/>
      <c r="O59" s="29"/>
      <c r="P59" s="29"/>
      <c r="Q59" s="29"/>
      <c r="R59" s="29"/>
      <c r="S59" s="29"/>
      <c r="T59" s="29"/>
      <c r="U59" s="29"/>
      <c r="V59" s="29"/>
      <c r="W59" s="29"/>
      <c r="X59" s="29"/>
      <c r="Y59" s="29"/>
      <c r="Z59" s="29"/>
    </row>
    <row r="60" spans="1:26" ht="27.75" customHeight="1" x14ac:dyDescent="0.2">
      <c r="A60" s="46"/>
      <c r="B60" s="48" t="s">
        <v>398</v>
      </c>
      <c r="C60" s="113"/>
      <c r="D60" s="66"/>
      <c r="E60" s="46"/>
      <c r="F60" s="66"/>
      <c r="G60" s="66"/>
      <c r="H60" s="52"/>
      <c r="I60" s="52"/>
      <c r="J60" s="52"/>
      <c r="K60" s="52"/>
      <c r="L60" s="52"/>
      <c r="M60" s="52"/>
      <c r="N60" s="52"/>
      <c r="O60" s="52"/>
      <c r="P60" s="52"/>
      <c r="Q60" s="52"/>
      <c r="R60" s="52"/>
      <c r="S60" s="52"/>
      <c r="T60" s="52"/>
      <c r="U60" s="52"/>
      <c r="V60" s="52"/>
      <c r="W60" s="52"/>
      <c r="X60" s="52"/>
      <c r="Y60" s="52"/>
      <c r="Z60" s="52"/>
    </row>
    <row r="61" spans="1:26" ht="12.75" customHeight="1" x14ac:dyDescent="0.2">
      <c r="A61" s="26"/>
      <c r="B61" s="58" t="s">
        <v>399</v>
      </c>
      <c r="C61" s="28">
        <f>3%</f>
        <v>0.03</v>
      </c>
      <c r="D61" s="58" t="s">
        <v>392</v>
      </c>
      <c r="E61" s="26"/>
      <c r="F61" s="58" t="s">
        <v>400</v>
      </c>
      <c r="G61" s="58">
        <v>2006</v>
      </c>
      <c r="H61" s="29"/>
      <c r="I61" s="29"/>
      <c r="J61" s="29"/>
      <c r="K61" s="29"/>
      <c r="L61" s="29"/>
      <c r="M61" s="29"/>
      <c r="N61" s="29"/>
      <c r="O61" s="29"/>
      <c r="P61" s="29"/>
      <c r="Q61" s="29"/>
      <c r="R61" s="29"/>
      <c r="S61" s="29"/>
      <c r="T61" s="29"/>
      <c r="U61" s="29"/>
      <c r="V61" s="29"/>
      <c r="W61" s="29"/>
      <c r="X61" s="29"/>
      <c r="Y61" s="29"/>
      <c r="Z61" s="29"/>
    </row>
    <row r="62" spans="1:26" ht="12.75" customHeight="1" x14ac:dyDescent="0.2">
      <c r="A62" s="26"/>
      <c r="B62" s="58" t="s">
        <v>401</v>
      </c>
      <c r="C62" s="114">
        <f>2872.54/4579.951</f>
        <v>0.62719884994402775</v>
      </c>
      <c r="D62" s="58" t="s">
        <v>392</v>
      </c>
      <c r="E62" s="26" t="s">
        <v>402</v>
      </c>
      <c r="F62" s="58" t="s">
        <v>403</v>
      </c>
      <c r="G62" s="58">
        <v>2009</v>
      </c>
      <c r="H62" s="29"/>
      <c r="I62" s="29"/>
      <c r="J62" s="29"/>
      <c r="K62" s="29"/>
      <c r="L62" s="29"/>
      <c r="M62" s="29"/>
      <c r="N62" s="29"/>
      <c r="O62" s="29"/>
      <c r="P62" s="29"/>
      <c r="Q62" s="29"/>
      <c r="R62" s="29"/>
      <c r="S62" s="29"/>
      <c r="T62" s="29"/>
      <c r="U62" s="29"/>
      <c r="V62" s="29"/>
      <c r="W62" s="29"/>
      <c r="X62" s="29"/>
      <c r="Y62" s="29"/>
      <c r="Z62" s="29"/>
    </row>
    <row r="63" spans="1:26" ht="12.75" customHeight="1" x14ac:dyDescent="0.2">
      <c r="A63" s="26"/>
      <c r="B63" s="58" t="s">
        <v>404</v>
      </c>
      <c r="C63" s="114">
        <f>119.558/1286.112</f>
        <v>9.2960799681520739E-2</v>
      </c>
      <c r="D63" s="58" t="s">
        <v>392</v>
      </c>
      <c r="E63" s="26" t="s">
        <v>405</v>
      </c>
      <c r="F63" s="58" t="s">
        <v>403</v>
      </c>
      <c r="G63" s="58">
        <v>2009</v>
      </c>
      <c r="H63" s="29"/>
      <c r="I63" s="29"/>
      <c r="J63" s="29"/>
      <c r="K63" s="29"/>
      <c r="L63" s="29"/>
      <c r="M63" s="29"/>
      <c r="N63" s="29"/>
      <c r="O63" s="29"/>
      <c r="P63" s="29"/>
      <c r="Q63" s="29"/>
      <c r="R63" s="29"/>
      <c r="S63" s="29"/>
      <c r="T63" s="29"/>
      <c r="U63" s="29"/>
      <c r="V63" s="29"/>
      <c r="W63" s="29"/>
      <c r="X63" s="29"/>
      <c r="Y63" s="29"/>
      <c r="Z63" s="29"/>
    </row>
    <row r="64" spans="1:26" ht="12.75" customHeight="1" x14ac:dyDescent="0.2">
      <c r="A64" s="26"/>
      <c r="B64" s="58" t="s">
        <v>406</v>
      </c>
      <c r="C64" s="114">
        <f>3675.131/4214.483</f>
        <v>0.87202416049607978</v>
      </c>
      <c r="D64" s="58" t="s">
        <v>392</v>
      </c>
      <c r="E64" s="26" t="s">
        <v>407</v>
      </c>
      <c r="F64" s="58" t="s">
        <v>403</v>
      </c>
      <c r="G64" s="58">
        <v>2009</v>
      </c>
      <c r="H64" s="29"/>
      <c r="I64" s="29"/>
      <c r="J64" s="29"/>
      <c r="K64" s="29"/>
      <c r="L64" s="29"/>
      <c r="M64" s="29"/>
      <c r="N64" s="29"/>
      <c r="O64" s="29"/>
      <c r="P64" s="29"/>
      <c r="Q64" s="29"/>
      <c r="R64" s="29"/>
      <c r="S64" s="29"/>
      <c r="T64" s="29"/>
      <c r="U64" s="29"/>
      <c r="V64" s="29"/>
      <c r="W64" s="29"/>
      <c r="X64" s="29"/>
      <c r="Y64" s="29"/>
      <c r="Z64" s="29"/>
    </row>
    <row r="65" spans="1:26" ht="12.75" customHeight="1" x14ac:dyDescent="0.2">
      <c r="A65" s="26"/>
      <c r="B65" s="58" t="s">
        <v>408</v>
      </c>
      <c r="C65" s="114">
        <f>3753.631/5384.413</f>
        <v>0.69712910209525158</v>
      </c>
      <c r="D65" s="58" t="s">
        <v>392</v>
      </c>
      <c r="E65" s="26" t="s">
        <v>409</v>
      </c>
      <c r="F65" s="58" t="s">
        <v>403</v>
      </c>
      <c r="G65" s="58">
        <v>2009</v>
      </c>
      <c r="H65" s="29"/>
      <c r="I65" s="29"/>
      <c r="J65" s="29"/>
      <c r="K65" s="29"/>
      <c r="L65" s="29"/>
      <c r="M65" s="29"/>
      <c r="N65" s="29"/>
      <c r="O65" s="29"/>
      <c r="P65" s="29"/>
      <c r="Q65" s="29"/>
      <c r="R65" s="29"/>
      <c r="S65" s="29"/>
      <c r="T65" s="29"/>
      <c r="U65" s="29"/>
      <c r="V65" s="29"/>
      <c r="W65" s="29"/>
      <c r="X65" s="29"/>
      <c r="Y65" s="29"/>
      <c r="Z65" s="29"/>
    </row>
    <row r="66" spans="1:26" ht="12.75" customHeight="1" x14ac:dyDescent="0.2">
      <c r="A66" s="26"/>
      <c r="B66" s="58" t="s">
        <v>410</v>
      </c>
      <c r="C66" s="62">
        <f>186.188/1286.112</f>
        <v>0.1447681072877012</v>
      </c>
      <c r="D66" s="58" t="s">
        <v>392</v>
      </c>
      <c r="E66" s="26" t="s">
        <v>411</v>
      </c>
      <c r="F66" s="58" t="s">
        <v>403</v>
      </c>
      <c r="G66" s="58">
        <v>2009</v>
      </c>
      <c r="H66" s="29"/>
      <c r="I66" s="29"/>
      <c r="J66" s="29"/>
      <c r="K66" s="29"/>
      <c r="L66" s="29"/>
      <c r="M66" s="29"/>
      <c r="N66" s="29"/>
      <c r="O66" s="29"/>
      <c r="P66" s="29"/>
      <c r="Q66" s="29"/>
      <c r="R66" s="29"/>
      <c r="S66" s="29"/>
      <c r="T66" s="29"/>
      <c r="U66" s="29"/>
      <c r="V66" s="29"/>
      <c r="W66" s="29"/>
      <c r="X66" s="29"/>
      <c r="Y66" s="29"/>
      <c r="Z66" s="29"/>
    </row>
    <row r="67" spans="1:26" ht="12.75" customHeight="1" x14ac:dyDescent="0.2">
      <c r="A67" s="26"/>
      <c r="B67" s="58" t="s">
        <v>412</v>
      </c>
      <c r="C67" s="28">
        <f>6%</f>
        <v>0.06</v>
      </c>
      <c r="D67" s="58" t="s">
        <v>392</v>
      </c>
      <c r="E67" s="26"/>
      <c r="F67" s="58" t="s">
        <v>413</v>
      </c>
      <c r="G67" s="58">
        <v>2004</v>
      </c>
      <c r="H67" s="29"/>
      <c r="I67" s="29"/>
      <c r="J67" s="29"/>
      <c r="K67" s="29"/>
      <c r="L67" s="29"/>
      <c r="M67" s="29"/>
      <c r="N67" s="29"/>
      <c r="O67" s="29"/>
      <c r="P67" s="29"/>
      <c r="Q67" s="29"/>
      <c r="R67" s="29"/>
      <c r="S67" s="29"/>
      <c r="T67" s="29"/>
      <c r="U67" s="29"/>
      <c r="V67" s="29"/>
      <c r="W67" s="29"/>
      <c r="X67" s="29"/>
      <c r="Y67" s="29"/>
      <c r="Z67" s="29"/>
    </row>
    <row r="68" spans="1:26" ht="12.75" customHeight="1" x14ac:dyDescent="0.2">
      <c r="A68" s="26"/>
      <c r="B68" s="58" t="s">
        <v>414</v>
      </c>
      <c r="C68" s="77">
        <f>(C70+C72)-(C69+C71)</f>
        <v>107.1</v>
      </c>
      <c r="D68" s="58" t="s">
        <v>415</v>
      </c>
      <c r="E68" s="26" t="s">
        <v>416</v>
      </c>
      <c r="F68" s="58" t="s">
        <v>269</v>
      </c>
      <c r="G68" s="58">
        <v>2014</v>
      </c>
      <c r="H68" s="29"/>
      <c r="I68" s="29"/>
      <c r="J68" s="29"/>
      <c r="K68" s="29"/>
      <c r="L68" s="29"/>
      <c r="M68" s="29"/>
      <c r="N68" s="29"/>
      <c r="O68" s="29"/>
      <c r="P68" s="29"/>
      <c r="Q68" s="29"/>
      <c r="R68" s="29"/>
      <c r="S68" s="29"/>
      <c r="T68" s="29"/>
      <c r="U68" s="29"/>
      <c r="V68" s="29"/>
      <c r="W68" s="29"/>
      <c r="X68" s="29"/>
      <c r="Y68" s="29"/>
      <c r="Z68" s="29"/>
    </row>
    <row r="69" spans="1:26" ht="12.75" customHeight="1" x14ac:dyDescent="0.2">
      <c r="A69" s="26"/>
      <c r="B69" s="58" t="s">
        <v>417</v>
      </c>
      <c r="C69" s="77">
        <v>70.7</v>
      </c>
      <c r="D69" s="58" t="s">
        <v>415</v>
      </c>
      <c r="E69" s="26"/>
      <c r="F69" s="58" t="s">
        <v>418</v>
      </c>
      <c r="G69" s="58">
        <v>2014</v>
      </c>
      <c r="H69" s="29"/>
      <c r="I69" s="29"/>
      <c r="J69" s="29"/>
      <c r="K69" s="29"/>
      <c r="L69" s="29"/>
      <c r="M69" s="29"/>
      <c r="N69" s="29"/>
      <c r="O69" s="29"/>
      <c r="P69" s="29"/>
      <c r="Q69" s="29"/>
      <c r="R69" s="29"/>
      <c r="S69" s="29"/>
      <c r="T69" s="29"/>
      <c r="U69" s="29"/>
      <c r="V69" s="29"/>
      <c r="W69" s="29"/>
      <c r="X69" s="29"/>
      <c r="Y69" s="29"/>
      <c r="Z69" s="29"/>
    </row>
    <row r="70" spans="1:26" ht="12.75" customHeight="1" x14ac:dyDescent="0.2">
      <c r="A70" s="26"/>
      <c r="B70" s="58" t="s">
        <v>419</v>
      </c>
      <c r="C70" s="77">
        <v>143</v>
      </c>
      <c r="D70" s="58" t="s">
        <v>415</v>
      </c>
      <c r="E70" s="26"/>
      <c r="F70" s="58" t="s">
        <v>418</v>
      </c>
      <c r="G70" s="58">
        <v>2014</v>
      </c>
      <c r="H70" s="29"/>
      <c r="I70" s="29"/>
      <c r="J70" s="29"/>
      <c r="K70" s="29"/>
      <c r="L70" s="29"/>
      <c r="M70" s="29"/>
      <c r="N70" s="29"/>
      <c r="O70" s="29"/>
      <c r="P70" s="29"/>
      <c r="Q70" s="29"/>
      <c r="R70" s="29"/>
      <c r="S70" s="29"/>
      <c r="T70" s="29"/>
      <c r="U70" s="29"/>
      <c r="V70" s="29"/>
      <c r="W70" s="29"/>
      <c r="X70" s="29"/>
      <c r="Y70" s="29"/>
      <c r="Z70" s="29"/>
    </row>
    <row r="71" spans="1:26" ht="12.75" customHeight="1" x14ac:dyDescent="0.2">
      <c r="A71" s="26"/>
      <c r="B71" s="58" t="s">
        <v>420</v>
      </c>
      <c r="C71" s="77">
        <v>31.7</v>
      </c>
      <c r="D71" s="58" t="s">
        <v>415</v>
      </c>
      <c r="E71" s="26"/>
      <c r="F71" s="58" t="s">
        <v>418</v>
      </c>
      <c r="G71" s="58">
        <v>2014</v>
      </c>
      <c r="H71" s="29"/>
      <c r="I71" s="29"/>
      <c r="J71" s="29"/>
      <c r="K71" s="29"/>
      <c r="L71" s="29"/>
      <c r="M71" s="29"/>
      <c r="N71" s="29"/>
      <c r="O71" s="29"/>
      <c r="P71" s="29"/>
      <c r="Q71" s="29"/>
      <c r="R71" s="29"/>
      <c r="S71" s="29"/>
      <c r="T71" s="29"/>
      <c r="U71" s="29"/>
      <c r="V71" s="29"/>
      <c r="W71" s="29"/>
      <c r="X71" s="29"/>
      <c r="Y71" s="29"/>
      <c r="Z71" s="29"/>
    </row>
    <row r="72" spans="1:26" ht="12.75" customHeight="1" x14ac:dyDescent="0.2">
      <c r="A72" s="26"/>
      <c r="B72" s="58" t="s">
        <v>421</v>
      </c>
      <c r="C72" s="77">
        <v>66.5</v>
      </c>
      <c r="D72" s="58" t="s">
        <v>415</v>
      </c>
      <c r="E72" s="26"/>
      <c r="F72" s="58" t="s">
        <v>418</v>
      </c>
      <c r="G72" s="58">
        <v>2014</v>
      </c>
      <c r="H72" s="29"/>
      <c r="I72" s="29"/>
      <c r="J72" s="29"/>
      <c r="K72" s="29"/>
      <c r="L72" s="29"/>
      <c r="M72" s="29"/>
      <c r="N72" s="29"/>
      <c r="O72" s="29"/>
      <c r="P72" s="29"/>
      <c r="Q72" s="29"/>
      <c r="R72" s="29"/>
      <c r="S72" s="29"/>
      <c r="T72" s="29"/>
      <c r="U72" s="29"/>
      <c r="V72" s="29"/>
      <c r="W72" s="29"/>
      <c r="X72" s="29"/>
      <c r="Y72" s="29"/>
      <c r="Z72" s="29"/>
    </row>
    <row r="73" spans="1:26" ht="12.75" customHeight="1" x14ac:dyDescent="0.2">
      <c r="A73" s="26"/>
      <c r="B73" s="58" t="s">
        <v>422</v>
      </c>
      <c r="C73" s="28">
        <v>0.96</v>
      </c>
      <c r="D73" s="58" t="s">
        <v>423</v>
      </c>
      <c r="E73" s="26" t="s">
        <v>424</v>
      </c>
      <c r="F73" s="58" t="s">
        <v>418</v>
      </c>
      <c r="G73" s="58">
        <v>2014</v>
      </c>
      <c r="H73" s="29"/>
      <c r="I73" s="29"/>
      <c r="J73" s="29"/>
      <c r="K73" s="29"/>
      <c r="L73" s="29"/>
      <c r="M73" s="29"/>
      <c r="N73" s="29"/>
      <c r="O73" s="29"/>
      <c r="P73" s="29"/>
      <c r="Q73" s="29"/>
      <c r="R73" s="29"/>
      <c r="S73" s="29"/>
      <c r="T73" s="29"/>
      <c r="U73" s="29"/>
      <c r="V73" s="29"/>
      <c r="W73" s="29"/>
      <c r="X73" s="29"/>
      <c r="Y73" s="29"/>
      <c r="Z73" s="29"/>
    </row>
    <row r="74" spans="1:26" ht="12.75" customHeight="1" x14ac:dyDescent="0.2">
      <c r="A74" s="26"/>
      <c r="B74" s="58" t="s">
        <v>425</v>
      </c>
      <c r="C74" s="64">
        <v>769</v>
      </c>
      <c r="D74" s="58" t="s">
        <v>426</v>
      </c>
      <c r="E74" s="26"/>
      <c r="F74" s="58" t="s">
        <v>427</v>
      </c>
      <c r="G74" s="58">
        <v>2014</v>
      </c>
      <c r="H74" s="29"/>
      <c r="I74" s="29"/>
      <c r="J74" s="29"/>
      <c r="K74" s="29"/>
      <c r="L74" s="29"/>
      <c r="M74" s="29"/>
      <c r="N74" s="29"/>
      <c r="O74" s="29"/>
      <c r="P74" s="29"/>
      <c r="Q74" s="29"/>
      <c r="R74" s="29"/>
      <c r="S74" s="29"/>
      <c r="T74" s="29"/>
      <c r="U74" s="29"/>
      <c r="V74" s="29"/>
      <c r="W74" s="29"/>
      <c r="X74" s="29"/>
      <c r="Y74" s="29"/>
      <c r="Z74" s="29"/>
    </row>
    <row r="75" spans="1:26" ht="12.75" customHeight="1" x14ac:dyDescent="0.2">
      <c r="A75" s="26"/>
      <c r="B75" s="58" t="s">
        <v>428</v>
      </c>
      <c r="C75" s="74">
        <v>1.5800000000000002E-2</v>
      </c>
      <c r="D75" s="58" t="s">
        <v>429</v>
      </c>
      <c r="E75" s="26"/>
      <c r="F75" s="58" t="s">
        <v>430</v>
      </c>
      <c r="G75" s="58" t="s">
        <v>431</v>
      </c>
      <c r="H75" s="29"/>
      <c r="I75" s="29"/>
      <c r="J75" s="29"/>
      <c r="K75" s="29"/>
      <c r="L75" s="29"/>
      <c r="M75" s="29"/>
      <c r="N75" s="29"/>
      <c r="O75" s="29"/>
      <c r="P75" s="29"/>
      <c r="Q75" s="29"/>
      <c r="R75" s="29"/>
      <c r="S75" s="29"/>
      <c r="T75" s="29"/>
      <c r="U75" s="29"/>
      <c r="V75" s="29"/>
      <c r="W75" s="29"/>
      <c r="X75" s="29"/>
      <c r="Y75" s="29"/>
      <c r="Z75" s="29"/>
    </row>
    <row r="76" spans="1:26" ht="12.75" customHeight="1" x14ac:dyDescent="0.2">
      <c r="A76" s="26"/>
      <c r="B76" s="58" t="s">
        <v>432</v>
      </c>
      <c r="C76" s="28">
        <v>33</v>
      </c>
      <c r="D76" s="58" t="s">
        <v>423</v>
      </c>
      <c r="E76" s="26" t="s">
        <v>433</v>
      </c>
      <c r="F76" s="58" t="s">
        <v>418</v>
      </c>
      <c r="G76" s="58">
        <v>2014</v>
      </c>
      <c r="H76" s="29"/>
      <c r="I76" s="29"/>
      <c r="J76" s="29"/>
      <c r="K76" s="29"/>
      <c r="L76" s="29"/>
      <c r="M76" s="29"/>
      <c r="N76" s="29"/>
      <c r="O76" s="29"/>
      <c r="P76" s="29"/>
      <c r="Q76" s="29"/>
      <c r="R76" s="29"/>
      <c r="S76" s="29"/>
      <c r="T76" s="29"/>
      <c r="U76" s="29"/>
      <c r="V76" s="29"/>
      <c r="W76" s="29"/>
      <c r="X76" s="29"/>
      <c r="Y76" s="29"/>
      <c r="Z76" s="29"/>
    </row>
    <row r="77" spans="1:26" ht="12.75" customHeight="1" x14ac:dyDescent="0.2">
      <c r="A77" s="26"/>
      <c r="B77" s="58" t="s">
        <v>434</v>
      </c>
      <c r="C77" s="74">
        <v>4</v>
      </c>
      <c r="D77" s="58" t="s">
        <v>429</v>
      </c>
      <c r="E77" s="26" t="s">
        <v>433</v>
      </c>
      <c r="F77" s="58" t="s">
        <v>418</v>
      </c>
      <c r="G77" s="58">
        <v>2014</v>
      </c>
      <c r="H77" s="29"/>
      <c r="I77" s="29"/>
      <c r="J77" s="29"/>
      <c r="K77" s="29"/>
      <c r="L77" s="29"/>
      <c r="M77" s="29"/>
      <c r="N77" s="29"/>
      <c r="O77" s="29"/>
      <c r="P77" s="29"/>
      <c r="Q77" s="29"/>
      <c r="R77" s="29"/>
      <c r="S77" s="29"/>
      <c r="T77" s="29"/>
      <c r="U77" s="29"/>
      <c r="V77" s="29"/>
      <c r="W77" s="29"/>
      <c r="X77" s="29"/>
      <c r="Y77" s="29"/>
      <c r="Z77" s="29"/>
    </row>
    <row r="78" spans="1:26" ht="12.75" customHeight="1" x14ac:dyDescent="0.2">
      <c r="A78" s="26"/>
      <c r="B78" s="58" t="s">
        <v>435</v>
      </c>
      <c r="C78" s="28">
        <v>488</v>
      </c>
      <c r="D78" s="58" t="s">
        <v>426</v>
      </c>
      <c r="E78" s="29"/>
      <c r="F78" s="58" t="s">
        <v>418</v>
      </c>
      <c r="G78" s="58">
        <v>2014</v>
      </c>
      <c r="H78" s="29"/>
      <c r="I78" s="29"/>
      <c r="J78" s="29"/>
      <c r="K78" s="29"/>
      <c r="L78" s="29"/>
      <c r="M78" s="29"/>
      <c r="N78" s="29"/>
      <c r="O78" s="29"/>
      <c r="P78" s="29"/>
      <c r="Q78" s="29"/>
      <c r="R78" s="29"/>
      <c r="S78" s="29"/>
      <c r="T78" s="29"/>
      <c r="U78" s="29"/>
      <c r="V78" s="29"/>
      <c r="W78" s="29"/>
      <c r="X78" s="29"/>
      <c r="Y78" s="29"/>
      <c r="Z78" s="29"/>
    </row>
    <row r="79" spans="1:26" ht="12.75" customHeight="1" x14ac:dyDescent="0.2">
      <c r="A79" s="26"/>
      <c r="B79" s="58" t="s">
        <v>436</v>
      </c>
      <c r="C79" s="28">
        <v>810</v>
      </c>
      <c r="D79" s="58" t="s">
        <v>426</v>
      </c>
      <c r="E79" s="26" t="s">
        <v>437</v>
      </c>
      <c r="F79" s="58" t="s">
        <v>418</v>
      </c>
      <c r="G79" s="58">
        <v>2014</v>
      </c>
      <c r="H79" s="29"/>
      <c r="I79" s="29"/>
      <c r="J79" s="29"/>
      <c r="K79" s="29"/>
      <c r="L79" s="29"/>
      <c r="M79" s="29"/>
      <c r="N79" s="29"/>
      <c r="O79" s="29"/>
      <c r="P79" s="29"/>
      <c r="Q79" s="29"/>
      <c r="R79" s="29"/>
      <c r="S79" s="29"/>
      <c r="T79" s="29"/>
      <c r="U79" s="29"/>
      <c r="V79" s="29"/>
      <c r="W79" s="29"/>
      <c r="X79" s="29"/>
      <c r="Y79" s="29"/>
      <c r="Z79" s="29"/>
    </row>
    <row r="80" spans="1:26" ht="12.75" customHeight="1" x14ac:dyDescent="0.2">
      <c r="A80" s="26"/>
      <c r="B80" s="58" t="s">
        <v>438</v>
      </c>
      <c r="C80" s="28">
        <f>conventional_fridge_kWh-ENERGYSTAR_fridge_kWh</f>
        <v>322</v>
      </c>
      <c r="D80" s="58" t="s">
        <v>426</v>
      </c>
      <c r="E80" s="58" t="s">
        <v>439</v>
      </c>
      <c r="F80" s="26" t="s">
        <v>269</v>
      </c>
      <c r="G80" s="58">
        <v>2014</v>
      </c>
      <c r="H80" s="29"/>
      <c r="I80" s="29"/>
      <c r="J80" s="29"/>
      <c r="K80" s="29"/>
      <c r="L80" s="29"/>
      <c r="M80" s="29"/>
      <c r="N80" s="29"/>
      <c r="O80" s="29"/>
      <c r="P80" s="29"/>
      <c r="Q80" s="29"/>
      <c r="R80" s="29"/>
      <c r="S80" s="29"/>
      <c r="T80" s="29"/>
      <c r="U80" s="29"/>
      <c r="V80" s="29"/>
      <c r="W80" s="29"/>
      <c r="X80" s="29"/>
      <c r="Y80" s="29"/>
      <c r="Z80" s="29"/>
    </row>
    <row r="81" spans="1:26" ht="12.75" customHeight="1" x14ac:dyDescent="0.2">
      <c r="A81" s="26"/>
      <c r="B81" s="58" t="s">
        <v>440</v>
      </c>
      <c r="C81" s="115">
        <v>728</v>
      </c>
      <c r="D81" s="58" t="s">
        <v>441</v>
      </c>
      <c r="E81" s="26" t="s">
        <v>372</v>
      </c>
      <c r="F81" s="58" t="s">
        <v>442</v>
      </c>
      <c r="G81" s="58">
        <v>2014</v>
      </c>
      <c r="H81" s="29"/>
      <c r="I81" s="29"/>
      <c r="J81" s="29"/>
      <c r="K81" s="29"/>
      <c r="L81" s="29"/>
      <c r="M81" s="29"/>
      <c r="N81" s="29"/>
      <c r="O81" s="29"/>
      <c r="P81" s="29"/>
      <c r="Q81" s="29"/>
      <c r="R81" s="29"/>
      <c r="S81" s="29"/>
      <c r="T81" s="29"/>
      <c r="U81" s="29"/>
      <c r="V81" s="29"/>
      <c r="W81" s="29"/>
      <c r="X81" s="29"/>
      <c r="Y81" s="29"/>
      <c r="Z81" s="29"/>
    </row>
    <row r="82" spans="1:26" ht="12.75" customHeight="1" x14ac:dyDescent="0.2">
      <c r="A82" s="26"/>
      <c r="B82" s="58" t="s">
        <v>443</v>
      </c>
      <c r="C82" s="77">
        <v>1056</v>
      </c>
      <c r="D82" s="58" t="s">
        <v>441</v>
      </c>
      <c r="E82" s="26" t="s">
        <v>384</v>
      </c>
      <c r="F82" s="58" t="s">
        <v>442</v>
      </c>
      <c r="G82" s="58">
        <v>2014</v>
      </c>
      <c r="H82" s="29"/>
      <c r="I82" s="29"/>
      <c r="J82" s="29"/>
      <c r="K82" s="29"/>
      <c r="L82" s="29"/>
      <c r="M82" s="29"/>
      <c r="N82" s="29"/>
      <c r="O82" s="29"/>
      <c r="P82" s="29"/>
      <c r="Q82" s="29"/>
      <c r="R82" s="29"/>
      <c r="S82" s="29"/>
      <c r="T82" s="29"/>
      <c r="U82" s="29"/>
      <c r="V82" s="29"/>
      <c r="W82" s="29"/>
      <c r="X82" s="29"/>
      <c r="Y82" s="29"/>
      <c r="Z82" s="29"/>
    </row>
    <row r="83" spans="1:26" ht="12.75" customHeight="1" x14ac:dyDescent="0.2">
      <c r="A83" s="26"/>
      <c r="B83" s="58" t="s">
        <v>444</v>
      </c>
      <c r="C83" s="74">
        <v>78.34</v>
      </c>
      <c r="D83" s="58" t="s">
        <v>429</v>
      </c>
      <c r="E83" s="26" t="s">
        <v>445</v>
      </c>
      <c r="F83" s="58" t="s">
        <v>442</v>
      </c>
      <c r="G83" s="58">
        <v>2014</v>
      </c>
      <c r="H83" s="29"/>
      <c r="I83" s="29"/>
      <c r="J83" s="29"/>
      <c r="K83" s="29"/>
      <c r="L83" s="29"/>
      <c r="M83" s="29"/>
      <c r="N83" s="29"/>
      <c r="O83" s="29"/>
      <c r="P83" s="29"/>
      <c r="Q83" s="29"/>
      <c r="R83" s="29"/>
      <c r="S83" s="29"/>
      <c r="T83" s="29"/>
      <c r="U83" s="29"/>
      <c r="V83" s="29"/>
      <c r="W83" s="29"/>
      <c r="X83" s="29"/>
      <c r="Y83" s="29"/>
      <c r="Z83" s="29"/>
    </row>
    <row r="84" spans="1:26" ht="12.75" customHeight="1" x14ac:dyDescent="0.2">
      <c r="A84" s="26"/>
      <c r="B84" s="58" t="s">
        <v>446</v>
      </c>
      <c r="C84" s="64">
        <v>25210000</v>
      </c>
      <c r="D84" s="58" t="s">
        <v>447</v>
      </c>
      <c r="E84" s="26" t="s">
        <v>448</v>
      </c>
      <c r="F84" s="58" t="s">
        <v>449</v>
      </c>
      <c r="G84" s="58">
        <v>2005</v>
      </c>
      <c r="H84" s="29"/>
      <c r="I84" s="29"/>
      <c r="J84" s="29"/>
      <c r="K84" s="29"/>
      <c r="L84" s="29"/>
      <c r="M84" s="29"/>
      <c r="N84" s="29"/>
      <c r="O84" s="29"/>
      <c r="P84" s="29"/>
      <c r="Q84" s="29"/>
      <c r="R84" s="29"/>
      <c r="S84" s="29"/>
      <c r="T84" s="29"/>
      <c r="U84" s="29"/>
      <c r="V84" s="29"/>
      <c r="W84" s="29"/>
      <c r="X84" s="29"/>
      <c r="Y84" s="29"/>
      <c r="Z84" s="29"/>
    </row>
    <row r="85" spans="1:26" ht="12.75" customHeight="1" x14ac:dyDescent="0.2">
      <c r="A85" s="26"/>
      <c r="B85" s="58" t="s">
        <v>450</v>
      </c>
      <c r="C85" s="116">
        <v>150</v>
      </c>
      <c r="D85" s="58" t="s">
        <v>429</v>
      </c>
      <c r="E85" s="26" t="s">
        <v>451</v>
      </c>
      <c r="F85" s="58" t="s">
        <v>452</v>
      </c>
      <c r="G85" s="58">
        <v>2011</v>
      </c>
      <c r="H85" s="29"/>
      <c r="I85" s="29"/>
      <c r="J85" s="29"/>
      <c r="K85" s="29"/>
      <c r="L85" s="29"/>
      <c r="M85" s="29"/>
      <c r="N85" s="29"/>
      <c r="O85" s="29"/>
      <c r="P85" s="29"/>
      <c r="Q85" s="29"/>
      <c r="R85" s="29"/>
      <c r="S85" s="29"/>
      <c r="T85" s="29"/>
      <c r="U85" s="29"/>
      <c r="V85" s="29"/>
      <c r="W85" s="29"/>
      <c r="X85" s="29"/>
      <c r="Y85" s="29"/>
      <c r="Z85" s="29"/>
    </row>
    <row r="86" spans="1:26" ht="27.75" customHeight="1" x14ac:dyDescent="0.2">
      <c r="A86" s="46"/>
      <c r="B86" s="48" t="s">
        <v>453</v>
      </c>
      <c r="C86" s="113"/>
      <c r="D86" s="66"/>
      <c r="E86" s="46"/>
      <c r="F86" s="66"/>
      <c r="G86" s="66"/>
      <c r="H86" s="52"/>
      <c r="I86" s="52"/>
      <c r="J86" s="52"/>
      <c r="K86" s="52"/>
      <c r="L86" s="52"/>
      <c r="M86" s="52"/>
      <c r="N86" s="52"/>
      <c r="O86" s="52"/>
      <c r="P86" s="52"/>
      <c r="Q86" s="52"/>
      <c r="R86" s="52"/>
      <c r="S86" s="52"/>
      <c r="T86" s="52"/>
      <c r="U86" s="52"/>
      <c r="V86" s="52"/>
      <c r="W86" s="52"/>
      <c r="X86" s="52"/>
      <c r="Y86" s="52"/>
      <c r="Z86" s="52"/>
    </row>
    <row r="87" spans="1:26" ht="12.75" customHeight="1" x14ac:dyDescent="0.2">
      <c r="A87" s="26"/>
      <c r="B87" s="26" t="s">
        <v>454</v>
      </c>
      <c r="C87" s="117">
        <f>44/12</f>
        <v>3.6666666666666665</v>
      </c>
      <c r="D87" s="118" t="s">
        <v>455</v>
      </c>
      <c r="E87" s="26"/>
      <c r="F87" s="26"/>
      <c r="G87" s="29"/>
      <c r="H87" s="29"/>
      <c r="I87" s="29"/>
      <c r="J87" s="29"/>
      <c r="K87" s="29"/>
      <c r="L87" s="29"/>
      <c r="M87" s="29"/>
      <c r="N87" s="29"/>
      <c r="O87" s="29"/>
      <c r="P87" s="29"/>
      <c r="Q87" s="29"/>
      <c r="R87" s="29"/>
      <c r="S87" s="29"/>
      <c r="T87" s="29"/>
      <c r="U87" s="29"/>
      <c r="V87" s="29"/>
      <c r="W87" s="29"/>
      <c r="X87" s="29"/>
      <c r="Y87" s="29"/>
      <c r="Z87" s="29"/>
    </row>
    <row r="88" spans="1:26" ht="12.75" customHeight="1" x14ac:dyDescent="0.2">
      <c r="A88" s="26"/>
      <c r="B88" s="26" t="s">
        <v>456</v>
      </c>
      <c r="C88" s="119">
        <f>10^15</f>
        <v>1000000000000000</v>
      </c>
      <c r="D88" s="118" t="s">
        <v>457</v>
      </c>
      <c r="E88" s="26"/>
      <c r="F88" s="26"/>
      <c r="G88" s="29"/>
      <c r="H88" s="29"/>
      <c r="I88" s="29"/>
      <c r="J88" s="29"/>
      <c r="K88" s="29"/>
      <c r="L88" s="29"/>
      <c r="M88" s="29"/>
      <c r="N88" s="29"/>
      <c r="O88" s="29"/>
      <c r="P88" s="29"/>
      <c r="Q88" s="29"/>
      <c r="R88" s="29"/>
      <c r="S88" s="29"/>
      <c r="T88" s="29"/>
      <c r="U88" s="29"/>
      <c r="V88" s="29"/>
      <c r="W88" s="29"/>
      <c r="X88" s="29"/>
      <c r="Y88" s="29"/>
      <c r="Z88" s="29"/>
    </row>
    <row r="89" spans="1:26" ht="12.75" customHeight="1" x14ac:dyDescent="0.2">
      <c r="A89" s="26"/>
      <c r="B89" s="26" t="s">
        <v>458</v>
      </c>
      <c r="C89" s="120">
        <f>2.20462262*10^9</f>
        <v>2204622620</v>
      </c>
      <c r="D89" s="118" t="s">
        <v>459</v>
      </c>
      <c r="E89" s="26"/>
      <c r="F89" s="26"/>
      <c r="G89" s="29"/>
      <c r="H89" s="29"/>
      <c r="I89" s="29"/>
      <c r="J89" s="29"/>
      <c r="K89" s="29"/>
      <c r="L89" s="29"/>
      <c r="M89" s="29"/>
      <c r="N89" s="29"/>
      <c r="O89" s="29"/>
      <c r="P89" s="29"/>
      <c r="Q89" s="29"/>
      <c r="R89" s="29"/>
      <c r="S89" s="29"/>
      <c r="T89" s="29"/>
      <c r="U89" s="29"/>
      <c r="V89" s="29"/>
      <c r="W89" s="29"/>
      <c r="X89" s="29"/>
      <c r="Y89" s="29"/>
      <c r="Z89" s="29"/>
    </row>
    <row r="90" spans="1:26" ht="12.75" customHeight="1" x14ac:dyDescent="0.25">
      <c r="A90" s="29"/>
      <c r="B90" s="29" t="s">
        <v>460</v>
      </c>
      <c r="C90" s="121">
        <v>2204.6226200000001</v>
      </c>
      <c r="D90" s="29" t="s">
        <v>461</v>
      </c>
      <c r="E90" s="29"/>
      <c r="F90" s="29"/>
      <c r="G90" s="29"/>
      <c r="H90" s="29"/>
      <c r="I90" s="29"/>
      <c r="J90" s="29"/>
      <c r="K90" s="29"/>
      <c r="L90" s="29"/>
      <c r="M90" s="29"/>
      <c r="N90" s="29"/>
      <c r="O90" s="29"/>
      <c r="P90" s="29"/>
      <c r="Q90" s="29"/>
      <c r="R90" s="29"/>
      <c r="S90" s="29"/>
      <c r="T90" s="29"/>
      <c r="U90" s="29"/>
      <c r="V90" s="29"/>
      <c r="W90" s="29"/>
      <c r="X90" s="29"/>
      <c r="Y90" s="29"/>
      <c r="Z90" s="29"/>
    </row>
    <row r="91" spans="1:26" ht="12.75" customHeight="1" x14ac:dyDescent="0.2">
      <c r="A91" s="26"/>
      <c r="B91" s="26" t="s">
        <v>462</v>
      </c>
      <c r="C91" s="28">
        <f>HHV_natural_gas/100000</f>
        <v>10.23</v>
      </c>
      <c r="D91" s="26" t="s">
        <v>463</v>
      </c>
      <c r="E91" s="26" t="s">
        <v>464</v>
      </c>
      <c r="F91" s="26"/>
      <c r="G91" s="29"/>
      <c r="H91" s="29"/>
      <c r="I91" s="29"/>
      <c r="J91" s="29"/>
      <c r="K91" s="29"/>
      <c r="L91" s="29"/>
      <c r="M91" s="29"/>
      <c r="N91" s="29"/>
      <c r="O91" s="29"/>
      <c r="P91" s="29"/>
      <c r="Q91" s="29"/>
      <c r="R91" s="29"/>
      <c r="S91" s="29"/>
      <c r="T91" s="29"/>
      <c r="U91" s="29"/>
      <c r="V91" s="29"/>
      <c r="W91" s="29"/>
      <c r="X91" s="29"/>
      <c r="Y91" s="29"/>
      <c r="Z91" s="29"/>
    </row>
    <row r="92" spans="1:26" ht="12.75" customHeight="1" x14ac:dyDescent="0.2">
      <c r="A92" s="26"/>
      <c r="B92" s="26" t="s">
        <v>465</v>
      </c>
      <c r="C92" s="122">
        <v>0.26417205199999999</v>
      </c>
      <c r="D92" s="26" t="s">
        <v>466</v>
      </c>
      <c r="E92" s="26"/>
      <c r="F92" s="26"/>
      <c r="G92" s="29"/>
      <c r="H92" s="29"/>
      <c r="I92" s="29"/>
      <c r="J92" s="29"/>
      <c r="K92" s="29"/>
      <c r="L92" s="29"/>
      <c r="M92" s="29"/>
      <c r="N92" s="29"/>
      <c r="O92" s="29"/>
      <c r="P92" s="29"/>
      <c r="Q92" s="29"/>
      <c r="R92" s="29"/>
      <c r="S92" s="29"/>
      <c r="T92" s="29"/>
      <c r="U92" s="29"/>
      <c r="V92" s="29"/>
      <c r="W92" s="29"/>
      <c r="X92" s="29"/>
      <c r="Y92" s="29"/>
      <c r="Z92" s="29"/>
    </row>
    <row r="93" spans="1:26" ht="12.75" customHeight="1" x14ac:dyDescent="0.2">
      <c r="A93" s="26"/>
      <c r="B93" s="26" t="s">
        <v>467</v>
      </c>
      <c r="C93" s="64">
        <v>1023000</v>
      </c>
      <c r="D93" s="26" t="s">
        <v>468</v>
      </c>
      <c r="E93" s="26" t="s">
        <v>469</v>
      </c>
      <c r="F93" s="58" t="s">
        <v>470</v>
      </c>
      <c r="G93" s="29">
        <v>2011</v>
      </c>
      <c r="H93" s="29"/>
      <c r="I93" s="29"/>
      <c r="J93" s="29"/>
      <c r="K93" s="29"/>
      <c r="L93" s="29"/>
      <c r="M93" s="29"/>
      <c r="N93" s="29"/>
      <c r="O93" s="29"/>
      <c r="P93" s="29"/>
      <c r="Q93" s="29"/>
      <c r="R93" s="29"/>
      <c r="S93" s="29"/>
      <c r="T93" s="29"/>
      <c r="U93" s="29"/>
      <c r="V93" s="29"/>
      <c r="W93" s="29"/>
      <c r="X93" s="29"/>
      <c r="Y93" s="29"/>
      <c r="Z93" s="29"/>
    </row>
    <row r="94" spans="1:26" ht="12.75" customHeight="1" x14ac:dyDescent="0.2">
      <c r="A94" s="26"/>
      <c r="B94" s="26" t="s">
        <v>471</v>
      </c>
      <c r="C94" s="28">
        <v>3412</v>
      </c>
      <c r="D94" s="58" t="s">
        <v>472</v>
      </c>
      <c r="E94" s="26" t="s">
        <v>469</v>
      </c>
      <c r="F94" s="58" t="s">
        <v>470</v>
      </c>
      <c r="G94" s="29">
        <v>2011</v>
      </c>
      <c r="H94" s="29"/>
      <c r="I94" s="29"/>
      <c r="J94" s="29"/>
      <c r="K94" s="29"/>
      <c r="L94" s="29"/>
      <c r="M94" s="29"/>
      <c r="N94" s="29"/>
      <c r="O94" s="29"/>
      <c r="P94" s="29"/>
      <c r="Q94" s="29"/>
      <c r="R94" s="29"/>
      <c r="S94" s="29"/>
      <c r="T94" s="29"/>
      <c r="U94" s="29"/>
      <c r="V94" s="29"/>
      <c r="W94" s="29"/>
      <c r="X94" s="29"/>
      <c r="Y94" s="29"/>
      <c r="Z94" s="29"/>
    </row>
    <row r="95" spans="1:26" ht="12.75" customHeight="1" x14ac:dyDescent="0.2">
      <c r="A95" s="26"/>
      <c r="B95" s="26" t="s">
        <v>473</v>
      </c>
      <c r="C95" s="28">
        <v>5.8250000000000002</v>
      </c>
      <c r="D95" s="26" t="s">
        <v>474</v>
      </c>
      <c r="E95" s="26"/>
      <c r="F95" s="58" t="s">
        <v>470</v>
      </c>
      <c r="G95" s="29">
        <v>2011</v>
      </c>
      <c r="H95" s="29"/>
      <c r="I95" s="29"/>
      <c r="J95" s="29"/>
      <c r="K95" s="29"/>
      <c r="L95" s="29"/>
      <c r="M95" s="29"/>
      <c r="N95" s="29"/>
      <c r="O95" s="29"/>
      <c r="P95" s="29"/>
      <c r="Q95" s="29"/>
      <c r="R95" s="29"/>
      <c r="S95" s="29"/>
      <c r="T95" s="29"/>
      <c r="U95" s="29"/>
      <c r="V95" s="29"/>
      <c r="W95" s="29"/>
      <c r="X95" s="29"/>
      <c r="Y95" s="29"/>
      <c r="Z95" s="29"/>
    </row>
    <row r="96" spans="1:26" ht="12.75" customHeight="1" x14ac:dyDescent="0.2">
      <c r="A96" s="26"/>
      <c r="B96" s="26" t="s">
        <v>475</v>
      </c>
      <c r="C96" s="123">
        <f>7.46/1186.04</f>
        <v>6.2898384540150416E-3</v>
      </c>
      <c r="D96" s="26" t="s">
        <v>476</v>
      </c>
      <c r="E96" s="26"/>
      <c r="F96" s="58" t="s">
        <v>477</v>
      </c>
      <c r="G96" s="29">
        <v>2011</v>
      </c>
      <c r="H96" s="29"/>
      <c r="I96" s="29"/>
      <c r="J96" s="29"/>
      <c r="K96" s="29"/>
      <c r="L96" s="29"/>
      <c r="M96" s="29"/>
      <c r="N96" s="29"/>
      <c r="O96" s="29"/>
      <c r="P96" s="29"/>
      <c r="Q96" s="29"/>
      <c r="R96" s="29"/>
      <c r="S96" s="29"/>
      <c r="T96" s="29"/>
      <c r="U96" s="29"/>
      <c r="V96" s="29"/>
      <c r="W96" s="29"/>
      <c r="X96" s="29"/>
      <c r="Y96" s="29"/>
      <c r="Z96" s="29"/>
    </row>
    <row r="97" spans="1:26" ht="12.75" customHeight="1" x14ac:dyDescent="0.2">
      <c r="A97" s="26"/>
      <c r="B97" s="26" t="s">
        <v>478</v>
      </c>
      <c r="C97" s="124">
        <f>C95/C92*(C96)*1000000</f>
        <v>138691.08680216339</v>
      </c>
      <c r="D97" s="26" t="s">
        <v>479</v>
      </c>
      <c r="E97" s="26" t="s">
        <v>469</v>
      </c>
      <c r="F97" s="58" t="s">
        <v>269</v>
      </c>
      <c r="G97" s="29">
        <v>2011</v>
      </c>
      <c r="H97" s="29"/>
      <c r="I97" s="29"/>
      <c r="J97" s="29"/>
      <c r="K97" s="29"/>
      <c r="L97" s="29"/>
      <c r="M97" s="29"/>
      <c r="N97" s="29"/>
      <c r="O97" s="29"/>
      <c r="P97" s="29"/>
      <c r="Q97" s="29"/>
      <c r="R97" s="29"/>
      <c r="S97" s="29"/>
      <c r="T97" s="29"/>
      <c r="U97" s="29"/>
      <c r="V97" s="29"/>
      <c r="W97" s="29"/>
      <c r="X97" s="29"/>
      <c r="Y97" s="29"/>
      <c r="Z97" s="29"/>
    </row>
    <row r="98" spans="1:26" ht="12.75" customHeight="1" x14ac:dyDescent="0.2">
      <c r="A98" s="26"/>
      <c r="B98" s="26" t="s">
        <v>480</v>
      </c>
      <c r="C98" s="28">
        <v>3.8359999999999999</v>
      </c>
      <c r="D98" s="26" t="s">
        <v>474</v>
      </c>
      <c r="E98" s="26"/>
      <c r="F98" s="58" t="s">
        <v>470</v>
      </c>
      <c r="G98" s="29">
        <v>2011</v>
      </c>
      <c r="H98" s="29"/>
      <c r="I98" s="29"/>
      <c r="J98" s="29"/>
      <c r="K98" s="29"/>
      <c r="L98" s="29"/>
      <c r="M98" s="29"/>
      <c r="N98" s="29"/>
      <c r="O98" s="29"/>
      <c r="P98" s="29"/>
      <c r="Q98" s="29"/>
      <c r="R98" s="29"/>
      <c r="S98" s="29"/>
      <c r="T98" s="29"/>
      <c r="U98" s="29"/>
      <c r="V98" s="29"/>
      <c r="W98" s="29"/>
      <c r="X98" s="29"/>
      <c r="Y98" s="29"/>
      <c r="Z98" s="29"/>
    </row>
    <row r="99" spans="1:26" ht="12.75" customHeight="1" x14ac:dyDescent="0.2">
      <c r="A99" s="26"/>
      <c r="B99" s="26" t="s">
        <v>481</v>
      </c>
      <c r="C99" s="125">
        <f>11.6/1844.2</f>
        <v>6.2899902396703171E-3</v>
      </c>
      <c r="D99" s="26" t="s">
        <v>482</v>
      </c>
      <c r="E99" s="26"/>
      <c r="F99" s="58" t="s">
        <v>483</v>
      </c>
      <c r="G99" s="29">
        <v>2011</v>
      </c>
      <c r="H99" s="29"/>
      <c r="I99" s="29"/>
      <c r="J99" s="29"/>
      <c r="K99" s="29"/>
      <c r="L99" s="29"/>
      <c r="M99" s="29"/>
      <c r="N99" s="29"/>
      <c r="O99" s="29"/>
      <c r="P99" s="29"/>
      <c r="Q99" s="29"/>
      <c r="R99" s="29"/>
      <c r="S99" s="29"/>
      <c r="T99" s="29"/>
      <c r="U99" s="29"/>
      <c r="V99" s="29"/>
      <c r="W99" s="29"/>
      <c r="X99" s="29"/>
      <c r="Y99" s="29"/>
      <c r="Z99" s="29"/>
    </row>
    <row r="100" spans="1:26" ht="12.75" customHeight="1" x14ac:dyDescent="0.2">
      <c r="A100" s="26"/>
      <c r="B100" s="26" t="s">
        <v>484</v>
      </c>
      <c r="C100" s="124">
        <f>C98/C92*(C99)*1000000</f>
        <v>91335.939501182875</v>
      </c>
      <c r="D100" s="26" t="s">
        <v>485</v>
      </c>
      <c r="E100" s="26" t="s">
        <v>469</v>
      </c>
      <c r="F100" s="58" t="s">
        <v>269</v>
      </c>
      <c r="G100" s="29">
        <v>2011</v>
      </c>
      <c r="H100" s="29"/>
      <c r="I100" s="29"/>
      <c r="J100" s="29"/>
      <c r="K100" s="29"/>
      <c r="L100" s="29"/>
      <c r="M100" s="29"/>
      <c r="N100" s="29"/>
      <c r="O100" s="29"/>
      <c r="P100" s="29"/>
      <c r="Q100" s="29"/>
      <c r="R100" s="29"/>
      <c r="S100" s="29"/>
      <c r="T100" s="29"/>
      <c r="U100" s="29"/>
      <c r="V100" s="29"/>
      <c r="W100" s="29"/>
      <c r="X100" s="29"/>
      <c r="Y100" s="29"/>
      <c r="Z100" s="29"/>
    </row>
    <row r="101" spans="1:26" ht="12.75" customHeight="1" x14ac:dyDescent="0.2">
      <c r="A101" s="29"/>
      <c r="B101" s="29" t="s">
        <v>486</v>
      </c>
      <c r="C101" s="126">
        <v>2.57</v>
      </c>
      <c r="D101" s="29" t="s">
        <v>487</v>
      </c>
      <c r="E101" s="29"/>
      <c r="F101" s="58" t="s">
        <v>488</v>
      </c>
      <c r="G101" s="29">
        <v>2009</v>
      </c>
      <c r="H101" s="29"/>
      <c r="I101" s="29"/>
      <c r="J101" s="29"/>
      <c r="K101" s="29"/>
      <c r="L101" s="29"/>
      <c r="M101" s="29"/>
      <c r="N101" s="29"/>
      <c r="O101" s="29"/>
      <c r="P101" s="29"/>
      <c r="Q101" s="29"/>
      <c r="R101" s="29"/>
      <c r="S101" s="29"/>
      <c r="T101" s="29"/>
      <c r="U101" s="29"/>
      <c r="V101" s="29"/>
      <c r="W101" s="29"/>
      <c r="X101" s="29"/>
      <c r="Y101" s="29"/>
      <c r="Z101" s="29"/>
    </row>
    <row r="102" spans="1:26" ht="27.75" customHeight="1" x14ac:dyDescent="0.2">
      <c r="A102" s="46"/>
      <c r="B102" s="48" t="s">
        <v>489</v>
      </c>
      <c r="C102" s="113"/>
      <c r="D102" s="66"/>
      <c r="E102" s="46"/>
      <c r="F102" s="66"/>
      <c r="G102" s="66"/>
      <c r="H102" s="52"/>
      <c r="I102" s="52"/>
      <c r="J102" s="52"/>
      <c r="K102" s="52"/>
      <c r="L102" s="52"/>
      <c r="M102" s="52"/>
      <c r="N102" s="52"/>
      <c r="O102" s="52"/>
      <c r="P102" s="52"/>
      <c r="Q102" s="52"/>
      <c r="R102" s="52"/>
      <c r="S102" s="52"/>
      <c r="T102" s="52"/>
      <c r="U102" s="52"/>
      <c r="V102" s="52"/>
      <c r="W102" s="52"/>
      <c r="X102" s="52"/>
      <c r="Y102" s="52"/>
      <c r="Z102" s="52"/>
    </row>
    <row r="103" spans="1:26" ht="12.75" customHeight="1" x14ac:dyDescent="0.2">
      <c r="A103" s="29"/>
      <c r="B103" s="29" t="s">
        <v>490</v>
      </c>
      <c r="C103" s="127">
        <v>2392</v>
      </c>
      <c r="D103" s="29" t="s">
        <v>491</v>
      </c>
      <c r="E103" s="29"/>
      <c r="F103" s="29" t="s">
        <v>492</v>
      </c>
      <c r="G103" s="29"/>
      <c r="H103" s="29"/>
      <c r="I103" s="29"/>
      <c r="J103" s="29"/>
      <c r="K103" s="29"/>
      <c r="L103" s="29"/>
      <c r="M103" s="29"/>
      <c r="N103" s="29"/>
      <c r="O103" s="29"/>
      <c r="P103" s="29"/>
      <c r="Q103" s="29"/>
      <c r="R103" s="29"/>
      <c r="S103" s="29"/>
      <c r="T103" s="29"/>
      <c r="U103" s="29"/>
      <c r="V103" s="29"/>
      <c r="W103" s="29"/>
      <c r="X103" s="29"/>
      <c r="Y103" s="29"/>
      <c r="Z103" s="29"/>
    </row>
    <row r="104" spans="1:26" ht="27.75" customHeight="1" x14ac:dyDescent="0.2">
      <c r="A104" s="46"/>
      <c r="B104" s="48" t="s">
        <v>493</v>
      </c>
      <c r="C104" s="113"/>
      <c r="D104" s="66"/>
      <c r="E104" s="46"/>
      <c r="F104" s="66"/>
      <c r="G104" s="66"/>
      <c r="H104" s="52"/>
      <c r="I104" s="52"/>
      <c r="J104" s="52"/>
      <c r="K104" s="52"/>
      <c r="L104" s="52"/>
      <c r="M104" s="52"/>
      <c r="N104" s="52"/>
      <c r="O104" s="52"/>
      <c r="P104" s="52"/>
      <c r="Q104" s="52"/>
      <c r="R104" s="52"/>
      <c r="S104" s="52"/>
      <c r="T104" s="52"/>
      <c r="U104" s="52"/>
      <c r="V104" s="52"/>
      <c r="W104" s="52"/>
      <c r="X104" s="52"/>
      <c r="Y104" s="52"/>
      <c r="Z104" s="52"/>
    </row>
    <row r="105" spans="1:26" ht="12.75" customHeight="1" x14ac:dyDescent="0.2">
      <c r="A105" s="29"/>
      <c r="B105" s="29" t="s">
        <v>494</v>
      </c>
      <c r="C105" s="126">
        <v>3</v>
      </c>
      <c r="D105" s="29" t="s">
        <v>495</v>
      </c>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2.75" customHeight="1" x14ac:dyDescent="0.2">
      <c r="A106" s="29"/>
      <c r="B106" s="29" t="s">
        <v>496</v>
      </c>
      <c r="C106" s="126">
        <v>7</v>
      </c>
      <c r="D106" s="29" t="s">
        <v>497</v>
      </c>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2.75" customHeight="1" x14ac:dyDescent="0.2">
      <c r="A107" s="29"/>
      <c r="B107" s="29" t="s">
        <v>498</v>
      </c>
      <c r="C107" s="126">
        <v>15</v>
      </c>
      <c r="D107" s="29" t="s">
        <v>497</v>
      </c>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2.75" customHeight="1" x14ac:dyDescent="0.2">
      <c r="A108" s="29"/>
      <c r="B108" s="29" t="s">
        <v>499</v>
      </c>
      <c r="C108" s="126">
        <v>133</v>
      </c>
      <c r="D108" s="29" t="s">
        <v>500</v>
      </c>
      <c r="E108" s="29"/>
      <c r="F108" s="29" t="s">
        <v>501</v>
      </c>
      <c r="G108" s="29"/>
      <c r="H108" s="29"/>
      <c r="I108" s="29"/>
      <c r="J108" s="29"/>
      <c r="K108" s="29"/>
      <c r="L108" s="29"/>
      <c r="M108" s="29"/>
      <c r="N108" s="29"/>
      <c r="O108" s="29"/>
      <c r="P108" s="29"/>
      <c r="Q108" s="29"/>
      <c r="R108" s="29"/>
      <c r="S108" s="29"/>
      <c r="T108" s="29"/>
      <c r="U108" s="29"/>
      <c r="V108" s="29"/>
      <c r="W108" s="29"/>
      <c r="X108" s="29"/>
      <c r="Y108" s="29"/>
      <c r="Z108" s="29"/>
    </row>
    <row r="109" spans="1:26" ht="12.75" customHeight="1" x14ac:dyDescent="0.2">
      <c r="A109" s="29"/>
      <c r="B109" s="29" t="s">
        <v>502</v>
      </c>
      <c r="C109" s="126">
        <v>400</v>
      </c>
      <c r="D109" s="29" t="s">
        <v>500</v>
      </c>
      <c r="E109" s="29"/>
      <c r="F109" s="29" t="s">
        <v>501</v>
      </c>
      <c r="G109" s="29"/>
      <c r="H109" s="29"/>
      <c r="I109" s="29"/>
      <c r="J109" s="29"/>
      <c r="K109" s="29"/>
      <c r="L109" s="29"/>
      <c r="M109" s="29"/>
      <c r="N109" s="29"/>
      <c r="O109" s="29"/>
      <c r="P109" s="29"/>
      <c r="Q109" s="29"/>
      <c r="R109" s="29"/>
      <c r="S109" s="29"/>
      <c r="T109" s="29"/>
      <c r="U109" s="29"/>
      <c r="V109" s="29"/>
      <c r="W109" s="29"/>
      <c r="X109" s="29"/>
      <c r="Y109" s="29"/>
      <c r="Z109" s="29"/>
    </row>
    <row r="110" spans="1:26" ht="27.75" customHeight="1" x14ac:dyDescent="0.2">
      <c r="A110" s="46"/>
      <c r="B110" s="241" t="s">
        <v>654</v>
      </c>
      <c r="C110" s="113"/>
      <c r="D110" s="66"/>
      <c r="E110" s="46"/>
      <c r="F110" s="66"/>
      <c r="G110" s="66"/>
      <c r="H110" s="52"/>
      <c r="I110" s="52"/>
      <c r="J110" s="52"/>
      <c r="K110" s="52"/>
      <c r="L110" s="52"/>
      <c r="M110" s="52"/>
      <c r="N110" s="52"/>
      <c r="O110" s="52"/>
      <c r="P110" s="52"/>
      <c r="Q110" s="52"/>
      <c r="R110" s="52"/>
      <c r="S110" s="52"/>
      <c r="T110" s="52"/>
      <c r="U110" s="52"/>
      <c r="V110" s="52"/>
      <c r="W110" s="52"/>
      <c r="X110" s="52"/>
      <c r="Y110" s="52"/>
      <c r="Z110" s="52"/>
    </row>
    <row r="111" spans="1:26" ht="12.75" customHeight="1" x14ac:dyDescent="0.2">
      <c r="A111" s="29"/>
      <c r="B111" s="238" t="s">
        <v>652</v>
      </c>
      <c r="C111" s="126">
        <v>7.1999999999999995E-2</v>
      </c>
      <c r="D111" s="237" t="s">
        <v>651</v>
      </c>
      <c r="E111" s="29"/>
      <c r="F111" s="239" t="s">
        <v>653</v>
      </c>
      <c r="G111" s="29"/>
      <c r="H111" s="29"/>
      <c r="I111" s="29"/>
      <c r="J111" s="29"/>
      <c r="K111" s="29"/>
      <c r="L111" s="29"/>
      <c r="M111" s="29"/>
      <c r="N111" s="29"/>
      <c r="O111" s="29"/>
      <c r="P111" s="29"/>
      <c r="Q111" s="29"/>
      <c r="R111" s="29"/>
      <c r="S111" s="29"/>
      <c r="T111" s="29"/>
      <c r="U111" s="29"/>
      <c r="V111" s="29"/>
      <c r="W111" s="29"/>
      <c r="X111" s="29"/>
      <c r="Y111" s="29"/>
      <c r="Z111" s="29"/>
    </row>
    <row r="112" spans="1:26" ht="12.75" customHeight="1" x14ac:dyDescent="0.2">
      <c r="A112" s="29"/>
      <c r="B112" s="29" t="s">
        <v>504</v>
      </c>
      <c r="C112" s="126">
        <v>0.85</v>
      </c>
      <c r="D112" s="240" t="s">
        <v>651</v>
      </c>
      <c r="E112" s="29"/>
      <c r="F112" s="237" t="s">
        <v>503</v>
      </c>
      <c r="G112" s="29"/>
      <c r="H112" s="29"/>
      <c r="I112" s="29"/>
      <c r="J112" s="29"/>
      <c r="K112" s="29"/>
      <c r="L112" s="29"/>
      <c r="M112" s="29"/>
      <c r="N112" s="29"/>
      <c r="O112" s="29"/>
      <c r="P112" s="29"/>
      <c r="Q112" s="29"/>
      <c r="R112" s="29"/>
      <c r="S112" s="29"/>
      <c r="T112" s="29"/>
      <c r="U112" s="29"/>
      <c r="V112" s="29"/>
      <c r="W112" s="29"/>
      <c r="X112" s="29"/>
      <c r="Y112" s="29"/>
      <c r="Z112" s="29"/>
    </row>
    <row r="113" spans="1:26" ht="27.75" customHeight="1" x14ac:dyDescent="0.2">
      <c r="A113" s="46"/>
      <c r="B113" s="128" t="s">
        <v>505</v>
      </c>
      <c r="C113" s="113"/>
      <c r="D113" s="66"/>
      <c r="E113" s="46"/>
      <c r="F113" s="66"/>
      <c r="G113" s="66"/>
      <c r="H113" s="52"/>
      <c r="I113" s="52"/>
      <c r="J113" s="52"/>
      <c r="K113" s="52"/>
      <c r="L113" s="52"/>
      <c r="M113" s="52"/>
      <c r="N113" s="52"/>
      <c r="O113" s="52"/>
      <c r="P113" s="52"/>
      <c r="Q113" s="52"/>
      <c r="R113" s="52"/>
      <c r="S113" s="52"/>
      <c r="T113" s="52"/>
      <c r="U113" s="52"/>
      <c r="V113" s="29"/>
      <c r="W113" s="29"/>
      <c r="X113" s="29"/>
      <c r="Y113" s="29"/>
      <c r="Z113" s="29"/>
    </row>
    <row r="114" spans="1:26" ht="12.75" customHeight="1" x14ac:dyDescent="0.2">
      <c r="A114" s="29"/>
      <c r="B114" s="129" t="s">
        <v>131</v>
      </c>
      <c r="C114" s="130">
        <v>3.3</v>
      </c>
      <c r="D114" s="129" t="s">
        <v>506</v>
      </c>
      <c r="E114" s="29"/>
      <c r="F114" s="239" t="s">
        <v>583</v>
      </c>
      <c r="G114" s="29"/>
      <c r="H114" s="29"/>
      <c r="I114" s="29"/>
      <c r="J114" s="29"/>
      <c r="K114" s="29"/>
      <c r="L114" s="29"/>
      <c r="M114" s="29"/>
      <c r="N114" s="29"/>
      <c r="O114" s="29"/>
      <c r="P114" s="29"/>
      <c r="Q114" s="29"/>
      <c r="R114" s="29"/>
      <c r="S114" s="29"/>
      <c r="T114" s="29"/>
      <c r="U114" s="29"/>
      <c r="V114" s="29"/>
      <c r="W114" s="29"/>
      <c r="X114" s="29"/>
      <c r="Y114" s="29"/>
      <c r="Z114" s="29"/>
    </row>
    <row r="115" spans="1:26" ht="12.75" customHeight="1" x14ac:dyDescent="0.2">
      <c r="A115" s="29"/>
      <c r="B115" s="129" t="s">
        <v>134</v>
      </c>
      <c r="C115" s="130">
        <v>2.5</v>
      </c>
      <c r="D115" s="129" t="s">
        <v>506</v>
      </c>
      <c r="E115" s="29"/>
      <c r="F115" s="239" t="s">
        <v>583</v>
      </c>
      <c r="G115" s="29"/>
      <c r="H115" s="29"/>
      <c r="I115" s="29"/>
      <c r="J115" s="29"/>
      <c r="K115" s="29"/>
      <c r="L115" s="29"/>
      <c r="M115" s="29"/>
      <c r="N115" s="29"/>
      <c r="O115" s="29"/>
      <c r="P115" s="29"/>
      <c r="Q115" s="29"/>
      <c r="R115" s="29"/>
      <c r="S115" s="29"/>
      <c r="T115" s="29"/>
      <c r="U115" s="29"/>
      <c r="V115" s="29"/>
      <c r="W115" s="29"/>
      <c r="X115" s="29"/>
      <c r="Y115" s="29"/>
      <c r="Z115" s="29"/>
    </row>
    <row r="116" spans="1:26" ht="12.75" customHeight="1" x14ac:dyDescent="0.2">
      <c r="A116" s="29"/>
      <c r="B116" s="129" t="s">
        <v>136</v>
      </c>
      <c r="C116" s="130">
        <v>1.9</v>
      </c>
      <c r="D116" s="129" t="s">
        <v>506</v>
      </c>
      <c r="E116" s="29"/>
      <c r="F116" s="239" t="s">
        <v>583</v>
      </c>
      <c r="G116" s="29"/>
      <c r="H116" s="29"/>
      <c r="I116" s="29"/>
      <c r="J116" s="29"/>
      <c r="K116" s="29"/>
      <c r="L116" s="29"/>
      <c r="M116" s="29"/>
      <c r="N116" s="29"/>
      <c r="O116" s="29"/>
      <c r="P116" s="29"/>
      <c r="Q116" s="29"/>
      <c r="R116" s="29"/>
      <c r="S116" s="29"/>
      <c r="T116" s="29"/>
      <c r="U116" s="29"/>
      <c r="V116" s="29"/>
      <c r="W116" s="29"/>
      <c r="X116" s="29"/>
      <c r="Y116" s="29"/>
      <c r="Z116" s="29"/>
    </row>
    <row r="117" spans="1:26" ht="12.75" customHeight="1" x14ac:dyDescent="0.2">
      <c r="A117" s="29"/>
      <c r="B117" s="129" t="s">
        <v>138</v>
      </c>
      <c r="C117" s="130">
        <v>1.7</v>
      </c>
      <c r="D117" s="129" t="s">
        <v>506</v>
      </c>
      <c r="E117" s="29"/>
      <c r="F117" s="239" t="s">
        <v>583</v>
      </c>
      <c r="G117" s="29"/>
      <c r="H117" s="29"/>
      <c r="I117" s="29"/>
      <c r="J117" s="29"/>
      <c r="K117" s="29"/>
      <c r="L117" s="29"/>
      <c r="M117" s="29"/>
      <c r="N117" s="29"/>
      <c r="O117" s="29"/>
      <c r="P117" s="29"/>
      <c r="Q117" s="29"/>
      <c r="R117" s="29"/>
      <c r="S117" s="29"/>
      <c r="T117" s="29"/>
      <c r="U117" s="29"/>
      <c r="V117" s="29"/>
      <c r="W117" s="29"/>
      <c r="X117" s="29"/>
      <c r="Y117" s="29"/>
      <c r="Z117" s="29"/>
    </row>
    <row r="118" spans="1:26" ht="12.75" customHeight="1" x14ac:dyDescent="0.2">
      <c r="A118" s="29"/>
      <c r="B118" s="129" t="s">
        <v>139</v>
      </c>
      <c r="C118" s="130">
        <v>1.5</v>
      </c>
      <c r="D118" s="129" t="s">
        <v>506</v>
      </c>
      <c r="E118" s="29"/>
      <c r="F118" s="239" t="s">
        <v>583</v>
      </c>
      <c r="G118" s="29"/>
      <c r="H118" s="29"/>
      <c r="I118" s="29"/>
      <c r="J118" s="29"/>
      <c r="K118" s="29"/>
      <c r="L118" s="29"/>
      <c r="M118" s="29"/>
      <c r="N118" s="29"/>
      <c r="O118" s="29"/>
      <c r="P118" s="29"/>
      <c r="Q118" s="29"/>
      <c r="R118" s="29"/>
      <c r="S118" s="29"/>
      <c r="T118" s="29"/>
      <c r="U118" s="29"/>
      <c r="V118" s="29"/>
      <c r="W118" s="29"/>
      <c r="X118" s="29"/>
      <c r="Y118" s="29"/>
      <c r="Z118" s="29"/>
    </row>
    <row r="119" spans="1:26" ht="12.75" customHeight="1" x14ac:dyDescent="0.2">
      <c r="A119" s="29"/>
      <c r="B119" s="29"/>
      <c r="C119" s="126"/>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2.75" customHeight="1" x14ac:dyDescent="0.2">
      <c r="A120" s="29"/>
      <c r="B120" s="29"/>
      <c r="C120" s="126"/>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2.75" customHeight="1" x14ac:dyDescent="0.2">
      <c r="A121" s="29"/>
      <c r="B121" s="29"/>
      <c r="C121" s="126"/>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2.75" customHeight="1" x14ac:dyDescent="0.2">
      <c r="A122" s="29"/>
      <c r="B122" s="29"/>
      <c r="C122" s="126"/>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2.75" customHeight="1" x14ac:dyDescent="0.2">
      <c r="A123" s="29"/>
      <c r="B123" s="29"/>
      <c r="C123" s="126"/>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2.75" customHeight="1" x14ac:dyDescent="0.2">
      <c r="A124" s="29"/>
      <c r="B124" s="29"/>
      <c r="C124" s="126"/>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2.75" customHeight="1" x14ac:dyDescent="0.2">
      <c r="A125" s="29"/>
      <c r="B125" s="29"/>
      <c r="C125" s="126"/>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2.75" customHeight="1" x14ac:dyDescent="0.2">
      <c r="A126" s="29"/>
      <c r="B126" s="29"/>
      <c r="C126" s="126"/>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2.75" customHeight="1" x14ac:dyDescent="0.2">
      <c r="A127" s="29"/>
      <c r="B127" s="29"/>
      <c r="C127" s="126"/>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2.75" customHeight="1" x14ac:dyDescent="0.2">
      <c r="A128" s="29"/>
      <c r="B128" s="29"/>
      <c r="C128" s="126"/>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2.75" customHeight="1" x14ac:dyDescent="0.2">
      <c r="A129" s="29"/>
      <c r="B129" s="29"/>
      <c r="C129" s="126"/>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2.75" customHeight="1" x14ac:dyDescent="0.2">
      <c r="A130" s="29"/>
      <c r="B130" s="29"/>
      <c r="C130" s="126"/>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2.75" customHeight="1" x14ac:dyDescent="0.2">
      <c r="A131" s="29"/>
      <c r="B131" s="29"/>
      <c r="C131" s="126"/>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2.75" customHeight="1" x14ac:dyDescent="0.2">
      <c r="A132" s="29"/>
      <c r="B132" s="29"/>
      <c r="C132" s="126"/>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2.75" customHeight="1" x14ac:dyDescent="0.2">
      <c r="A133" s="29"/>
      <c r="B133" s="29"/>
      <c r="C133" s="126"/>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2.75" customHeight="1" x14ac:dyDescent="0.2">
      <c r="A134" s="29"/>
      <c r="B134" s="29"/>
      <c r="C134" s="126"/>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2.75" customHeight="1" x14ac:dyDescent="0.2">
      <c r="A135" s="29"/>
      <c r="B135" s="29"/>
      <c r="C135" s="126"/>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2.75" customHeight="1" x14ac:dyDescent="0.2">
      <c r="A136" s="29"/>
      <c r="B136" s="29"/>
      <c r="C136" s="126"/>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2.75" customHeight="1" x14ac:dyDescent="0.2">
      <c r="A137" s="29"/>
      <c r="B137" s="29"/>
      <c r="C137" s="126"/>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2.75" customHeight="1" x14ac:dyDescent="0.2">
      <c r="A138" s="29"/>
      <c r="B138" s="29"/>
      <c r="C138" s="126"/>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2.75" customHeight="1" x14ac:dyDescent="0.2">
      <c r="A139" s="29"/>
      <c r="B139" s="29"/>
      <c r="C139" s="126"/>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2.75" customHeight="1" x14ac:dyDescent="0.2">
      <c r="A140" s="29"/>
      <c r="B140" s="29"/>
      <c r="C140" s="126"/>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2.75" customHeight="1" x14ac:dyDescent="0.2">
      <c r="A141" s="29"/>
      <c r="B141" s="29"/>
      <c r="C141" s="126"/>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2.75" customHeight="1" x14ac:dyDescent="0.2">
      <c r="A142" s="29"/>
      <c r="B142" s="29"/>
      <c r="C142" s="126"/>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2.75" customHeight="1" x14ac:dyDescent="0.2">
      <c r="A143" s="29"/>
      <c r="B143" s="29"/>
      <c r="C143" s="126"/>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2.75" customHeight="1" x14ac:dyDescent="0.2">
      <c r="A144" s="29"/>
      <c r="B144" s="29"/>
      <c r="C144" s="126"/>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2.75" customHeight="1" x14ac:dyDescent="0.2">
      <c r="A145" s="29"/>
      <c r="B145" s="29"/>
      <c r="C145" s="126"/>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2.75" customHeight="1" x14ac:dyDescent="0.2">
      <c r="A146" s="29"/>
      <c r="B146" s="29"/>
      <c r="C146" s="126"/>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2.75" customHeight="1" x14ac:dyDescent="0.2">
      <c r="A147" s="29"/>
      <c r="B147" s="29"/>
      <c r="C147" s="126"/>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2.75" customHeight="1" x14ac:dyDescent="0.2">
      <c r="A148" s="29"/>
      <c r="B148" s="29"/>
      <c r="C148" s="126"/>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2.75" customHeight="1" x14ac:dyDescent="0.2">
      <c r="A149" s="29"/>
      <c r="B149" s="29"/>
      <c r="C149" s="126"/>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2.75" customHeight="1" x14ac:dyDescent="0.2">
      <c r="A150" s="29"/>
      <c r="B150" s="29"/>
      <c r="C150" s="126"/>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2.75" customHeight="1" x14ac:dyDescent="0.2">
      <c r="A151" s="29"/>
      <c r="B151" s="29"/>
      <c r="C151" s="126"/>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2.75" customHeight="1" x14ac:dyDescent="0.2">
      <c r="A152" s="29"/>
      <c r="B152" s="29"/>
      <c r="C152" s="126"/>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2.75" customHeight="1" x14ac:dyDescent="0.2">
      <c r="A153" s="29"/>
      <c r="B153" s="29"/>
      <c r="C153" s="126"/>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2.75" customHeight="1" x14ac:dyDescent="0.2">
      <c r="A154" s="29"/>
      <c r="B154" s="29"/>
      <c r="C154" s="126"/>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2.75" customHeight="1" x14ac:dyDescent="0.2">
      <c r="A155" s="29"/>
      <c r="B155" s="29"/>
      <c r="C155" s="126"/>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2.75" customHeight="1" x14ac:dyDescent="0.2">
      <c r="A156" s="29"/>
      <c r="B156" s="29"/>
      <c r="C156" s="126"/>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2.75" customHeight="1" x14ac:dyDescent="0.2">
      <c r="A157" s="29"/>
      <c r="B157" s="29"/>
      <c r="C157" s="126"/>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2.75" customHeight="1" x14ac:dyDescent="0.2">
      <c r="A158" s="29"/>
      <c r="B158" s="29"/>
      <c r="C158" s="126"/>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2.75" customHeight="1" x14ac:dyDescent="0.2">
      <c r="A159" s="29"/>
      <c r="B159" s="29"/>
      <c r="C159" s="126"/>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2.75" customHeight="1" x14ac:dyDescent="0.2">
      <c r="A160" s="29"/>
      <c r="B160" s="29"/>
      <c r="C160" s="126"/>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2.75" customHeight="1" x14ac:dyDescent="0.2">
      <c r="A161" s="29"/>
      <c r="B161" s="29"/>
      <c r="C161" s="126"/>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2.75" customHeight="1" x14ac:dyDescent="0.2">
      <c r="A162" s="29"/>
      <c r="B162" s="29"/>
      <c r="C162" s="126"/>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2.75" customHeight="1" x14ac:dyDescent="0.2">
      <c r="A163" s="29"/>
      <c r="B163" s="29"/>
      <c r="C163" s="126"/>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2.75" customHeight="1" x14ac:dyDescent="0.2">
      <c r="A164" s="29"/>
      <c r="B164" s="29"/>
      <c r="C164" s="126"/>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2.75" customHeight="1" x14ac:dyDescent="0.2">
      <c r="A165" s="29"/>
      <c r="B165" s="29"/>
      <c r="C165" s="126"/>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2.75" customHeight="1" x14ac:dyDescent="0.2">
      <c r="A166" s="29"/>
      <c r="B166" s="29"/>
      <c r="C166" s="126"/>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2.75" customHeight="1" x14ac:dyDescent="0.2">
      <c r="A167" s="29"/>
      <c r="B167" s="29"/>
      <c r="C167" s="126"/>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2.75" customHeight="1" x14ac:dyDescent="0.2">
      <c r="A168" s="29"/>
      <c r="B168" s="29"/>
      <c r="C168" s="126"/>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2.75" customHeight="1" x14ac:dyDescent="0.2">
      <c r="A169" s="29"/>
      <c r="B169" s="29"/>
      <c r="C169" s="126"/>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2.75" customHeight="1" x14ac:dyDescent="0.2">
      <c r="A170" s="29"/>
      <c r="B170" s="29"/>
      <c r="C170" s="126"/>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2.75" customHeight="1" x14ac:dyDescent="0.2">
      <c r="A171" s="29"/>
      <c r="B171" s="29"/>
      <c r="C171" s="126"/>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2.75" customHeight="1" x14ac:dyDescent="0.2">
      <c r="A172" s="29"/>
      <c r="B172" s="29"/>
      <c r="C172" s="126"/>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2.75" customHeight="1" x14ac:dyDescent="0.2">
      <c r="A173" s="29"/>
      <c r="B173" s="29"/>
      <c r="C173" s="126"/>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2.75" customHeight="1" x14ac:dyDescent="0.2">
      <c r="A174" s="29"/>
      <c r="B174" s="29"/>
      <c r="C174" s="126"/>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2.75" customHeight="1" x14ac:dyDescent="0.2">
      <c r="A175" s="29"/>
      <c r="B175" s="29"/>
      <c r="C175" s="126"/>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2.75" customHeight="1" x14ac:dyDescent="0.2">
      <c r="A176" s="29"/>
      <c r="B176" s="29"/>
      <c r="C176" s="126"/>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2.75" customHeight="1" x14ac:dyDescent="0.2">
      <c r="A177" s="29"/>
      <c r="B177" s="29"/>
      <c r="C177" s="126"/>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2.75" customHeight="1" x14ac:dyDescent="0.2">
      <c r="A178" s="29"/>
      <c r="B178" s="29"/>
      <c r="C178" s="126"/>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2.75" customHeight="1" x14ac:dyDescent="0.2">
      <c r="A179" s="29"/>
      <c r="B179" s="29"/>
      <c r="C179" s="126"/>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2.75" customHeight="1" x14ac:dyDescent="0.2">
      <c r="A180" s="29"/>
      <c r="B180" s="29"/>
      <c r="C180" s="126"/>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2.75" customHeight="1" x14ac:dyDescent="0.2">
      <c r="A181" s="29"/>
      <c r="B181" s="29"/>
      <c r="C181" s="126"/>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2.75" customHeight="1" x14ac:dyDescent="0.2">
      <c r="A182" s="29"/>
      <c r="B182" s="29"/>
      <c r="C182" s="126"/>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2.75" customHeight="1" x14ac:dyDescent="0.2">
      <c r="A183" s="29"/>
      <c r="B183" s="29"/>
      <c r="C183" s="126"/>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2.75" customHeight="1" x14ac:dyDescent="0.2">
      <c r="A184" s="29"/>
      <c r="B184" s="29"/>
      <c r="C184" s="126"/>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2.75" customHeight="1" x14ac:dyDescent="0.2">
      <c r="A185" s="29"/>
      <c r="B185" s="29"/>
      <c r="C185" s="126"/>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2.75" customHeight="1" x14ac:dyDescent="0.2">
      <c r="A186" s="29"/>
      <c r="B186" s="29"/>
      <c r="C186" s="126"/>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2.75" customHeight="1" x14ac:dyDescent="0.2">
      <c r="A187" s="29"/>
      <c r="B187" s="29"/>
      <c r="C187" s="126"/>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2.75" customHeight="1" x14ac:dyDescent="0.2">
      <c r="A188" s="29"/>
      <c r="B188" s="29"/>
      <c r="C188" s="126"/>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2.75" customHeight="1" x14ac:dyDescent="0.2">
      <c r="A189" s="29"/>
      <c r="B189" s="29"/>
      <c r="C189" s="126"/>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2.75" customHeight="1" x14ac:dyDescent="0.2">
      <c r="A190" s="29"/>
      <c r="B190" s="29"/>
      <c r="C190" s="126"/>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2.75" customHeight="1" x14ac:dyDescent="0.2">
      <c r="A191" s="29"/>
      <c r="B191" s="29"/>
      <c r="C191" s="126"/>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2.75" customHeight="1" x14ac:dyDescent="0.2">
      <c r="A192" s="29"/>
      <c r="B192" s="29"/>
      <c r="C192" s="126"/>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2.75" customHeight="1" x14ac:dyDescent="0.2">
      <c r="A193" s="29"/>
      <c r="B193" s="29"/>
      <c r="C193" s="126"/>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2.75" customHeight="1" x14ac:dyDescent="0.2">
      <c r="A194" s="29"/>
      <c r="B194" s="29"/>
      <c r="C194" s="126"/>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2.75" customHeight="1" x14ac:dyDescent="0.2">
      <c r="A195" s="29"/>
      <c r="B195" s="29"/>
      <c r="C195" s="126"/>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2.75" customHeight="1" x14ac:dyDescent="0.2">
      <c r="A196" s="29"/>
      <c r="B196" s="29"/>
      <c r="C196" s="126"/>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2.75" customHeight="1" x14ac:dyDescent="0.2">
      <c r="A197" s="29"/>
      <c r="B197" s="29"/>
      <c r="C197" s="126"/>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2.75" customHeight="1" x14ac:dyDescent="0.2">
      <c r="A198" s="29"/>
      <c r="B198" s="29"/>
      <c r="C198" s="126"/>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2.75" customHeight="1" x14ac:dyDescent="0.2">
      <c r="A199" s="29"/>
      <c r="B199" s="29"/>
      <c r="C199" s="126"/>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2.75" customHeight="1" x14ac:dyDescent="0.2">
      <c r="A200" s="29"/>
      <c r="B200" s="29"/>
      <c r="C200" s="126"/>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2.75" customHeight="1" x14ac:dyDescent="0.2">
      <c r="A201" s="29"/>
      <c r="B201" s="29"/>
      <c r="C201" s="126"/>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2.75" customHeight="1" x14ac:dyDescent="0.2">
      <c r="A202" s="29"/>
      <c r="B202" s="29"/>
      <c r="C202" s="126"/>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2.75" customHeight="1" x14ac:dyDescent="0.2">
      <c r="A203" s="29"/>
      <c r="B203" s="29"/>
      <c r="C203" s="126"/>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2.75" customHeight="1" x14ac:dyDescent="0.2">
      <c r="A204" s="29"/>
      <c r="B204" s="29"/>
      <c r="C204" s="126"/>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2.75" customHeight="1" x14ac:dyDescent="0.2">
      <c r="A205" s="29"/>
      <c r="B205" s="29"/>
      <c r="C205" s="126"/>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2.75" customHeight="1" x14ac:dyDescent="0.2">
      <c r="A206" s="29"/>
      <c r="B206" s="29"/>
      <c r="C206" s="126"/>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2.75" customHeight="1" x14ac:dyDescent="0.2">
      <c r="A207" s="29"/>
      <c r="B207" s="29"/>
      <c r="C207" s="126"/>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2.75" customHeight="1" x14ac:dyDescent="0.2">
      <c r="A208" s="29"/>
      <c r="B208" s="29"/>
      <c r="C208" s="126"/>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2.75" customHeight="1" x14ac:dyDescent="0.2">
      <c r="A209" s="29"/>
      <c r="B209" s="29"/>
      <c r="C209" s="126"/>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2.75" customHeight="1" x14ac:dyDescent="0.2">
      <c r="A210" s="29"/>
      <c r="B210" s="29"/>
      <c r="C210" s="126"/>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2.75" customHeight="1" x14ac:dyDescent="0.2">
      <c r="A211" s="29"/>
      <c r="B211" s="29"/>
      <c r="C211" s="126"/>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2.75" customHeight="1" x14ac:dyDescent="0.2">
      <c r="A212" s="29"/>
      <c r="B212" s="29"/>
      <c r="C212" s="126"/>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2.75" customHeight="1" x14ac:dyDescent="0.2">
      <c r="A213" s="29"/>
      <c r="B213" s="29"/>
      <c r="C213" s="126"/>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2.75" customHeight="1" x14ac:dyDescent="0.2">
      <c r="A214" s="29"/>
      <c r="B214" s="29"/>
      <c r="C214" s="126"/>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2.75" customHeight="1" x14ac:dyDescent="0.2">
      <c r="A215" s="29"/>
      <c r="B215" s="29"/>
      <c r="C215" s="126"/>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2.75" customHeight="1" x14ac:dyDescent="0.2">
      <c r="A216" s="29"/>
      <c r="B216" s="29"/>
      <c r="C216" s="126"/>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2.75" customHeight="1" x14ac:dyDescent="0.2">
      <c r="A217" s="29"/>
      <c r="B217" s="29"/>
      <c r="C217" s="126"/>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2.75" customHeight="1" x14ac:dyDescent="0.2">
      <c r="A218" s="29"/>
      <c r="B218" s="29"/>
      <c r="C218" s="126"/>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2.75" customHeight="1" x14ac:dyDescent="0.2">
      <c r="A219" s="29"/>
      <c r="B219" s="29"/>
      <c r="C219" s="126"/>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2.75" customHeight="1" x14ac:dyDescent="0.2">
      <c r="A220" s="29"/>
      <c r="B220" s="29"/>
      <c r="C220" s="126"/>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2.75" customHeight="1" x14ac:dyDescent="0.2">
      <c r="A221" s="29"/>
      <c r="B221" s="29"/>
      <c r="C221" s="126"/>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2.75" customHeight="1" x14ac:dyDescent="0.2">
      <c r="A222" s="29"/>
      <c r="B222" s="29"/>
      <c r="C222" s="126"/>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2.75" customHeight="1" x14ac:dyDescent="0.2">
      <c r="A223" s="29"/>
      <c r="B223" s="29"/>
      <c r="C223" s="126"/>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2.75" customHeight="1" x14ac:dyDescent="0.2">
      <c r="A224" s="29"/>
      <c r="B224" s="29"/>
      <c r="C224" s="126"/>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2.75" customHeight="1" x14ac:dyDescent="0.2">
      <c r="A225" s="29"/>
      <c r="B225" s="29"/>
      <c r="C225" s="126"/>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2.75" customHeight="1" x14ac:dyDescent="0.2">
      <c r="A226" s="29"/>
      <c r="B226" s="29"/>
      <c r="C226" s="126"/>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2.75" customHeight="1" x14ac:dyDescent="0.2">
      <c r="A227" s="29"/>
      <c r="B227" s="29"/>
      <c r="C227" s="126"/>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2.75" customHeight="1" x14ac:dyDescent="0.2">
      <c r="A228" s="29"/>
      <c r="B228" s="29"/>
      <c r="C228" s="126"/>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2.75" customHeight="1" x14ac:dyDescent="0.2">
      <c r="A229" s="29"/>
      <c r="B229" s="29"/>
      <c r="C229" s="126"/>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2.75" customHeight="1" x14ac:dyDescent="0.2">
      <c r="A230" s="29"/>
      <c r="B230" s="29"/>
      <c r="C230" s="126"/>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2.75" customHeight="1" x14ac:dyDescent="0.2">
      <c r="A231" s="29"/>
      <c r="B231" s="29"/>
      <c r="C231" s="126"/>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2.75" customHeight="1" x14ac:dyDescent="0.2">
      <c r="A232" s="29"/>
      <c r="B232" s="29"/>
      <c r="C232" s="126"/>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2.75" customHeight="1" x14ac:dyDescent="0.2">
      <c r="A233" s="29"/>
      <c r="B233" s="29"/>
      <c r="C233" s="126"/>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2.75" customHeight="1" x14ac:dyDescent="0.2">
      <c r="A234" s="29"/>
      <c r="B234" s="29"/>
      <c r="C234" s="126"/>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2.75" customHeight="1" x14ac:dyDescent="0.2">
      <c r="A235" s="29"/>
      <c r="B235" s="29"/>
      <c r="C235" s="126"/>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2.75" customHeight="1" x14ac:dyDescent="0.2">
      <c r="A236" s="29"/>
      <c r="B236" s="29"/>
      <c r="C236" s="126"/>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2.75" customHeight="1" x14ac:dyDescent="0.2">
      <c r="A237" s="29"/>
      <c r="B237" s="29"/>
      <c r="C237" s="126"/>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2.75" customHeight="1" x14ac:dyDescent="0.2">
      <c r="A238" s="29"/>
      <c r="B238" s="29"/>
      <c r="C238" s="126"/>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2.75" customHeight="1" x14ac:dyDescent="0.2">
      <c r="A239" s="29"/>
      <c r="B239" s="29"/>
      <c r="C239" s="126"/>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2.75" customHeight="1" x14ac:dyDescent="0.2">
      <c r="A240" s="29"/>
      <c r="B240" s="29"/>
      <c r="C240" s="126"/>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2.75" customHeight="1" x14ac:dyDescent="0.2">
      <c r="A241" s="29"/>
      <c r="B241" s="29"/>
      <c r="C241" s="126"/>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2.75" customHeight="1" x14ac:dyDescent="0.2">
      <c r="A242" s="29"/>
      <c r="B242" s="29"/>
      <c r="C242" s="126"/>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2.75" customHeight="1" x14ac:dyDescent="0.2">
      <c r="A243" s="29"/>
      <c r="B243" s="29"/>
      <c r="C243" s="126"/>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2.75" customHeight="1" x14ac:dyDescent="0.2">
      <c r="A244" s="29"/>
      <c r="B244" s="29"/>
      <c r="C244" s="126"/>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2.75" customHeight="1" x14ac:dyDescent="0.2">
      <c r="A245" s="29"/>
      <c r="B245" s="29"/>
      <c r="C245" s="126"/>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2.75" customHeight="1" x14ac:dyDescent="0.2">
      <c r="A246" s="29"/>
      <c r="B246" s="29"/>
      <c r="C246" s="126"/>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2.75" customHeight="1" x14ac:dyDescent="0.2">
      <c r="A247" s="29"/>
      <c r="B247" s="29"/>
      <c r="C247" s="126"/>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2.75" customHeight="1" x14ac:dyDescent="0.2">
      <c r="A248" s="29"/>
      <c r="B248" s="29"/>
      <c r="C248" s="126"/>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2.75" customHeight="1" x14ac:dyDescent="0.2">
      <c r="A249" s="29"/>
      <c r="B249" s="29"/>
      <c r="C249" s="126"/>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2.75" customHeight="1" x14ac:dyDescent="0.2">
      <c r="A250" s="29"/>
      <c r="B250" s="29"/>
      <c r="C250" s="126"/>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2.75" customHeight="1" x14ac:dyDescent="0.2">
      <c r="A251" s="29"/>
      <c r="B251" s="29"/>
      <c r="C251" s="126"/>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2.75" customHeight="1" x14ac:dyDescent="0.2">
      <c r="A252" s="29"/>
      <c r="B252" s="29"/>
      <c r="C252" s="126"/>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2.75" customHeight="1" x14ac:dyDescent="0.2">
      <c r="A253" s="29"/>
      <c r="B253" s="29"/>
      <c r="C253" s="126"/>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2.75" customHeight="1" x14ac:dyDescent="0.2">
      <c r="A254" s="29"/>
      <c r="B254" s="29"/>
      <c r="C254" s="126"/>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2.75" customHeight="1" x14ac:dyDescent="0.2">
      <c r="A255" s="29"/>
      <c r="B255" s="29"/>
      <c r="C255" s="126"/>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2.75" customHeight="1" x14ac:dyDescent="0.2">
      <c r="A256" s="29"/>
      <c r="B256" s="29"/>
      <c r="C256" s="126"/>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2.75" customHeight="1" x14ac:dyDescent="0.2">
      <c r="A257" s="29"/>
      <c r="B257" s="29"/>
      <c r="C257" s="126"/>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2.75" customHeight="1" x14ac:dyDescent="0.2">
      <c r="A258" s="29"/>
      <c r="B258" s="29"/>
      <c r="C258" s="126"/>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2.75" customHeight="1" x14ac:dyDescent="0.2">
      <c r="A259" s="29"/>
      <c r="B259" s="29"/>
      <c r="C259" s="126"/>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2.75" customHeight="1" x14ac:dyDescent="0.2">
      <c r="A260" s="29"/>
      <c r="B260" s="29"/>
      <c r="C260" s="126"/>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2.75" customHeight="1" x14ac:dyDescent="0.2">
      <c r="A261" s="29"/>
      <c r="B261" s="29"/>
      <c r="C261" s="126"/>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2.75" customHeight="1" x14ac:dyDescent="0.2">
      <c r="A262" s="29"/>
      <c r="B262" s="29"/>
      <c r="C262" s="126"/>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2.75" customHeight="1" x14ac:dyDescent="0.2">
      <c r="A263" s="29"/>
      <c r="B263" s="29"/>
      <c r="C263" s="126"/>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2.75" customHeight="1" x14ac:dyDescent="0.2">
      <c r="A264" s="29"/>
      <c r="B264" s="29"/>
      <c r="C264" s="126"/>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2.75" customHeight="1" x14ac:dyDescent="0.2">
      <c r="A265" s="29"/>
      <c r="B265" s="29"/>
      <c r="C265" s="126"/>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2.75" customHeight="1" x14ac:dyDescent="0.2">
      <c r="A266" s="29"/>
      <c r="B266" s="29"/>
      <c r="C266" s="126"/>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2.75" customHeight="1" x14ac:dyDescent="0.2">
      <c r="A267" s="29"/>
      <c r="B267" s="29"/>
      <c r="C267" s="126"/>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2.75" customHeight="1" x14ac:dyDescent="0.2">
      <c r="A268" s="29"/>
      <c r="B268" s="29"/>
      <c r="C268" s="126"/>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2.75" customHeight="1" x14ac:dyDescent="0.2">
      <c r="A269" s="29"/>
      <c r="B269" s="29"/>
      <c r="C269" s="126"/>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2.75" customHeight="1" x14ac:dyDescent="0.2">
      <c r="A270" s="29"/>
      <c r="B270" s="29"/>
      <c r="C270" s="126"/>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2.75" customHeight="1" x14ac:dyDescent="0.2">
      <c r="A271" s="29"/>
      <c r="B271" s="29"/>
      <c r="C271" s="126"/>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2.75" customHeight="1" x14ac:dyDescent="0.2">
      <c r="A272" s="29"/>
      <c r="B272" s="29"/>
      <c r="C272" s="126"/>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2.75" customHeight="1" x14ac:dyDescent="0.2">
      <c r="A273" s="29"/>
      <c r="B273" s="29"/>
      <c r="C273" s="126"/>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2.75" customHeight="1" x14ac:dyDescent="0.2">
      <c r="A274" s="29"/>
      <c r="B274" s="29"/>
      <c r="C274" s="126"/>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2.75" customHeight="1" x14ac:dyDescent="0.2">
      <c r="A275" s="29"/>
      <c r="B275" s="29"/>
      <c r="C275" s="126"/>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2.75" customHeight="1" x14ac:dyDescent="0.2">
      <c r="A276" s="29"/>
      <c r="B276" s="29"/>
      <c r="C276" s="126"/>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2.75" customHeight="1" x14ac:dyDescent="0.2">
      <c r="A277" s="29"/>
      <c r="B277" s="29"/>
      <c r="C277" s="126"/>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2.75" customHeight="1" x14ac:dyDescent="0.2">
      <c r="A278" s="29"/>
      <c r="B278" s="29"/>
      <c r="C278" s="126"/>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2.75" customHeight="1" x14ac:dyDescent="0.2">
      <c r="A279" s="29"/>
      <c r="B279" s="29"/>
      <c r="C279" s="126"/>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2.75" customHeight="1" x14ac:dyDescent="0.2">
      <c r="A280" s="29"/>
      <c r="B280" s="29"/>
      <c r="C280" s="126"/>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2.75" customHeight="1" x14ac:dyDescent="0.2">
      <c r="A281" s="29"/>
      <c r="B281" s="29"/>
      <c r="C281" s="126"/>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2.75" customHeight="1" x14ac:dyDescent="0.2">
      <c r="A282" s="29"/>
      <c r="B282" s="29"/>
      <c r="C282" s="126"/>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2.75" customHeight="1" x14ac:dyDescent="0.2">
      <c r="A283" s="29"/>
      <c r="B283" s="29"/>
      <c r="C283" s="126"/>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2.75" customHeight="1" x14ac:dyDescent="0.2">
      <c r="A284" s="29"/>
      <c r="B284" s="29"/>
      <c r="C284" s="126"/>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2.75" customHeight="1" x14ac:dyDescent="0.2">
      <c r="A285" s="29"/>
      <c r="B285" s="29"/>
      <c r="C285" s="126"/>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2.75" customHeight="1" x14ac:dyDescent="0.2">
      <c r="A286" s="29"/>
      <c r="B286" s="29"/>
      <c r="C286" s="126"/>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2.75" customHeight="1" x14ac:dyDescent="0.2">
      <c r="A287" s="29"/>
      <c r="B287" s="29"/>
      <c r="C287" s="126"/>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2.75" customHeight="1" x14ac:dyDescent="0.2">
      <c r="A288" s="29"/>
      <c r="B288" s="29"/>
      <c r="C288" s="126"/>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2.75" customHeight="1" x14ac:dyDescent="0.2">
      <c r="A289" s="29"/>
      <c r="B289" s="29"/>
      <c r="C289" s="126"/>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2.75" customHeight="1" x14ac:dyDescent="0.2">
      <c r="A290" s="29"/>
      <c r="B290" s="29"/>
      <c r="C290" s="126"/>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2.75" customHeight="1" x14ac:dyDescent="0.2">
      <c r="A291" s="29"/>
      <c r="B291" s="29"/>
      <c r="C291" s="126"/>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2.75" customHeight="1" x14ac:dyDescent="0.2">
      <c r="A292" s="29"/>
      <c r="B292" s="29"/>
      <c r="C292" s="126"/>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2.75" customHeight="1" x14ac:dyDescent="0.2">
      <c r="A293" s="29"/>
      <c r="B293" s="29"/>
      <c r="C293" s="126"/>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2.75" customHeight="1" x14ac:dyDescent="0.2">
      <c r="A294" s="29"/>
      <c r="B294" s="29"/>
      <c r="C294" s="126"/>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2.75" customHeight="1" x14ac:dyDescent="0.2">
      <c r="A295" s="29"/>
      <c r="B295" s="29"/>
      <c r="C295" s="126"/>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2.75" customHeight="1" x14ac:dyDescent="0.2">
      <c r="A296" s="29"/>
      <c r="B296" s="29"/>
      <c r="C296" s="126"/>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2.75" customHeight="1" x14ac:dyDescent="0.2">
      <c r="A297" s="29"/>
      <c r="B297" s="29"/>
      <c r="C297" s="126"/>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2.75" customHeight="1" x14ac:dyDescent="0.2">
      <c r="A298" s="29"/>
      <c r="B298" s="29"/>
      <c r="C298" s="126"/>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2.75" customHeight="1" x14ac:dyDescent="0.2">
      <c r="A299" s="29"/>
      <c r="B299" s="29"/>
      <c r="C299" s="126"/>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2.75" customHeight="1" x14ac:dyDescent="0.2">
      <c r="A300" s="29"/>
      <c r="B300" s="29"/>
      <c r="C300" s="126"/>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2.75" customHeight="1" x14ac:dyDescent="0.2">
      <c r="A301" s="29"/>
      <c r="B301" s="29"/>
      <c r="C301" s="126"/>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2.75" customHeight="1" x14ac:dyDescent="0.2">
      <c r="A302" s="29"/>
      <c r="B302" s="29"/>
      <c r="C302" s="126"/>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2.75" customHeight="1" x14ac:dyDescent="0.2">
      <c r="A303" s="29"/>
      <c r="B303" s="29"/>
      <c r="C303" s="126"/>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2.75" customHeight="1" x14ac:dyDescent="0.2">
      <c r="A304" s="29"/>
      <c r="B304" s="29"/>
      <c r="C304" s="126"/>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2.75" customHeight="1" x14ac:dyDescent="0.2">
      <c r="A305" s="29"/>
      <c r="B305" s="29"/>
      <c r="C305" s="126"/>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2.75" customHeight="1" x14ac:dyDescent="0.2">
      <c r="A306" s="29"/>
      <c r="B306" s="29"/>
      <c r="C306" s="126"/>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2.75" customHeight="1" x14ac:dyDescent="0.2">
      <c r="A307" s="29"/>
      <c r="B307" s="29"/>
      <c r="C307" s="126"/>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2.75" customHeight="1" x14ac:dyDescent="0.2">
      <c r="A308" s="29"/>
      <c r="B308" s="29"/>
      <c r="C308" s="126"/>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2.75" customHeight="1" x14ac:dyDescent="0.2">
      <c r="A309" s="29"/>
      <c r="B309" s="29"/>
      <c r="C309" s="126"/>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2.75" customHeight="1" x14ac:dyDescent="0.2">
      <c r="A310" s="29"/>
      <c r="B310" s="29"/>
      <c r="C310" s="126"/>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2.75" customHeight="1" x14ac:dyDescent="0.2">
      <c r="A311" s="29"/>
      <c r="B311" s="29"/>
      <c r="C311" s="126"/>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2.75" customHeight="1" x14ac:dyDescent="0.2">
      <c r="A312" s="29"/>
      <c r="B312" s="29"/>
      <c r="C312" s="126"/>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2.75" customHeight="1" x14ac:dyDescent="0.2">
      <c r="A313" s="29"/>
      <c r="B313" s="29"/>
      <c r="C313" s="126"/>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2.75" customHeight="1" x14ac:dyDescent="0.2">
      <c r="A314" s="29"/>
      <c r="B314" s="29"/>
      <c r="C314" s="126"/>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2.75" customHeight="1" x14ac:dyDescent="0.2">
      <c r="A315" s="29"/>
      <c r="B315" s="29"/>
      <c r="C315" s="126"/>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2.75" customHeight="1" x14ac:dyDescent="0.2">
      <c r="A316" s="29"/>
      <c r="B316" s="29"/>
      <c r="C316" s="126"/>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2.75" customHeight="1" x14ac:dyDescent="0.2">
      <c r="A317" s="29"/>
      <c r="B317" s="29"/>
      <c r="C317" s="126"/>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2.75" customHeight="1" x14ac:dyDescent="0.2">
      <c r="A318" s="29"/>
      <c r="B318" s="29"/>
      <c r="C318" s="126"/>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2.75" customHeight="1" x14ac:dyDescent="0.2">
      <c r="A319" s="29"/>
      <c r="B319" s="29"/>
      <c r="C319" s="126"/>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2.75" customHeight="1" x14ac:dyDescent="0.2">
      <c r="A320" s="29"/>
      <c r="B320" s="29"/>
      <c r="C320" s="126"/>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2.75" customHeight="1" x14ac:dyDescent="0.2">
      <c r="A321" s="29"/>
      <c r="B321" s="29"/>
      <c r="C321" s="126"/>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2.75" customHeight="1" x14ac:dyDescent="0.2">
      <c r="A322" s="29"/>
      <c r="B322" s="29"/>
      <c r="C322" s="126"/>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2.75" customHeight="1" x14ac:dyDescent="0.2">
      <c r="A323" s="29"/>
      <c r="B323" s="29"/>
      <c r="C323" s="126"/>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2.75" customHeight="1" x14ac:dyDescent="0.2">
      <c r="A324" s="29"/>
      <c r="B324" s="29"/>
      <c r="C324" s="126"/>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2.75" customHeight="1" x14ac:dyDescent="0.2">
      <c r="A325" s="29"/>
      <c r="B325" s="29"/>
      <c r="C325" s="126"/>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2.75" customHeight="1" x14ac:dyDescent="0.2">
      <c r="A326" s="29"/>
      <c r="B326" s="29"/>
      <c r="C326" s="126"/>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2.75" customHeight="1" x14ac:dyDescent="0.2">
      <c r="A327" s="29"/>
      <c r="B327" s="29"/>
      <c r="C327" s="126"/>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2.75" customHeight="1" x14ac:dyDescent="0.2">
      <c r="A328" s="29"/>
      <c r="B328" s="29"/>
      <c r="C328" s="126"/>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2.75" customHeight="1" x14ac:dyDescent="0.2">
      <c r="A329" s="29"/>
      <c r="B329" s="29"/>
      <c r="C329" s="126"/>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2.75" customHeight="1" x14ac:dyDescent="0.2">
      <c r="A330" s="29"/>
      <c r="B330" s="29"/>
      <c r="C330" s="126"/>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2.75" customHeight="1" x14ac:dyDescent="0.2">
      <c r="A331" s="29"/>
      <c r="B331" s="29"/>
      <c r="C331" s="126"/>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2.75" customHeight="1" x14ac:dyDescent="0.2">
      <c r="A332" s="29"/>
      <c r="B332" s="29"/>
      <c r="C332" s="126"/>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2.75" customHeight="1" x14ac:dyDescent="0.2">
      <c r="A333" s="29"/>
      <c r="B333" s="29"/>
      <c r="C333" s="126"/>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2.75" customHeight="1" x14ac:dyDescent="0.2">
      <c r="A334" s="29"/>
      <c r="B334" s="29"/>
      <c r="C334" s="126"/>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2.75" customHeight="1" x14ac:dyDescent="0.2">
      <c r="A335" s="29"/>
      <c r="B335" s="29"/>
      <c r="C335" s="126"/>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2.75" customHeight="1" x14ac:dyDescent="0.2">
      <c r="A336" s="29"/>
      <c r="B336" s="29"/>
      <c r="C336" s="126"/>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2.75" customHeight="1" x14ac:dyDescent="0.2">
      <c r="A337" s="29"/>
      <c r="B337" s="29"/>
      <c r="C337" s="126"/>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2.75" customHeight="1" x14ac:dyDescent="0.2">
      <c r="A338" s="29"/>
      <c r="B338" s="29"/>
      <c r="C338" s="126"/>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2.75" customHeight="1" x14ac:dyDescent="0.2">
      <c r="A339" s="29"/>
      <c r="B339" s="29"/>
      <c r="C339" s="126"/>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2.75" customHeight="1" x14ac:dyDescent="0.2">
      <c r="A340" s="29"/>
      <c r="B340" s="29"/>
      <c r="C340" s="126"/>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2.75" customHeight="1" x14ac:dyDescent="0.2">
      <c r="A341" s="29"/>
      <c r="B341" s="29"/>
      <c r="C341" s="126"/>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2.75" customHeight="1" x14ac:dyDescent="0.2">
      <c r="A342" s="29"/>
      <c r="B342" s="29"/>
      <c r="C342" s="126"/>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2.75" customHeight="1" x14ac:dyDescent="0.2">
      <c r="A343" s="29"/>
      <c r="B343" s="29"/>
      <c r="C343" s="126"/>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2.75" customHeight="1" x14ac:dyDescent="0.2">
      <c r="A344" s="29"/>
      <c r="B344" s="29"/>
      <c r="C344" s="126"/>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2.75" customHeight="1" x14ac:dyDescent="0.2">
      <c r="A345" s="29"/>
      <c r="B345" s="29"/>
      <c r="C345" s="126"/>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2.75" customHeight="1" x14ac:dyDescent="0.2">
      <c r="A346" s="29"/>
      <c r="B346" s="29"/>
      <c r="C346" s="126"/>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2.75" customHeight="1" x14ac:dyDescent="0.2">
      <c r="A347" s="29"/>
      <c r="B347" s="29"/>
      <c r="C347" s="126"/>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2.75" customHeight="1" x14ac:dyDescent="0.2">
      <c r="A348" s="29"/>
      <c r="B348" s="29"/>
      <c r="C348" s="126"/>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2.75" customHeight="1" x14ac:dyDescent="0.2">
      <c r="A349" s="29"/>
      <c r="B349" s="29"/>
      <c r="C349" s="126"/>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2.75" customHeight="1" x14ac:dyDescent="0.2">
      <c r="A350" s="29"/>
      <c r="B350" s="29"/>
      <c r="C350" s="126"/>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2.75" customHeight="1" x14ac:dyDescent="0.2">
      <c r="A351" s="29"/>
      <c r="B351" s="29"/>
      <c r="C351" s="126"/>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2.75" customHeight="1" x14ac:dyDescent="0.2">
      <c r="A352" s="29"/>
      <c r="B352" s="29"/>
      <c r="C352" s="126"/>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2.75" customHeight="1" x14ac:dyDescent="0.2">
      <c r="A353" s="29"/>
      <c r="B353" s="29"/>
      <c r="C353" s="126"/>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2.75" customHeight="1" x14ac:dyDescent="0.2">
      <c r="A354" s="29"/>
      <c r="B354" s="29"/>
      <c r="C354" s="126"/>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2.75" customHeight="1" x14ac:dyDescent="0.2">
      <c r="A355" s="29"/>
      <c r="B355" s="29"/>
      <c r="C355" s="126"/>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2.75" customHeight="1" x14ac:dyDescent="0.2">
      <c r="A356" s="29"/>
      <c r="B356" s="29"/>
      <c r="C356" s="126"/>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2.75" customHeight="1" x14ac:dyDescent="0.2">
      <c r="A357" s="29"/>
      <c r="B357" s="29"/>
      <c r="C357" s="126"/>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2.75" customHeight="1" x14ac:dyDescent="0.2">
      <c r="A358" s="29"/>
      <c r="B358" s="29"/>
      <c r="C358" s="126"/>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2.75" customHeight="1" x14ac:dyDescent="0.2">
      <c r="A359" s="29"/>
      <c r="B359" s="29"/>
      <c r="C359" s="126"/>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2.75" customHeight="1" x14ac:dyDescent="0.2">
      <c r="A360" s="29"/>
      <c r="B360" s="29"/>
      <c r="C360" s="126"/>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2.75" customHeight="1" x14ac:dyDescent="0.2">
      <c r="A361" s="29"/>
      <c r="B361" s="29"/>
      <c r="C361" s="126"/>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2.75" customHeight="1" x14ac:dyDescent="0.2">
      <c r="A362" s="29"/>
      <c r="B362" s="29"/>
      <c r="C362" s="126"/>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2.75" customHeight="1" x14ac:dyDescent="0.2">
      <c r="A363" s="29"/>
      <c r="B363" s="29"/>
      <c r="C363" s="126"/>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2.75" customHeight="1" x14ac:dyDescent="0.2">
      <c r="A364" s="29"/>
      <c r="B364" s="29"/>
      <c r="C364" s="126"/>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2.75" customHeight="1" x14ac:dyDescent="0.2">
      <c r="A365" s="29"/>
      <c r="B365" s="29"/>
      <c r="C365" s="126"/>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2.75" customHeight="1" x14ac:dyDescent="0.2">
      <c r="A366" s="29"/>
      <c r="B366" s="29"/>
      <c r="C366" s="126"/>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2.75" customHeight="1" x14ac:dyDescent="0.2">
      <c r="A367" s="29"/>
      <c r="B367" s="29"/>
      <c r="C367" s="126"/>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2.75" customHeight="1" x14ac:dyDescent="0.2">
      <c r="A368" s="29"/>
      <c r="B368" s="29"/>
      <c r="C368" s="126"/>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2.75" customHeight="1" x14ac:dyDescent="0.2">
      <c r="A369" s="29"/>
      <c r="B369" s="29"/>
      <c r="C369" s="126"/>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2.75" customHeight="1" x14ac:dyDescent="0.2">
      <c r="A370" s="29"/>
      <c r="B370" s="29"/>
      <c r="C370" s="126"/>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2.75" customHeight="1" x14ac:dyDescent="0.2">
      <c r="A371" s="29"/>
      <c r="B371" s="29"/>
      <c r="C371" s="126"/>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2.75" customHeight="1" x14ac:dyDescent="0.2">
      <c r="A372" s="29"/>
      <c r="B372" s="29"/>
      <c r="C372" s="126"/>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2.75" customHeight="1" x14ac:dyDescent="0.2">
      <c r="A373" s="29"/>
      <c r="B373" s="29"/>
      <c r="C373" s="126"/>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2.75" customHeight="1" x14ac:dyDescent="0.2">
      <c r="A374" s="29"/>
      <c r="B374" s="29"/>
      <c r="C374" s="126"/>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2.75" customHeight="1" x14ac:dyDescent="0.2">
      <c r="A375" s="29"/>
      <c r="B375" s="29"/>
      <c r="C375" s="126"/>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2.75" customHeight="1" x14ac:dyDescent="0.2">
      <c r="A376" s="29"/>
      <c r="B376" s="29"/>
      <c r="C376" s="126"/>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2.75" customHeight="1" x14ac:dyDescent="0.2">
      <c r="A377" s="29"/>
      <c r="B377" s="29"/>
      <c r="C377" s="126"/>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2.75" customHeight="1" x14ac:dyDescent="0.2">
      <c r="A378" s="29"/>
      <c r="B378" s="29"/>
      <c r="C378" s="126"/>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2.75" customHeight="1" x14ac:dyDescent="0.2">
      <c r="A379" s="29"/>
      <c r="B379" s="29"/>
      <c r="C379" s="126"/>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2.75" customHeight="1" x14ac:dyDescent="0.2">
      <c r="A380" s="29"/>
      <c r="B380" s="29"/>
      <c r="C380" s="126"/>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2.75" customHeight="1" x14ac:dyDescent="0.2">
      <c r="A381" s="29"/>
      <c r="B381" s="29"/>
      <c r="C381" s="126"/>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2.75" customHeight="1" x14ac:dyDescent="0.2">
      <c r="A382" s="29"/>
      <c r="B382" s="29"/>
      <c r="C382" s="126"/>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2.75" customHeight="1" x14ac:dyDescent="0.2">
      <c r="A383" s="29"/>
      <c r="B383" s="29"/>
      <c r="C383" s="126"/>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2.75" customHeight="1" x14ac:dyDescent="0.2">
      <c r="A384" s="29"/>
      <c r="B384" s="29"/>
      <c r="C384" s="126"/>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2.75" customHeight="1" x14ac:dyDescent="0.2">
      <c r="A385" s="29"/>
      <c r="B385" s="29"/>
      <c r="C385" s="126"/>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2.75" customHeight="1" x14ac:dyDescent="0.2">
      <c r="A386" s="29"/>
      <c r="B386" s="29"/>
      <c r="C386" s="126"/>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2.75" customHeight="1" x14ac:dyDescent="0.2">
      <c r="A387" s="29"/>
      <c r="B387" s="29"/>
      <c r="C387" s="126"/>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2.75" customHeight="1" x14ac:dyDescent="0.2">
      <c r="A388" s="29"/>
      <c r="B388" s="29"/>
      <c r="C388" s="126"/>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2.75" customHeight="1" x14ac:dyDescent="0.2">
      <c r="A389" s="29"/>
      <c r="B389" s="29"/>
      <c r="C389" s="126"/>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2.75" customHeight="1" x14ac:dyDescent="0.2">
      <c r="A390" s="29"/>
      <c r="B390" s="29"/>
      <c r="C390" s="126"/>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2.75" customHeight="1" x14ac:dyDescent="0.2">
      <c r="A391" s="29"/>
      <c r="B391" s="29"/>
      <c r="C391" s="126"/>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2.75" customHeight="1" x14ac:dyDescent="0.2">
      <c r="A392" s="29"/>
      <c r="B392" s="29"/>
      <c r="C392" s="126"/>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2.75" customHeight="1" x14ac:dyDescent="0.2">
      <c r="A393" s="29"/>
      <c r="B393" s="29"/>
      <c r="C393" s="126"/>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2.75" customHeight="1" x14ac:dyDescent="0.2">
      <c r="A394" s="29"/>
      <c r="B394" s="29"/>
      <c r="C394" s="126"/>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2.75" customHeight="1" x14ac:dyDescent="0.2">
      <c r="A395" s="29"/>
      <c r="B395" s="29"/>
      <c r="C395" s="126"/>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2.75" customHeight="1" x14ac:dyDescent="0.2">
      <c r="A396" s="29"/>
      <c r="B396" s="29"/>
      <c r="C396" s="126"/>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2.75" customHeight="1" x14ac:dyDescent="0.2">
      <c r="A397" s="29"/>
      <c r="B397" s="29"/>
      <c r="C397" s="126"/>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2.75" customHeight="1" x14ac:dyDescent="0.2">
      <c r="A398" s="29"/>
      <c r="B398" s="29"/>
      <c r="C398" s="126"/>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2.75" customHeight="1" x14ac:dyDescent="0.2">
      <c r="A399" s="29"/>
      <c r="B399" s="29"/>
      <c r="C399" s="126"/>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2.75" customHeight="1" x14ac:dyDescent="0.2">
      <c r="A400" s="29"/>
      <c r="B400" s="29"/>
      <c r="C400" s="126"/>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2.75" customHeight="1" x14ac:dyDescent="0.2">
      <c r="A401" s="29"/>
      <c r="B401" s="29"/>
      <c r="C401" s="126"/>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2.75" customHeight="1" x14ac:dyDescent="0.2">
      <c r="A402" s="29"/>
      <c r="B402" s="29"/>
      <c r="C402" s="126"/>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2.75" customHeight="1" x14ac:dyDescent="0.2">
      <c r="A403" s="29"/>
      <c r="B403" s="29"/>
      <c r="C403" s="126"/>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2.75" customHeight="1" x14ac:dyDescent="0.2">
      <c r="A404" s="29"/>
      <c r="B404" s="29"/>
      <c r="C404" s="126"/>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2.75" customHeight="1" x14ac:dyDescent="0.2">
      <c r="A405" s="29"/>
      <c r="B405" s="29"/>
      <c r="C405" s="126"/>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2.75" customHeight="1" x14ac:dyDescent="0.2">
      <c r="A406" s="29"/>
      <c r="B406" s="29"/>
      <c r="C406" s="126"/>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2.75" customHeight="1" x14ac:dyDescent="0.2">
      <c r="A407" s="29"/>
      <c r="B407" s="29"/>
      <c r="C407" s="126"/>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2.75" customHeight="1" x14ac:dyDescent="0.2">
      <c r="A408" s="29"/>
      <c r="B408" s="29"/>
      <c r="C408" s="126"/>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2.75" customHeight="1" x14ac:dyDescent="0.2">
      <c r="A409" s="29"/>
      <c r="B409" s="29"/>
      <c r="C409" s="126"/>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2.75" customHeight="1" x14ac:dyDescent="0.2">
      <c r="A410" s="29"/>
      <c r="B410" s="29"/>
      <c r="C410" s="126"/>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2.75" customHeight="1" x14ac:dyDescent="0.2">
      <c r="A411" s="29"/>
      <c r="B411" s="29"/>
      <c r="C411" s="126"/>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2.75" customHeight="1" x14ac:dyDescent="0.2">
      <c r="A412" s="29"/>
      <c r="B412" s="29"/>
      <c r="C412" s="126"/>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2.75" customHeight="1" x14ac:dyDescent="0.2">
      <c r="A413" s="29"/>
      <c r="B413" s="29"/>
      <c r="C413" s="126"/>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2.75" customHeight="1" x14ac:dyDescent="0.2">
      <c r="A414" s="29"/>
      <c r="B414" s="29"/>
      <c r="C414" s="126"/>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2.75" customHeight="1" x14ac:dyDescent="0.2">
      <c r="A415" s="29"/>
      <c r="B415" s="29"/>
      <c r="C415" s="126"/>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2.75" customHeight="1" x14ac:dyDescent="0.2">
      <c r="A416" s="29"/>
      <c r="B416" s="29"/>
      <c r="C416" s="126"/>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2.75" customHeight="1" x14ac:dyDescent="0.2">
      <c r="A417" s="29"/>
      <c r="B417" s="29"/>
      <c r="C417" s="126"/>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2.75" customHeight="1" x14ac:dyDescent="0.2">
      <c r="A418" s="29"/>
      <c r="B418" s="29"/>
      <c r="C418" s="126"/>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2.75" customHeight="1" x14ac:dyDescent="0.2">
      <c r="A419" s="29"/>
      <c r="B419" s="29"/>
      <c r="C419" s="126"/>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2.75" customHeight="1" x14ac:dyDescent="0.2">
      <c r="A420" s="29"/>
      <c r="B420" s="29"/>
      <c r="C420" s="126"/>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2.75" customHeight="1" x14ac:dyDescent="0.2">
      <c r="A421" s="29"/>
      <c r="B421" s="29"/>
      <c r="C421" s="126"/>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2.75" customHeight="1" x14ac:dyDescent="0.2">
      <c r="A422" s="29"/>
      <c r="B422" s="29"/>
      <c r="C422" s="126"/>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2.75" customHeight="1" x14ac:dyDescent="0.2">
      <c r="A423" s="29"/>
      <c r="B423" s="29"/>
      <c r="C423" s="126"/>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2.75" customHeight="1" x14ac:dyDescent="0.2">
      <c r="A424" s="29"/>
      <c r="B424" s="29"/>
      <c r="C424" s="126"/>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2.75" customHeight="1" x14ac:dyDescent="0.2">
      <c r="A425" s="29"/>
      <c r="B425" s="29"/>
      <c r="C425" s="126"/>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2.75" customHeight="1" x14ac:dyDescent="0.2">
      <c r="A426" s="29"/>
      <c r="B426" s="29"/>
      <c r="C426" s="126"/>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2.75" customHeight="1" x14ac:dyDescent="0.2">
      <c r="A427" s="29"/>
      <c r="B427" s="29"/>
      <c r="C427" s="126"/>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2.75" customHeight="1" x14ac:dyDescent="0.2">
      <c r="A428" s="29"/>
      <c r="B428" s="29"/>
      <c r="C428" s="126"/>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2.75" customHeight="1" x14ac:dyDescent="0.2">
      <c r="A429" s="29"/>
      <c r="B429" s="29"/>
      <c r="C429" s="126"/>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2.75" customHeight="1" x14ac:dyDescent="0.2">
      <c r="A430" s="29"/>
      <c r="B430" s="29"/>
      <c r="C430" s="126"/>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2.75" customHeight="1" x14ac:dyDescent="0.2">
      <c r="A431" s="29"/>
      <c r="B431" s="29"/>
      <c r="C431" s="126"/>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2.75" customHeight="1" x14ac:dyDescent="0.2">
      <c r="A432" s="29"/>
      <c r="B432" s="29"/>
      <c r="C432" s="126"/>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2.75" customHeight="1" x14ac:dyDescent="0.2">
      <c r="A433" s="29"/>
      <c r="B433" s="29"/>
      <c r="C433" s="126"/>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2.75" customHeight="1" x14ac:dyDescent="0.2">
      <c r="A434" s="29"/>
      <c r="B434" s="29"/>
      <c r="C434" s="126"/>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2.75" customHeight="1" x14ac:dyDescent="0.2">
      <c r="A435" s="29"/>
      <c r="B435" s="29"/>
      <c r="C435" s="126"/>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2.75" customHeight="1" x14ac:dyDescent="0.2">
      <c r="A436" s="29"/>
      <c r="B436" s="29"/>
      <c r="C436" s="126"/>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2.75" customHeight="1" x14ac:dyDescent="0.2">
      <c r="A437" s="29"/>
      <c r="B437" s="29"/>
      <c r="C437" s="126"/>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2.75" customHeight="1" x14ac:dyDescent="0.2">
      <c r="A438" s="29"/>
      <c r="B438" s="29"/>
      <c r="C438" s="126"/>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2.75" customHeight="1" x14ac:dyDescent="0.2">
      <c r="A439" s="29"/>
      <c r="B439" s="29"/>
      <c r="C439" s="126"/>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2.75" customHeight="1" x14ac:dyDescent="0.2">
      <c r="A440" s="29"/>
      <c r="B440" s="29"/>
      <c r="C440" s="126"/>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2.75" customHeight="1" x14ac:dyDescent="0.2">
      <c r="A441" s="29"/>
      <c r="B441" s="29"/>
      <c r="C441" s="126"/>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2.75" customHeight="1" x14ac:dyDescent="0.2">
      <c r="A442" s="29"/>
      <c r="B442" s="29"/>
      <c r="C442" s="126"/>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2.75" customHeight="1" x14ac:dyDescent="0.2">
      <c r="A443" s="29"/>
      <c r="B443" s="29"/>
      <c r="C443" s="126"/>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2.75" customHeight="1" x14ac:dyDescent="0.2">
      <c r="A444" s="29"/>
      <c r="B444" s="29"/>
      <c r="C444" s="126"/>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2.75" customHeight="1" x14ac:dyDescent="0.2">
      <c r="A445" s="29"/>
      <c r="B445" s="29"/>
      <c r="C445" s="126"/>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2.75" customHeight="1" x14ac:dyDescent="0.2">
      <c r="A446" s="29"/>
      <c r="B446" s="29"/>
      <c r="C446" s="126"/>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2.75" customHeight="1" x14ac:dyDescent="0.2">
      <c r="A447" s="29"/>
      <c r="B447" s="29"/>
      <c r="C447" s="126"/>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2.75" customHeight="1" x14ac:dyDescent="0.2">
      <c r="A448" s="29"/>
      <c r="B448" s="29"/>
      <c r="C448" s="126"/>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2.75" customHeight="1" x14ac:dyDescent="0.2">
      <c r="A449" s="29"/>
      <c r="B449" s="29"/>
      <c r="C449" s="126"/>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2.75" customHeight="1" x14ac:dyDescent="0.2">
      <c r="A450" s="29"/>
      <c r="B450" s="29"/>
      <c r="C450" s="126"/>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2.75" customHeight="1" x14ac:dyDescent="0.2">
      <c r="A451" s="29"/>
      <c r="B451" s="29"/>
      <c r="C451" s="126"/>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2.75" customHeight="1" x14ac:dyDescent="0.2">
      <c r="A452" s="29"/>
      <c r="B452" s="29"/>
      <c r="C452" s="126"/>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2.75" customHeight="1" x14ac:dyDescent="0.2">
      <c r="A453" s="29"/>
      <c r="B453" s="29"/>
      <c r="C453" s="126"/>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2.75" customHeight="1" x14ac:dyDescent="0.2">
      <c r="A454" s="29"/>
      <c r="B454" s="29"/>
      <c r="C454" s="126"/>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2.75" customHeight="1" x14ac:dyDescent="0.2">
      <c r="A455" s="29"/>
      <c r="B455" s="29"/>
      <c r="C455" s="126"/>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2.75" customHeight="1" x14ac:dyDescent="0.2">
      <c r="A456" s="29"/>
      <c r="B456" s="29"/>
      <c r="C456" s="126"/>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2.75" customHeight="1" x14ac:dyDescent="0.2">
      <c r="A457" s="29"/>
      <c r="B457" s="29"/>
      <c r="C457" s="126"/>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2.75" customHeight="1" x14ac:dyDescent="0.2">
      <c r="A458" s="29"/>
      <c r="B458" s="29"/>
      <c r="C458" s="126"/>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2.75" customHeight="1" x14ac:dyDescent="0.2">
      <c r="A459" s="29"/>
      <c r="B459" s="29"/>
      <c r="C459" s="126"/>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2.75" customHeight="1" x14ac:dyDescent="0.2">
      <c r="A460" s="29"/>
      <c r="B460" s="29"/>
      <c r="C460" s="126"/>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2.75" customHeight="1" x14ac:dyDescent="0.2">
      <c r="A461" s="29"/>
      <c r="B461" s="29"/>
      <c r="C461" s="126"/>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2.75" customHeight="1" x14ac:dyDescent="0.2">
      <c r="A462" s="29"/>
      <c r="B462" s="29"/>
      <c r="C462" s="126"/>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2.75" customHeight="1" x14ac:dyDescent="0.2">
      <c r="A463" s="29"/>
      <c r="B463" s="29"/>
      <c r="C463" s="126"/>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2.75" customHeight="1" x14ac:dyDescent="0.2">
      <c r="A464" s="29"/>
      <c r="B464" s="29"/>
      <c r="C464" s="126"/>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2.75" customHeight="1" x14ac:dyDescent="0.2">
      <c r="A465" s="29"/>
      <c r="B465" s="29"/>
      <c r="C465" s="126"/>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2.75" customHeight="1" x14ac:dyDescent="0.2">
      <c r="A466" s="29"/>
      <c r="B466" s="29"/>
      <c r="C466" s="126"/>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2.75" customHeight="1" x14ac:dyDescent="0.2">
      <c r="A467" s="29"/>
      <c r="B467" s="29"/>
      <c r="C467" s="126"/>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2.75" customHeight="1" x14ac:dyDescent="0.2">
      <c r="A468" s="29"/>
      <c r="B468" s="29"/>
      <c r="C468" s="126"/>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2.75" customHeight="1" x14ac:dyDescent="0.2">
      <c r="A469" s="29"/>
      <c r="B469" s="29"/>
      <c r="C469" s="126"/>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2.75" customHeight="1" x14ac:dyDescent="0.2">
      <c r="A470" s="29"/>
      <c r="B470" s="29"/>
      <c r="C470" s="126"/>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2.75" customHeight="1" x14ac:dyDescent="0.2">
      <c r="A471" s="29"/>
      <c r="B471" s="29"/>
      <c r="C471" s="126"/>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2.75" customHeight="1" x14ac:dyDescent="0.2">
      <c r="A472" s="29"/>
      <c r="B472" s="29"/>
      <c r="C472" s="126"/>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2.75" customHeight="1" x14ac:dyDescent="0.2">
      <c r="A473" s="29"/>
      <c r="B473" s="29"/>
      <c r="C473" s="126"/>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2.75" customHeight="1" x14ac:dyDescent="0.2">
      <c r="A474" s="29"/>
      <c r="B474" s="29"/>
      <c r="C474" s="126"/>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2.75" customHeight="1" x14ac:dyDescent="0.2">
      <c r="A475" s="29"/>
      <c r="B475" s="29"/>
      <c r="C475" s="126"/>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2.75" customHeight="1" x14ac:dyDescent="0.2">
      <c r="A476" s="29"/>
      <c r="B476" s="29"/>
      <c r="C476" s="126"/>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2.75" customHeight="1" x14ac:dyDescent="0.2">
      <c r="A477" s="29"/>
      <c r="B477" s="29"/>
      <c r="C477" s="126"/>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2.75" customHeight="1" x14ac:dyDescent="0.2">
      <c r="A478" s="29"/>
      <c r="B478" s="29"/>
      <c r="C478" s="126"/>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2.75" customHeight="1" x14ac:dyDescent="0.2">
      <c r="A479" s="29"/>
      <c r="B479" s="29"/>
      <c r="C479" s="126"/>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2.75" customHeight="1" x14ac:dyDescent="0.2">
      <c r="A480" s="29"/>
      <c r="B480" s="29"/>
      <c r="C480" s="126"/>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2.75" customHeight="1" x14ac:dyDescent="0.2">
      <c r="A481" s="29"/>
      <c r="B481" s="29"/>
      <c r="C481" s="126"/>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2.75" customHeight="1" x14ac:dyDescent="0.2">
      <c r="A482" s="29"/>
      <c r="B482" s="29"/>
      <c r="C482" s="126"/>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2.75" customHeight="1" x14ac:dyDescent="0.2">
      <c r="A483" s="29"/>
      <c r="B483" s="29"/>
      <c r="C483" s="126"/>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2.75" customHeight="1" x14ac:dyDescent="0.2">
      <c r="A484" s="29"/>
      <c r="B484" s="29"/>
      <c r="C484" s="126"/>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2.75" customHeight="1" x14ac:dyDescent="0.2">
      <c r="A485" s="29"/>
      <c r="B485" s="29"/>
      <c r="C485" s="126"/>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2.75" customHeight="1" x14ac:dyDescent="0.2">
      <c r="A486" s="29"/>
      <c r="B486" s="29"/>
      <c r="C486" s="126"/>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2.75" customHeight="1" x14ac:dyDescent="0.2">
      <c r="A487" s="29"/>
      <c r="B487" s="29"/>
      <c r="C487" s="126"/>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2.75" customHeight="1" x14ac:dyDescent="0.2">
      <c r="A488" s="29"/>
      <c r="B488" s="29"/>
      <c r="C488" s="126"/>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2.75" customHeight="1" x14ac:dyDescent="0.2">
      <c r="A489" s="29"/>
      <c r="B489" s="29"/>
      <c r="C489" s="126"/>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2.75" customHeight="1" x14ac:dyDescent="0.2">
      <c r="A490" s="29"/>
      <c r="B490" s="29"/>
      <c r="C490" s="126"/>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2.75" customHeight="1" x14ac:dyDescent="0.2">
      <c r="A491" s="29"/>
      <c r="B491" s="29"/>
      <c r="C491" s="126"/>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2.75" customHeight="1" x14ac:dyDescent="0.2">
      <c r="A492" s="29"/>
      <c r="B492" s="29"/>
      <c r="C492" s="126"/>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2.75" customHeight="1" x14ac:dyDescent="0.2">
      <c r="A493" s="29"/>
      <c r="B493" s="29"/>
      <c r="C493" s="126"/>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2.75" customHeight="1" x14ac:dyDescent="0.2">
      <c r="A494" s="29"/>
      <c r="B494" s="29"/>
      <c r="C494" s="126"/>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2.75" customHeight="1" x14ac:dyDescent="0.2">
      <c r="A495" s="29"/>
      <c r="B495" s="29"/>
      <c r="C495" s="126"/>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2.75" customHeight="1" x14ac:dyDescent="0.2">
      <c r="A496" s="29"/>
      <c r="B496" s="29"/>
      <c r="C496" s="126"/>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2.75" customHeight="1" x14ac:dyDescent="0.2">
      <c r="A497" s="29"/>
      <c r="B497" s="29"/>
      <c r="C497" s="126"/>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2.75" customHeight="1" x14ac:dyDescent="0.2">
      <c r="A498" s="29"/>
      <c r="B498" s="29"/>
      <c r="C498" s="126"/>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2.75" customHeight="1" x14ac:dyDescent="0.2">
      <c r="A499" s="29"/>
      <c r="B499" s="29"/>
      <c r="C499" s="126"/>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2.75" customHeight="1" x14ac:dyDescent="0.2">
      <c r="A500" s="29"/>
      <c r="B500" s="29"/>
      <c r="C500" s="126"/>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2.75" customHeight="1" x14ac:dyDescent="0.2">
      <c r="A501" s="29"/>
      <c r="B501" s="29"/>
      <c r="C501" s="126"/>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2.75" customHeight="1" x14ac:dyDescent="0.2">
      <c r="A502" s="29"/>
      <c r="B502" s="29"/>
      <c r="C502" s="126"/>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2.75" customHeight="1" x14ac:dyDescent="0.2">
      <c r="A503" s="29"/>
      <c r="B503" s="29"/>
      <c r="C503" s="126"/>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2.75" customHeight="1" x14ac:dyDescent="0.2">
      <c r="A504" s="29"/>
      <c r="B504" s="29"/>
      <c r="C504" s="126"/>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2.75" customHeight="1" x14ac:dyDescent="0.2">
      <c r="A505" s="29"/>
      <c r="B505" s="29"/>
      <c r="C505" s="126"/>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2.75" customHeight="1" x14ac:dyDescent="0.2">
      <c r="A506" s="29"/>
      <c r="B506" s="29"/>
      <c r="C506" s="126"/>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2.75" customHeight="1" x14ac:dyDescent="0.2">
      <c r="A507" s="29"/>
      <c r="B507" s="29"/>
      <c r="C507" s="126"/>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2.75" customHeight="1" x14ac:dyDescent="0.2">
      <c r="A508" s="29"/>
      <c r="B508" s="29"/>
      <c r="C508" s="126"/>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2.75" customHeight="1" x14ac:dyDescent="0.2">
      <c r="A509" s="29"/>
      <c r="B509" s="29"/>
      <c r="C509" s="126"/>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2.75" customHeight="1" x14ac:dyDescent="0.2">
      <c r="A510" s="29"/>
      <c r="B510" s="29"/>
      <c r="C510" s="126"/>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2.75" customHeight="1" x14ac:dyDescent="0.2">
      <c r="A511" s="29"/>
      <c r="B511" s="29"/>
      <c r="C511" s="126"/>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2.75" customHeight="1" x14ac:dyDescent="0.2">
      <c r="A512" s="29"/>
      <c r="B512" s="29"/>
      <c r="C512" s="126"/>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2.75" customHeight="1" x14ac:dyDescent="0.2">
      <c r="A513" s="29"/>
      <c r="B513" s="29"/>
      <c r="C513" s="126"/>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2.75" customHeight="1" x14ac:dyDescent="0.2">
      <c r="A514" s="29"/>
      <c r="B514" s="29"/>
      <c r="C514" s="126"/>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2.75" customHeight="1" x14ac:dyDescent="0.2">
      <c r="A515" s="29"/>
      <c r="B515" s="29"/>
      <c r="C515" s="126"/>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2.75" customHeight="1" x14ac:dyDescent="0.2">
      <c r="A516" s="29"/>
      <c r="B516" s="29"/>
      <c r="C516" s="126"/>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2.75" customHeight="1" x14ac:dyDescent="0.2">
      <c r="A517" s="29"/>
      <c r="B517" s="29"/>
      <c r="C517" s="126"/>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2.75" customHeight="1" x14ac:dyDescent="0.2">
      <c r="A518" s="29"/>
      <c r="B518" s="29"/>
      <c r="C518" s="126"/>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2.75" customHeight="1" x14ac:dyDescent="0.2">
      <c r="A519" s="29"/>
      <c r="B519" s="29"/>
      <c r="C519" s="126"/>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2.75" customHeight="1" x14ac:dyDescent="0.2">
      <c r="A520" s="29"/>
      <c r="B520" s="29"/>
      <c r="C520" s="126"/>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2.75" customHeight="1" x14ac:dyDescent="0.2">
      <c r="A521" s="29"/>
      <c r="B521" s="29"/>
      <c r="C521" s="126"/>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2.75" customHeight="1" x14ac:dyDescent="0.2">
      <c r="A522" s="29"/>
      <c r="B522" s="29"/>
      <c r="C522" s="126"/>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2.75" customHeight="1" x14ac:dyDescent="0.2">
      <c r="A523" s="29"/>
      <c r="B523" s="29"/>
      <c r="C523" s="126"/>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2.75" customHeight="1" x14ac:dyDescent="0.2">
      <c r="A524" s="29"/>
      <c r="B524" s="29"/>
      <c r="C524" s="126"/>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2.75" customHeight="1" x14ac:dyDescent="0.2">
      <c r="A525" s="29"/>
      <c r="B525" s="29"/>
      <c r="C525" s="126"/>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2.75" customHeight="1" x14ac:dyDescent="0.2">
      <c r="A526" s="29"/>
      <c r="B526" s="29"/>
      <c r="C526" s="126"/>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2.75" customHeight="1" x14ac:dyDescent="0.2">
      <c r="A527" s="29"/>
      <c r="B527" s="29"/>
      <c r="C527" s="126"/>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2.75" customHeight="1" x14ac:dyDescent="0.2">
      <c r="A528" s="29"/>
      <c r="B528" s="29"/>
      <c r="C528" s="126"/>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2.75" customHeight="1" x14ac:dyDescent="0.2">
      <c r="A529" s="29"/>
      <c r="B529" s="29"/>
      <c r="C529" s="126"/>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2.75" customHeight="1" x14ac:dyDescent="0.2">
      <c r="A530" s="29"/>
      <c r="B530" s="29"/>
      <c r="C530" s="126"/>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2.75" customHeight="1" x14ac:dyDescent="0.2">
      <c r="A531" s="29"/>
      <c r="B531" s="29"/>
      <c r="C531" s="126"/>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2.75" customHeight="1" x14ac:dyDescent="0.2">
      <c r="A532" s="29"/>
      <c r="B532" s="29"/>
      <c r="C532" s="126"/>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2.75" customHeight="1" x14ac:dyDescent="0.2">
      <c r="A533" s="29"/>
      <c r="B533" s="29"/>
      <c r="C533" s="126"/>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2.75" customHeight="1" x14ac:dyDescent="0.2">
      <c r="A534" s="29"/>
      <c r="B534" s="29"/>
      <c r="C534" s="126"/>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2.75" customHeight="1" x14ac:dyDescent="0.2">
      <c r="A535" s="29"/>
      <c r="B535" s="29"/>
      <c r="C535" s="126"/>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2.75" customHeight="1" x14ac:dyDescent="0.2">
      <c r="A536" s="29"/>
      <c r="B536" s="29"/>
      <c r="C536" s="126"/>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2.75" customHeight="1" x14ac:dyDescent="0.2">
      <c r="A537" s="29"/>
      <c r="B537" s="29"/>
      <c r="C537" s="126"/>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2.75" customHeight="1" x14ac:dyDescent="0.2">
      <c r="A538" s="29"/>
      <c r="B538" s="29"/>
      <c r="C538" s="126"/>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2.75" customHeight="1" x14ac:dyDescent="0.2">
      <c r="A539" s="29"/>
      <c r="B539" s="29"/>
      <c r="C539" s="126"/>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2.75" customHeight="1" x14ac:dyDescent="0.2">
      <c r="A540" s="29"/>
      <c r="B540" s="29"/>
      <c r="C540" s="126"/>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2.75" customHeight="1" x14ac:dyDescent="0.2">
      <c r="A541" s="29"/>
      <c r="B541" s="29"/>
      <c r="C541" s="126"/>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2.75" customHeight="1" x14ac:dyDescent="0.2">
      <c r="A542" s="29"/>
      <c r="B542" s="29"/>
      <c r="C542" s="126"/>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2.75" customHeight="1" x14ac:dyDescent="0.2">
      <c r="A543" s="29"/>
      <c r="B543" s="29"/>
      <c r="C543" s="126"/>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2.75" customHeight="1" x14ac:dyDescent="0.2">
      <c r="A544" s="29"/>
      <c r="B544" s="29"/>
      <c r="C544" s="126"/>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2.75" customHeight="1" x14ac:dyDescent="0.2">
      <c r="A545" s="29"/>
      <c r="B545" s="29"/>
      <c r="C545" s="126"/>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2.75" customHeight="1" x14ac:dyDescent="0.2">
      <c r="A546" s="29"/>
      <c r="B546" s="29"/>
      <c r="C546" s="126"/>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2.75" customHeight="1" x14ac:dyDescent="0.2">
      <c r="A547" s="29"/>
      <c r="B547" s="29"/>
      <c r="C547" s="126"/>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2.75" customHeight="1" x14ac:dyDescent="0.2">
      <c r="A548" s="29"/>
      <c r="B548" s="29"/>
      <c r="C548" s="126"/>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2.75" customHeight="1" x14ac:dyDescent="0.2">
      <c r="A549" s="29"/>
      <c r="B549" s="29"/>
      <c r="C549" s="126"/>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2.75" customHeight="1" x14ac:dyDescent="0.2">
      <c r="A550" s="29"/>
      <c r="B550" s="29"/>
      <c r="C550" s="126"/>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2.75" customHeight="1" x14ac:dyDescent="0.2">
      <c r="A551" s="29"/>
      <c r="B551" s="29"/>
      <c r="C551" s="126"/>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2.75" customHeight="1" x14ac:dyDescent="0.2">
      <c r="A552" s="29"/>
      <c r="B552" s="29"/>
      <c r="C552" s="126"/>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2.75" customHeight="1" x14ac:dyDescent="0.2">
      <c r="A553" s="29"/>
      <c r="B553" s="29"/>
      <c r="C553" s="126"/>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2.75" customHeight="1" x14ac:dyDescent="0.2">
      <c r="A554" s="29"/>
      <c r="B554" s="29"/>
      <c r="C554" s="126"/>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2.75" customHeight="1" x14ac:dyDescent="0.2">
      <c r="A555" s="29"/>
      <c r="B555" s="29"/>
      <c r="C555" s="126"/>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2.75" customHeight="1" x14ac:dyDescent="0.2">
      <c r="A556" s="29"/>
      <c r="B556" s="29"/>
      <c r="C556" s="126"/>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2.75" customHeight="1" x14ac:dyDescent="0.2">
      <c r="A557" s="29"/>
      <c r="B557" s="29"/>
      <c r="C557" s="126"/>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2.75" customHeight="1" x14ac:dyDescent="0.2">
      <c r="A558" s="29"/>
      <c r="B558" s="29"/>
      <c r="C558" s="126"/>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2.75" customHeight="1" x14ac:dyDescent="0.2">
      <c r="A559" s="29"/>
      <c r="B559" s="29"/>
      <c r="C559" s="126"/>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2.75" customHeight="1" x14ac:dyDescent="0.2">
      <c r="A560" s="29"/>
      <c r="B560" s="29"/>
      <c r="C560" s="126"/>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2.75" customHeight="1" x14ac:dyDescent="0.2">
      <c r="A561" s="29"/>
      <c r="B561" s="29"/>
      <c r="C561" s="126"/>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2.75" customHeight="1" x14ac:dyDescent="0.2">
      <c r="A562" s="29"/>
      <c r="B562" s="29"/>
      <c r="C562" s="126"/>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2.75" customHeight="1" x14ac:dyDescent="0.2">
      <c r="A563" s="29"/>
      <c r="B563" s="29"/>
      <c r="C563" s="126"/>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2.75" customHeight="1" x14ac:dyDescent="0.2">
      <c r="A564" s="29"/>
      <c r="B564" s="29"/>
      <c r="C564" s="126"/>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2.75" customHeight="1" x14ac:dyDescent="0.2">
      <c r="A565" s="29"/>
      <c r="B565" s="29"/>
      <c r="C565" s="126"/>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2.75" customHeight="1" x14ac:dyDescent="0.2">
      <c r="A566" s="29"/>
      <c r="B566" s="29"/>
      <c r="C566" s="126"/>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2.75" customHeight="1" x14ac:dyDescent="0.2">
      <c r="A567" s="29"/>
      <c r="B567" s="29"/>
      <c r="C567" s="126"/>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2.75" customHeight="1" x14ac:dyDescent="0.2">
      <c r="A568" s="29"/>
      <c r="B568" s="29"/>
      <c r="C568" s="126"/>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2.75" customHeight="1" x14ac:dyDescent="0.2">
      <c r="A569" s="29"/>
      <c r="B569" s="29"/>
      <c r="C569" s="126"/>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2.75" customHeight="1" x14ac:dyDescent="0.2">
      <c r="A570" s="29"/>
      <c r="B570" s="29"/>
      <c r="C570" s="126"/>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2.75" customHeight="1" x14ac:dyDescent="0.2">
      <c r="A571" s="29"/>
      <c r="B571" s="29"/>
      <c r="C571" s="126"/>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2.75" customHeight="1" x14ac:dyDescent="0.2">
      <c r="A572" s="29"/>
      <c r="B572" s="29"/>
      <c r="C572" s="126"/>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2.75" customHeight="1" x14ac:dyDescent="0.2">
      <c r="A573" s="29"/>
      <c r="B573" s="29"/>
      <c r="C573" s="126"/>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2.75" customHeight="1" x14ac:dyDescent="0.2">
      <c r="A574" s="29"/>
      <c r="B574" s="29"/>
      <c r="C574" s="126"/>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2.75" customHeight="1" x14ac:dyDescent="0.2">
      <c r="A575" s="29"/>
      <c r="B575" s="29"/>
      <c r="C575" s="126"/>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2.75" customHeight="1" x14ac:dyDescent="0.2">
      <c r="A576" s="29"/>
      <c r="B576" s="29"/>
      <c r="C576" s="126"/>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2.75" customHeight="1" x14ac:dyDescent="0.2">
      <c r="A577" s="29"/>
      <c r="B577" s="29"/>
      <c r="C577" s="126"/>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2.75" customHeight="1" x14ac:dyDescent="0.2">
      <c r="A578" s="29"/>
      <c r="B578" s="29"/>
      <c r="C578" s="126"/>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2.75" customHeight="1" x14ac:dyDescent="0.2">
      <c r="A579" s="29"/>
      <c r="B579" s="29"/>
      <c r="C579" s="126"/>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2.75" customHeight="1" x14ac:dyDescent="0.2">
      <c r="A580" s="29"/>
      <c r="B580" s="29"/>
      <c r="C580" s="126"/>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2.75" customHeight="1" x14ac:dyDescent="0.2">
      <c r="A581" s="29"/>
      <c r="B581" s="29"/>
      <c r="C581" s="126"/>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2.75" customHeight="1" x14ac:dyDescent="0.2">
      <c r="A582" s="29"/>
      <c r="B582" s="29"/>
      <c r="C582" s="126"/>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2.75" customHeight="1" x14ac:dyDescent="0.2">
      <c r="A583" s="29"/>
      <c r="B583" s="29"/>
      <c r="C583" s="126"/>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2.75" customHeight="1" x14ac:dyDescent="0.2">
      <c r="A584" s="29"/>
      <c r="B584" s="29"/>
      <c r="C584" s="126"/>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2.75" customHeight="1" x14ac:dyDescent="0.2">
      <c r="A585" s="29"/>
      <c r="B585" s="29"/>
      <c r="C585" s="126"/>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2.75" customHeight="1" x14ac:dyDescent="0.2">
      <c r="A586" s="29"/>
      <c r="B586" s="29"/>
      <c r="C586" s="126"/>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2.75" customHeight="1" x14ac:dyDescent="0.2">
      <c r="A587" s="29"/>
      <c r="B587" s="29"/>
      <c r="C587" s="126"/>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2.75" customHeight="1" x14ac:dyDescent="0.2">
      <c r="A588" s="29"/>
      <c r="B588" s="29"/>
      <c r="C588" s="126"/>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2.75" customHeight="1" x14ac:dyDescent="0.2">
      <c r="A589" s="29"/>
      <c r="B589" s="29"/>
      <c r="C589" s="126"/>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2.75" customHeight="1" x14ac:dyDescent="0.2">
      <c r="A590" s="29"/>
      <c r="B590" s="29"/>
      <c r="C590" s="126"/>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2.75" customHeight="1" x14ac:dyDescent="0.2">
      <c r="A591" s="29"/>
      <c r="B591" s="29"/>
      <c r="C591" s="126"/>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2.75" customHeight="1" x14ac:dyDescent="0.2">
      <c r="A592" s="29"/>
      <c r="B592" s="29"/>
      <c r="C592" s="126"/>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2.75" customHeight="1" x14ac:dyDescent="0.2">
      <c r="A593" s="29"/>
      <c r="B593" s="29"/>
      <c r="C593" s="126"/>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2.75" customHeight="1" x14ac:dyDescent="0.2">
      <c r="A594" s="29"/>
      <c r="B594" s="29"/>
      <c r="C594" s="126"/>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2.75" customHeight="1" x14ac:dyDescent="0.2">
      <c r="A595" s="29"/>
      <c r="B595" s="29"/>
      <c r="C595" s="126"/>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2.75" customHeight="1" x14ac:dyDescent="0.2">
      <c r="A596" s="29"/>
      <c r="B596" s="29"/>
      <c r="C596" s="126"/>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2.75" customHeight="1" x14ac:dyDescent="0.2">
      <c r="A597" s="29"/>
      <c r="B597" s="29"/>
      <c r="C597" s="126"/>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2.75" customHeight="1" x14ac:dyDescent="0.2">
      <c r="A598" s="29"/>
      <c r="B598" s="29"/>
      <c r="C598" s="126"/>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2.75" customHeight="1" x14ac:dyDescent="0.2">
      <c r="A599" s="29"/>
      <c r="B599" s="29"/>
      <c r="C599" s="126"/>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2.75" customHeight="1" x14ac:dyDescent="0.2">
      <c r="A600" s="29"/>
      <c r="B600" s="29"/>
      <c r="C600" s="126"/>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2.75" customHeight="1" x14ac:dyDescent="0.2">
      <c r="A601" s="29"/>
      <c r="B601" s="29"/>
      <c r="C601" s="126"/>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2.75" customHeight="1" x14ac:dyDescent="0.2">
      <c r="A602" s="29"/>
      <c r="B602" s="29"/>
      <c r="C602" s="126"/>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2.75" customHeight="1" x14ac:dyDescent="0.2">
      <c r="A603" s="29"/>
      <c r="B603" s="29"/>
      <c r="C603" s="126"/>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2.75" customHeight="1" x14ac:dyDescent="0.2">
      <c r="A604" s="29"/>
      <c r="B604" s="29"/>
      <c r="C604" s="126"/>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2.75" customHeight="1" x14ac:dyDescent="0.2">
      <c r="A605" s="29"/>
      <c r="B605" s="29"/>
      <c r="C605" s="126"/>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2.75" customHeight="1" x14ac:dyDescent="0.2">
      <c r="A606" s="29"/>
      <c r="B606" s="29"/>
      <c r="C606" s="126"/>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2.75" customHeight="1" x14ac:dyDescent="0.2">
      <c r="A607" s="29"/>
      <c r="B607" s="29"/>
      <c r="C607" s="126"/>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2.75" customHeight="1" x14ac:dyDescent="0.2">
      <c r="A608" s="29"/>
      <c r="B608" s="29"/>
      <c r="C608" s="126"/>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2.75" customHeight="1" x14ac:dyDescent="0.2">
      <c r="A609" s="29"/>
      <c r="B609" s="29"/>
      <c r="C609" s="126"/>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2.75" customHeight="1" x14ac:dyDescent="0.2">
      <c r="A610" s="29"/>
      <c r="B610" s="29"/>
      <c r="C610" s="126"/>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2.75" customHeight="1" x14ac:dyDescent="0.2">
      <c r="A611" s="29"/>
      <c r="B611" s="29"/>
      <c r="C611" s="126"/>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2.75" customHeight="1" x14ac:dyDescent="0.2">
      <c r="A612" s="29"/>
      <c r="B612" s="29"/>
      <c r="C612" s="126"/>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2.75" customHeight="1" x14ac:dyDescent="0.2">
      <c r="A613" s="29"/>
      <c r="B613" s="29"/>
      <c r="C613" s="126"/>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2.75" customHeight="1" x14ac:dyDescent="0.2">
      <c r="A614" s="29"/>
      <c r="B614" s="29"/>
      <c r="C614" s="126"/>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2.75" customHeight="1" x14ac:dyDescent="0.2">
      <c r="A615" s="29"/>
      <c r="B615" s="29"/>
      <c r="C615" s="126"/>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2.75" customHeight="1" x14ac:dyDescent="0.2">
      <c r="A616" s="29"/>
      <c r="B616" s="29"/>
      <c r="C616" s="126"/>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2.75" customHeight="1" x14ac:dyDescent="0.2">
      <c r="A617" s="29"/>
      <c r="B617" s="29"/>
      <c r="C617" s="126"/>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2.75" customHeight="1" x14ac:dyDescent="0.2">
      <c r="A618" s="29"/>
      <c r="B618" s="29"/>
      <c r="C618" s="126"/>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2.75" customHeight="1" x14ac:dyDescent="0.2">
      <c r="A619" s="29"/>
      <c r="B619" s="29"/>
      <c r="C619" s="126"/>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2.75" customHeight="1" x14ac:dyDescent="0.2">
      <c r="A620" s="29"/>
      <c r="B620" s="29"/>
      <c r="C620" s="126"/>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2.75" customHeight="1" x14ac:dyDescent="0.2">
      <c r="A621" s="29"/>
      <c r="B621" s="29"/>
      <c r="C621" s="126"/>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2.75" customHeight="1" x14ac:dyDescent="0.2">
      <c r="A622" s="29"/>
      <c r="B622" s="29"/>
      <c r="C622" s="126"/>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2.75" customHeight="1" x14ac:dyDescent="0.2">
      <c r="A623" s="29"/>
      <c r="B623" s="29"/>
      <c r="C623" s="126"/>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2.75" customHeight="1" x14ac:dyDescent="0.2">
      <c r="A624" s="29"/>
      <c r="B624" s="29"/>
      <c r="C624" s="126"/>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2.75" customHeight="1" x14ac:dyDescent="0.2">
      <c r="A625" s="29"/>
      <c r="B625" s="29"/>
      <c r="C625" s="126"/>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2.75" customHeight="1" x14ac:dyDescent="0.2">
      <c r="A626" s="29"/>
      <c r="B626" s="29"/>
      <c r="C626" s="126"/>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2.75" customHeight="1" x14ac:dyDescent="0.2">
      <c r="A627" s="29"/>
      <c r="B627" s="29"/>
      <c r="C627" s="126"/>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2.75" customHeight="1" x14ac:dyDescent="0.2">
      <c r="A628" s="29"/>
      <c r="B628" s="29"/>
      <c r="C628" s="126"/>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2.75" customHeight="1" x14ac:dyDescent="0.2">
      <c r="A629" s="29"/>
      <c r="B629" s="29"/>
      <c r="C629" s="126"/>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2.75" customHeight="1" x14ac:dyDescent="0.2">
      <c r="A630" s="29"/>
      <c r="B630" s="29"/>
      <c r="C630" s="126"/>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2.75" customHeight="1" x14ac:dyDescent="0.2">
      <c r="A631" s="29"/>
      <c r="B631" s="29"/>
      <c r="C631" s="126"/>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2.75" customHeight="1" x14ac:dyDescent="0.2">
      <c r="A632" s="29"/>
      <c r="B632" s="29"/>
      <c r="C632" s="126"/>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2.75" customHeight="1" x14ac:dyDescent="0.2">
      <c r="A633" s="29"/>
      <c r="B633" s="29"/>
      <c r="C633" s="126"/>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2.75" customHeight="1" x14ac:dyDescent="0.2">
      <c r="A634" s="29"/>
      <c r="B634" s="29"/>
      <c r="C634" s="126"/>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2.75" customHeight="1" x14ac:dyDescent="0.2">
      <c r="A635" s="29"/>
      <c r="B635" s="29"/>
      <c r="C635" s="126"/>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2.75" customHeight="1" x14ac:dyDescent="0.2">
      <c r="A636" s="29"/>
      <c r="B636" s="29"/>
      <c r="C636" s="126"/>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2.75" customHeight="1" x14ac:dyDescent="0.2">
      <c r="A637" s="29"/>
      <c r="B637" s="29"/>
      <c r="C637" s="126"/>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2.75" customHeight="1" x14ac:dyDescent="0.2">
      <c r="A638" s="29"/>
      <c r="B638" s="29"/>
      <c r="C638" s="126"/>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2.75" customHeight="1" x14ac:dyDescent="0.2">
      <c r="A639" s="29"/>
      <c r="B639" s="29"/>
      <c r="C639" s="126"/>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2.75" customHeight="1" x14ac:dyDescent="0.2">
      <c r="A640" s="29"/>
      <c r="B640" s="29"/>
      <c r="C640" s="126"/>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2.75" customHeight="1" x14ac:dyDescent="0.2">
      <c r="A641" s="29"/>
      <c r="B641" s="29"/>
      <c r="C641" s="126"/>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2.75" customHeight="1" x14ac:dyDescent="0.2">
      <c r="A642" s="29"/>
      <c r="B642" s="29"/>
      <c r="C642" s="126"/>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2.75" customHeight="1" x14ac:dyDescent="0.2">
      <c r="A643" s="29"/>
      <c r="B643" s="29"/>
      <c r="C643" s="126"/>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2.75" customHeight="1" x14ac:dyDescent="0.2">
      <c r="A644" s="29"/>
      <c r="B644" s="29"/>
      <c r="C644" s="126"/>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2.75" customHeight="1" x14ac:dyDescent="0.2">
      <c r="A645" s="29"/>
      <c r="B645" s="29"/>
      <c r="C645" s="126"/>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2.75" customHeight="1" x14ac:dyDescent="0.2">
      <c r="A646" s="29"/>
      <c r="B646" s="29"/>
      <c r="C646" s="126"/>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2.75" customHeight="1" x14ac:dyDescent="0.2">
      <c r="A647" s="29"/>
      <c r="B647" s="29"/>
      <c r="C647" s="126"/>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2.75" customHeight="1" x14ac:dyDescent="0.2">
      <c r="A648" s="29"/>
      <c r="B648" s="29"/>
      <c r="C648" s="126"/>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2.75" customHeight="1" x14ac:dyDescent="0.2">
      <c r="A649" s="29"/>
      <c r="B649" s="29"/>
      <c r="C649" s="126"/>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2.75" customHeight="1" x14ac:dyDescent="0.2">
      <c r="A650" s="29"/>
      <c r="B650" s="29"/>
      <c r="C650" s="126"/>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2.75" customHeight="1" x14ac:dyDescent="0.2">
      <c r="A651" s="29"/>
      <c r="B651" s="29"/>
      <c r="C651" s="126"/>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2.75" customHeight="1" x14ac:dyDescent="0.2">
      <c r="A652" s="29"/>
      <c r="B652" s="29"/>
      <c r="C652" s="126"/>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2.75" customHeight="1" x14ac:dyDescent="0.2">
      <c r="A653" s="29"/>
      <c r="B653" s="29"/>
      <c r="C653" s="126"/>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2.75" customHeight="1" x14ac:dyDescent="0.2">
      <c r="A654" s="29"/>
      <c r="B654" s="29"/>
      <c r="C654" s="126"/>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2.75" customHeight="1" x14ac:dyDescent="0.2">
      <c r="A655" s="29"/>
      <c r="B655" s="29"/>
      <c r="C655" s="126"/>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2.75" customHeight="1" x14ac:dyDescent="0.2">
      <c r="A656" s="29"/>
      <c r="B656" s="29"/>
      <c r="C656" s="126"/>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2.75" customHeight="1" x14ac:dyDescent="0.2">
      <c r="A657" s="29"/>
      <c r="B657" s="29"/>
      <c r="C657" s="126"/>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2.75" customHeight="1" x14ac:dyDescent="0.2">
      <c r="A658" s="29"/>
      <c r="B658" s="29"/>
      <c r="C658" s="126"/>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2.75" customHeight="1" x14ac:dyDescent="0.2">
      <c r="A659" s="29"/>
      <c r="B659" s="29"/>
      <c r="C659" s="126"/>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2.75" customHeight="1" x14ac:dyDescent="0.2">
      <c r="A660" s="29"/>
      <c r="B660" s="29"/>
      <c r="C660" s="126"/>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2.75" customHeight="1" x14ac:dyDescent="0.2">
      <c r="A661" s="29"/>
      <c r="B661" s="29"/>
      <c r="C661" s="126"/>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2.75" customHeight="1" x14ac:dyDescent="0.2">
      <c r="A662" s="29"/>
      <c r="B662" s="29"/>
      <c r="C662" s="126"/>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2.75" customHeight="1" x14ac:dyDescent="0.2">
      <c r="A663" s="29"/>
      <c r="B663" s="29"/>
      <c r="C663" s="126"/>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2.75" customHeight="1" x14ac:dyDescent="0.2">
      <c r="A664" s="29"/>
      <c r="B664" s="29"/>
      <c r="C664" s="126"/>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2.75" customHeight="1" x14ac:dyDescent="0.2">
      <c r="A665" s="29"/>
      <c r="B665" s="29"/>
      <c r="C665" s="126"/>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2.75" customHeight="1" x14ac:dyDescent="0.2">
      <c r="A666" s="29"/>
      <c r="B666" s="29"/>
      <c r="C666" s="126"/>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2.75" customHeight="1" x14ac:dyDescent="0.2">
      <c r="A667" s="29"/>
      <c r="B667" s="29"/>
      <c r="C667" s="126"/>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2.75" customHeight="1" x14ac:dyDescent="0.2">
      <c r="A668" s="29"/>
      <c r="B668" s="29"/>
      <c r="C668" s="126"/>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2.75" customHeight="1" x14ac:dyDescent="0.2">
      <c r="A669" s="29"/>
      <c r="B669" s="29"/>
      <c r="C669" s="126"/>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2.75" customHeight="1" x14ac:dyDescent="0.2">
      <c r="A670" s="29"/>
      <c r="B670" s="29"/>
      <c r="C670" s="126"/>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2.75" customHeight="1" x14ac:dyDescent="0.2">
      <c r="A671" s="29"/>
      <c r="B671" s="29"/>
      <c r="C671" s="126"/>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2.75" customHeight="1" x14ac:dyDescent="0.2">
      <c r="A672" s="29"/>
      <c r="B672" s="29"/>
      <c r="C672" s="126"/>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2.75" customHeight="1" x14ac:dyDescent="0.2">
      <c r="A673" s="29"/>
      <c r="B673" s="29"/>
      <c r="C673" s="126"/>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2.75" customHeight="1" x14ac:dyDescent="0.2">
      <c r="A674" s="29"/>
      <c r="B674" s="29"/>
      <c r="C674" s="126"/>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2.75" customHeight="1" x14ac:dyDescent="0.2">
      <c r="A675" s="29"/>
      <c r="B675" s="29"/>
      <c r="C675" s="126"/>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2.75" customHeight="1" x14ac:dyDescent="0.2">
      <c r="A676" s="29"/>
      <c r="B676" s="29"/>
      <c r="C676" s="126"/>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2.75" customHeight="1" x14ac:dyDescent="0.2">
      <c r="A677" s="29"/>
      <c r="B677" s="29"/>
      <c r="C677" s="126"/>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2.75" customHeight="1" x14ac:dyDescent="0.2">
      <c r="A678" s="29"/>
      <c r="B678" s="29"/>
      <c r="C678" s="126"/>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2.75" customHeight="1" x14ac:dyDescent="0.2">
      <c r="A679" s="29"/>
      <c r="B679" s="29"/>
      <c r="C679" s="126"/>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2.75" customHeight="1" x14ac:dyDescent="0.2">
      <c r="A680" s="29"/>
      <c r="B680" s="29"/>
      <c r="C680" s="126"/>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2.75" customHeight="1" x14ac:dyDescent="0.2">
      <c r="A681" s="29"/>
      <c r="B681" s="29"/>
      <c r="C681" s="126"/>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2.75" customHeight="1" x14ac:dyDescent="0.2">
      <c r="A682" s="29"/>
      <c r="B682" s="29"/>
      <c r="C682" s="126"/>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2.75" customHeight="1" x14ac:dyDescent="0.2">
      <c r="A683" s="29"/>
      <c r="B683" s="29"/>
      <c r="C683" s="126"/>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2.75" customHeight="1" x14ac:dyDescent="0.2">
      <c r="A684" s="29"/>
      <c r="B684" s="29"/>
      <c r="C684" s="126"/>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2.75" customHeight="1" x14ac:dyDescent="0.2">
      <c r="A685" s="29"/>
      <c r="B685" s="29"/>
      <c r="C685" s="126"/>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2.75" customHeight="1" x14ac:dyDescent="0.2">
      <c r="A686" s="29"/>
      <c r="B686" s="29"/>
      <c r="C686" s="126"/>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2.75" customHeight="1" x14ac:dyDescent="0.2">
      <c r="A687" s="29"/>
      <c r="B687" s="29"/>
      <c r="C687" s="126"/>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2.75" customHeight="1" x14ac:dyDescent="0.2">
      <c r="A688" s="29"/>
      <c r="B688" s="29"/>
      <c r="C688" s="126"/>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2.75" customHeight="1" x14ac:dyDescent="0.2">
      <c r="A689" s="29"/>
      <c r="B689" s="29"/>
      <c r="C689" s="126"/>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2.75" customHeight="1" x14ac:dyDescent="0.2">
      <c r="A690" s="29"/>
      <c r="B690" s="29"/>
      <c r="C690" s="126"/>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2.75" customHeight="1" x14ac:dyDescent="0.2">
      <c r="A691" s="29"/>
      <c r="B691" s="29"/>
      <c r="C691" s="126"/>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2.75" customHeight="1" x14ac:dyDescent="0.2">
      <c r="A692" s="29"/>
      <c r="B692" s="29"/>
      <c r="C692" s="126"/>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2.75" customHeight="1" x14ac:dyDescent="0.2">
      <c r="A693" s="29"/>
      <c r="B693" s="29"/>
      <c r="C693" s="126"/>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2.75" customHeight="1" x14ac:dyDescent="0.2">
      <c r="A694" s="29"/>
      <c r="B694" s="29"/>
      <c r="C694" s="126"/>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2.75" customHeight="1" x14ac:dyDescent="0.2">
      <c r="A695" s="29"/>
      <c r="B695" s="29"/>
      <c r="C695" s="126"/>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2.75" customHeight="1" x14ac:dyDescent="0.2">
      <c r="A696" s="29"/>
      <c r="B696" s="29"/>
      <c r="C696" s="126"/>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2.75" customHeight="1" x14ac:dyDescent="0.2">
      <c r="A697" s="29"/>
      <c r="B697" s="29"/>
      <c r="C697" s="126"/>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2.75" customHeight="1" x14ac:dyDescent="0.2">
      <c r="A698" s="29"/>
      <c r="B698" s="29"/>
      <c r="C698" s="126"/>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2.75" customHeight="1" x14ac:dyDescent="0.2">
      <c r="A699" s="29"/>
      <c r="B699" s="29"/>
      <c r="C699" s="126"/>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2.75" customHeight="1" x14ac:dyDescent="0.2">
      <c r="A700" s="29"/>
      <c r="B700" s="29"/>
      <c r="C700" s="126"/>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2.75" customHeight="1" x14ac:dyDescent="0.2">
      <c r="A701" s="29"/>
      <c r="B701" s="29"/>
      <c r="C701" s="126"/>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2.75" customHeight="1" x14ac:dyDescent="0.2">
      <c r="A702" s="29"/>
      <c r="B702" s="29"/>
      <c r="C702" s="126"/>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2.75" customHeight="1" x14ac:dyDescent="0.2">
      <c r="A703" s="29"/>
      <c r="B703" s="29"/>
      <c r="C703" s="126"/>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2.75" customHeight="1" x14ac:dyDescent="0.2">
      <c r="A704" s="29"/>
      <c r="B704" s="29"/>
      <c r="C704" s="126"/>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2.75" customHeight="1" x14ac:dyDescent="0.2">
      <c r="A705" s="29"/>
      <c r="B705" s="29"/>
      <c r="C705" s="126"/>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2.75" customHeight="1" x14ac:dyDescent="0.2">
      <c r="A706" s="29"/>
      <c r="B706" s="29"/>
      <c r="C706" s="126"/>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2.75" customHeight="1" x14ac:dyDescent="0.2">
      <c r="A707" s="29"/>
      <c r="B707" s="29"/>
      <c r="C707" s="126"/>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2.75" customHeight="1" x14ac:dyDescent="0.2">
      <c r="A708" s="29"/>
      <c r="B708" s="29"/>
      <c r="C708" s="126"/>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2.75" customHeight="1" x14ac:dyDescent="0.2">
      <c r="A709" s="29"/>
      <c r="B709" s="29"/>
      <c r="C709" s="126"/>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2.75" customHeight="1" x14ac:dyDescent="0.2">
      <c r="A710" s="29"/>
      <c r="B710" s="29"/>
      <c r="C710" s="126"/>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2.75" customHeight="1" x14ac:dyDescent="0.2">
      <c r="A711" s="29"/>
      <c r="B711" s="29"/>
      <c r="C711" s="126"/>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2.75" customHeight="1" x14ac:dyDescent="0.2">
      <c r="A712" s="29"/>
      <c r="B712" s="29"/>
      <c r="C712" s="126"/>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2.75" customHeight="1" x14ac:dyDescent="0.2">
      <c r="A713" s="29"/>
      <c r="B713" s="29"/>
      <c r="C713" s="126"/>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2.75" customHeight="1" x14ac:dyDescent="0.2">
      <c r="A714" s="29"/>
      <c r="B714" s="29"/>
      <c r="C714" s="126"/>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2.75" customHeight="1" x14ac:dyDescent="0.2">
      <c r="A715" s="29"/>
      <c r="B715" s="29"/>
      <c r="C715" s="126"/>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2.75" customHeight="1" x14ac:dyDescent="0.2">
      <c r="A716" s="29"/>
      <c r="B716" s="29"/>
      <c r="C716" s="126"/>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2.75" customHeight="1" x14ac:dyDescent="0.2">
      <c r="A717" s="29"/>
      <c r="B717" s="29"/>
      <c r="C717" s="126"/>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2.75" customHeight="1" x14ac:dyDescent="0.2">
      <c r="A718" s="29"/>
      <c r="B718" s="29"/>
      <c r="C718" s="126"/>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2.75" customHeight="1" x14ac:dyDescent="0.2">
      <c r="A719" s="29"/>
      <c r="B719" s="29"/>
      <c r="C719" s="126"/>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2.75" customHeight="1" x14ac:dyDescent="0.2">
      <c r="A720" s="29"/>
      <c r="B720" s="29"/>
      <c r="C720" s="126"/>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2.75" customHeight="1" x14ac:dyDescent="0.2">
      <c r="A721" s="29"/>
      <c r="B721" s="29"/>
      <c r="C721" s="126"/>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2.75" customHeight="1" x14ac:dyDescent="0.2">
      <c r="A722" s="29"/>
      <c r="B722" s="29"/>
      <c r="C722" s="126"/>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2.75" customHeight="1" x14ac:dyDescent="0.2">
      <c r="A723" s="29"/>
      <c r="B723" s="29"/>
      <c r="C723" s="126"/>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2.75" customHeight="1" x14ac:dyDescent="0.2">
      <c r="A724" s="29"/>
      <c r="B724" s="29"/>
      <c r="C724" s="126"/>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2.75" customHeight="1" x14ac:dyDescent="0.2">
      <c r="A725" s="29"/>
      <c r="B725" s="29"/>
      <c r="C725" s="126"/>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2.75" customHeight="1" x14ac:dyDescent="0.2">
      <c r="A726" s="29"/>
      <c r="B726" s="29"/>
      <c r="C726" s="126"/>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2.75" customHeight="1" x14ac:dyDescent="0.2">
      <c r="A727" s="29"/>
      <c r="B727" s="29"/>
      <c r="C727" s="126"/>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2.75" customHeight="1" x14ac:dyDescent="0.2">
      <c r="A728" s="29"/>
      <c r="B728" s="29"/>
      <c r="C728" s="126"/>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2.75" customHeight="1" x14ac:dyDescent="0.2">
      <c r="A729" s="29"/>
      <c r="B729" s="29"/>
      <c r="C729" s="126"/>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2.75" customHeight="1" x14ac:dyDescent="0.2">
      <c r="A730" s="29"/>
      <c r="B730" s="29"/>
      <c r="C730" s="126"/>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2.75" customHeight="1" x14ac:dyDescent="0.2">
      <c r="A731" s="29"/>
      <c r="B731" s="29"/>
      <c r="C731" s="126"/>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2.75" customHeight="1" x14ac:dyDescent="0.2">
      <c r="A732" s="29"/>
      <c r="B732" s="29"/>
      <c r="C732" s="126"/>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2.75" customHeight="1" x14ac:dyDescent="0.2">
      <c r="A733" s="29"/>
      <c r="B733" s="29"/>
      <c r="C733" s="126"/>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2.75" customHeight="1" x14ac:dyDescent="0.2">
      <c r="A734" s="29"/>
      <c r="B734" s="29"/>
      <c r="C734" s="126"/>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2.75" customHeight="1" x14ac:dyDescent="0.2">
      <c r="A735" s="29"/>
      <c r="B735" s="29"/>
      <c r="C735" s="126"/>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2.75" customHeight="1" x14ac:dyDescent="0.2">
      <c r="A736" s="29"/>
      <c r="B736" s="29"/>
      <c r="C736" s="126"/>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2.75" customHeight="1" x14ac:dyDescent="0.2">
      <c r="A737" s="29"/>
      <c r="B737" s="29"/>
      <c r="C737" s="126"/>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2.75" customHeight="1" x14ac:dyDescent="0.2">
      <c r="A738" s="29"/>
      <c r="B738" s="29"/>
      <c r="C738" s="126"/>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2.75" customHeight="1" x14ac:dyDescent="0.2">
      <c r="A739" s="29"/>
      <c r="B739" s="29"/>
      <c r="C739" s="126"/>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2.75" customHeight="1" x14ac:dyDescent="0.2">
      <c r="A740" s="29"/>
      <c r="B740" s="29"/>
      <c r="C740" s="126"/>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2.75" customHeight="1" x14ac:dyDescent="0.2">
      <c r="A741" s="29"/>
      <c r="B741" s="29"/>
      <c r="C741" s="126"/>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2.75" customHeight="1" x14ac:dyDescent="0.2">
      <c r="A742" s="29"/>
      <c r="B742" s="29"/>
      <c r="C742" s="126"/>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2.75" customHeight="1" x14ac:dyDescent="0.2">
      <c r="A743" s="29"/>
      <c r="B743" s="29"/>
      <c r="C743" s="126"/>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2.75" customHeight="1" x14ac:dyDescent="0.2">
      <c r="A744" s="29"/>
      <c r="B744" s="29"/>
      <c r="C744" s="126"/>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2.75" customHeight="1" x14ac:dyDescent="0.2">
      <c r="A745" s="29"/>
      <c r="B745" s="29"/>
      <c r="C745" s="126"/>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2.75" customHeight="1" x14ac:dyDescent="0.2">
      <c r="A746" s="29"/>
      <c r="B746" s="29"/>
      <c r="C746" s="126"/>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2.75" customHeight="1" x14ac:dyDescent="0.2">
      <c r="A747" s="29"/>
      <c r="B747" s="29"/>
      <c r="C747" s="126"/>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2.75" customHeight="1" x14ac:dyDescent="0.2">
      <c r="A748" s="29"/>
      <c r="B748" s="29"/>
      <c r="C748" s="126"/>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2.75" customHeight="1" x14ac:dyDescent="0.2">
      <c r="A749" s="29"/>
      <c r="B749" s="29"/>
      <c r="C749" s="126"/>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2.75" customHeight="1" x14ac:dyDescent="0.2">
      <c r="A750" s="29"/>
      <c r="B750" s="29"/>
      <c r="C750" s="126"/>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2.75" customHeight="1" x14ac:dyDescent="0.2">
      <c r="A751" s="29"/>
      <c r="B751" s="29"/>
      <c r="C751" s="126"/>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2.75" customHeight="1" x14ac:dyDescent="0.2">
      <c r="A752" s="29"/>
      <c r="B752" s="29"/>
      <c r="C752" s="126"/>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2.75" customHeight="1" x14ac:dyDescent="0.2">
      <c r="A753" s="29"/>
      <c r="B753" s="29"/>
      <c r="C753" s="126"/>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2.75" customHeight="1" x14ac:dyDescent="0.2">
      <c r="A754" s="29"/>
      <c r="B754" s="29"/>
      <c r="C754" s="126"/>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2.75" customHeight="1" x14ac:dyDescent="0.2">
      <c r="A755" s="29"/>
      <c r="B755" s="29"/>
      <c r="C755" s="126"/>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2.75" customHeight="1" x14ac:dyDescent="0.2">
      <c r="A756" s="29"/>
      <c r="B756" s="29"/>
      <c r="C756" s="126"/>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2.75" customHeight="1" x14ac:dyDescent="0.2">
      <c r="A757" s="29"/>
      <c r="B757" s="29"/>
      <c r="C757" s="126"/>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2.75" customHeight="1" x14ac:dyDescent="0.2">
      <c r="A758" s="29"/>
      <c r="B758" s="29"/>
      <c r="C758" s="126"/>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2.75" customHeight="1" x14ac:dyDescent="0.2">
      <c r="A759" s="29"/>
      <c r="B759" s="29"/>
      <c r="C759" s="126"/>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2.75" customHeight="1" x14ac:dyDescent="0.2">
      <c r="A760" s="29"/>
      <c r="B760" s="29"/>
      <c r="C760" s="126"/>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2.75" customHeight="1" x14ac:dyDescent="0.2">
      <c r="A761" s="29"/>
      <c r="B761" s="29"/>
      <c r="C761" s="126"/>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2.75" customHeight="1" x14ac:dyDescent="0.2">
      <c r="A762" s="29"/>
      <c r="B762" s="29"/>
      <c r="C762" s="126"/>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2.75" customHeight="1" x14ac:dyDescent="0.2">
      <c r="A763" s="29"/>
      <c r="B763" s="29"/>
      <c r="C763" s="126"/>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2.75" customHeight="1" x14ac:dyDescent="0.2">
      <c r="A764" s="29"/>
      <c r="B764" s="29"/>
      <c r="C764" s="126"/>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2.75" customHeight="1" x14ac:dyDescent="0.2">
      <c r="A765" s="29"/>
      <c r="B765" s="29"/>
      <c r="C765" s="126"/>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2.75" customHeight="1" x14ac:dyDescent="0.2">
      <c r="A766" s="29"/>
      <c r="B766" s="29"/>
      <c r="C766" s="126"/>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2.75" customHeight="1" x14ac:dyDescent="0.2">
      <c r="A767" s="29"/>
      <c r="B767" s="29"/>
      <c r="C767" s="126"/>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2.75" customHeight="1" x14ac:dyDescent="0.2">
      <c r="A768" s="29"/>
      <c r="B768" s="29"/>
      <c r="C768" s="126"/>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2.75" customHeight="1" x14ac:dyDescent="0.2">
      <c r="A769" s="29"/>
      <c r="B769" s="29"/>
      <c r="C769" s="126"/>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2.75" customHeight="1" x14ac:dyDescent="0.2">
      <c r="A770" s="29"/>
      <c r="B770" s="29"/>
      <c r="C770" s="126"/>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2.75" customHeight="1" x14ac:dyDescent="0.2">
      <c r="A771" s="29"/>
      <c r="B771" s="29"/>
      <c r="C771" s="126"/>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2.75" customHeight="1" x14ac:dyDescent="0.2">
      <c r="A772" s="29"/>
      <c r="B772" s="29"/>
      <c r="C772" s="126"/>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2.75" customHeight="1" x14ac:dyDescent="0.2">
      <c r="A773" s="29"/>
      <c r="B773" s="29"/>
      <c r="C773" s="126"/>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2.75" customHeight="1" x14ac:dyDescent="0.2">
      <c r="A774" s="29"/>
      <c r="B774" s="29"/>
      <c r="C774" s="126"/>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2.75" customHeight="1" x14ac:dyDescent="0.2">
      <c r="A775" s="29"/>
      <c r="B775" s="29"/>
      <c r="C775" s="126"/>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2.75" customHeight="1" x14ac:dyDescent="0.2">
      <c r="A776" s="29"/>
      <c r="B776" s="29"/>
      <c r="C776" s="126"/>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2.75" customHeight="1" x14ac:dyDescent="0.2">
      <c r="A777" s="29"/>
      <c r="B777" s="29"/>
      <c r="C777" s="126"/>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2.75" customHeight="1" x14ac:dyDescent="0.2">
      <c r="A778" s="29"/>
      <c r="B778" s="29"/>
      <c r="C778" s="126"/>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2.75" customHeight="1" x14ac:dyDescent="0.2">
      <c r="A779" s="29"/>
      <c r="B779" s="29"/>
      <c r="C779" s="126"/>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2.75" customHeight="1" x14ac:dyDescent="0.2">
      <c r="A780" s="29"/>
      <c r="B780" s="29"/>
      <c r="C780" s="126"/>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2.75" customHeight="1" x14ac:dyDescent="0.2">
      <c r="A781" s="29"/>
      <c r="B781" s="29"/>
      <c r="C781" s="126"/>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2.75" customHeight="1" x14ac:dyDescent="0.2">
      <c r="A782" s="29"/>
      <c r="B782" s="29"/>
      <c r="C782" s="126"/>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2.75" customHeight="1" x14ac:dyDescent="0.2">
      <c r="A783" s="29"/>
      <c r="B783" s="29"/>
      <c r="C783" s="126"/>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2.75" customHeight="1" x14ac:dyDescent="0.2">
      <c r="A784" s="29"/>
      <c r="B784" s="29"/>
      <c r="C784" s="126"/>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2.75" customHeight="1" x14ac:dyDescent="0.2">
      <c r="A785" s="29"/>
      <c r="B785" s="29"/>
      <c r="C785" s="126"/>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2.75" customHeight="1" x14ac:dyDescent="0.2">
      <c r="A786" s="29"/>
      <c r="B786" s="29"/>
      <c r="C786" s="126"/>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2.75" customHeight="1" x14ac:dyDescent="0.2">
      <c r="A787" s="29"/>
      <c r="B787" s="29"/>
      <c r="C787" s="126"/>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2.75" customHeight="1" x14ac:dyDescent="0.2">
      <c r="A788" s="29"/>
      <c r="B788" s="29"/>
      <c r="C788" s="126"/>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2.75" customHeight="1" x14ac:dyDescent="0.2">
      <c r="A789" s="29"/>
      <c r="B789" s="29"/>
      <c r="C789" s="126"/>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2.75" customHeight="1" x14ac:dyDescent="0.2">
      <c r="A790" s="29"/>
      <c r="B790" s="29"/>
      <c r="C790" s="126"/>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2.75" customHeight="1" x14ac:dyDescent="0.2">
      <c r="A791" s="29"/>
      <c r="B791" s="29"/>
      <c r="C791" s="126"/>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2.75" customHeight="1" x14ac:dyDescent="0.2">
      <c r="A792" s="29"/>
      <c r="B792" s="29"/>
      <c r="C792" s="126"/>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2.75" customHeight="1" x14ac:dyDescent="0.2">
      <c r="A793" s="29"/>
      <c r="B793" s="29"/>
      <c r="C793" s="126"/>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2.75" customHeight="1" x14ac:dyDescent="0.2">
      <c r="A794" s="29"/>
      <c r="B794" s="29"/>
      <c r="C794" s="126"/>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2.75" customHeight="1" x14ac:dyDescent="0.2">
      <c r="A795" s="29"/>
      <c r="B795" s="29"/>
      <c r="C795" s="126"/>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2.75" customHeight="1" x14ac:dyDescent="0.2">
      <c r="A796" s="29"/>
      <c r="B796" s="29"/>
      <c r="C796" s="126"/>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2.75" customHeight="1" x14ac:dyDescent="0.2">
      <c r="A797" s="29"/>
      <c r="B797" s="29"/>
      <c r="C797" s="126"/>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2.75" customHeight="1" x14ac:dyDescent="0.2">
      <c r="A798" s="29"/>
      <c r="B798" s="29"/>
      <c r="C798" s="126"/>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2.75" customHeight="1" x14ac:dyDescent="0.2">
      <c r="A799" s="29"/>
      <c r="B799" s="29"/>
      <c r="C799" s="126"/>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2.75" customHeight="1" x14ac:dyDescent="0.2">
      <c r="A800" s="29"/>
      <c r="B800" s="29"/>
      <c r="C800" s="126"/>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2.75" customHeight="1" x14ac:dyDescent="0.2">
      <c r="A801" s="29"/>
      <c r="B801" s="29"/>
      <c r="C801" s="126"/>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2.75" customHeight="1" x14ac:dyDescent="0.2">
      <c r="A802" s="29"/>
      <c r="B802" s="29"/>
      <c r="C802" s="126"/>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2.75" customHeight="1" x14ac:dyDescent="0.2">
      <c r="A803" s="29"/>
      <c r="B803" s="29"/>
      <c r="C803" s="126"/>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2.75" customHeight="1" x14ac:dyDescent="0.2">
      <c r="A804" s="29"/>
      <c r="B804" s="29"/>
      <c r="C804" s="126"/>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2.75" customHeight="1" x14ac:dyDescent="0.2">
      <c r="A805" s="29"/>
      <c r="B805" s="29"/>
      <c r="C805" s="126"/>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2.75" customHeight="1" x14ac:dyDescent="0.2">
      <c r="A806" s="29"/>
      <c r="B806" s="29"/>
      <c r="C806" s="126"/>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2.75" customHeight="1" x14ac:dyDescent="0.2">
      <c r="A807" s="29"/>
      <c r="B807" s="29"/>
      <c r="C807" s="126"/>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2.75" customHeight="1" x14ac:dyDescent="0.2">
      <c r="A808" s="29"/>
      <c r="B808" s="29"/>
      <c r="C808" s="126"/>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2.75" customHeight="1" x14ac:dyDescent="0.2">
      <c r="A809" s="29"/>
      <c r="B809" s="29"/>
      <c r="C809" s="126"/>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2.75" customHeight="1" x14ac:dyDescent="0.2">
      <c r="A810" s="29"/>
      <c r="B810" s="29"/>
      <c r="C810" s="126"/>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2.75" customHeight="1" x14ac:dyDescent="0.2">
      <c r="A811" s="29"/>
      <c r="B811" s="29"/>
      <c r="C811" s="126"/>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2.75" customHeight="1" x14ac:dyDescent="0.2">
      <c r="A812" s="29"/>
      <c r="B812" s="29"/>
      <c r="C812" s="126"/>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2.75" customHeight="1" x14ac:dyDescent="0.2">
      <c r="A813" s="29"/>
      <c r="B813" s="29"/>
      <c r="C813" s="126"/>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2.75" customHeight="1" x14ac:dyDescent="0.2">
      <c r="A814" s="29"/>
      <c r="B814" s="29"/>
      <c r="C814" s="126"/>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2.75" customHeight="1" x14ac:dyDescent="0.2">
      <c r="A815" s="29"/>
      <c r="B815" s="29"/>
      <c r="C815" s="126"/>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2.75" customHeight="1" x14ac:dyDescent="0.2">
      <c r="A816" s="29"/>
      <c r="B816" s="29"/>
      <c r="C816" s="126"/>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2.75" customHeight="1" x14ac:dyDescent="0.2">
      <c r="A817" s="29"/>
      <c r="B817" s="29"/>
      <c r="C817" s="126"/>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2.75" customHeight="1" x14ac:dyDescent="0.2">
      <c r="A818" s="29"/>
      <c r="B818" s="29"/>
      <c r="C818" s="126"/>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2.75" customHeight="1" x14ac:dyDescent="0.2">
      <c r="A819" s="29"/>
      <c r="B819" s="29"/>
      <c r="C819" s="126"/>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2.75" customHeight="1" x14ac:dyDescent="0.2">
      <c r="A820" s="29"/>
      <c r="B820" s="29"/>
      <c r="C820" s="126"/>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2.75" customHeight="1" x14ac:dyDescent="0.2">
      <c r="A821" s="29"/>
      <c r="B821" s="29"/>
      <c r="C821" s="126"/>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2.75" customHeight="1" x14ac:dyDescent="0.2">
      <c r="A822" s="29"/>
      <c r="B822" s="29"/>
      <c r="C822" s="126"/>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2.75" customHeight="1" x14ac:dyDescent="0.2">
      <c r="A823" s="29"/>
      <c r="B823" s="29"/>
      <c r="C823" s="126"/>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2.75" customHeight="1" x14ac:dyDescent="0.2">
      <c r="A824" s="29"/>
      <c r="B824" s="29"/>
      <c r="C824" s="126"/>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2.75" customHeight="1" x14ac:dyDescent="0.2">
      <c r="A825" s="29"/>
      <c r="B825" s="29"/>
      <c r="C825" s="126"/>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2.75" customHeight="1" x14ac:dyDescent="0.2">
      <c r="A826" s="29"/>
      <c r="B826" s="29"/>
      <c r="C826" s="126"/>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2.75" customHeight="1" x14ac:dyDescent="0.2">
      <c r="A827" s="29"/>
      <c r="B827" s="29"/>
      <c r="C827" s="126"/>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2.75" customHeight="1" x14ac:dyDescent="0.2">
      <c r="A828" s="29"/>
      <c r="B828" s="29"/>
      <c r="C828" s="126"/>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2.75" customHeight="1" x14ac:dyDescent="0.2">
      <c r="A829" s="29"/>
      <c r="B829" s="29"/>
      <c r="C829" s="126"/>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2.75" customHeight="1" x14ac:dyDescent="0.2">
      <c r="A830" s="29"/>
      <c r="B830" s="29"/>
      <c r="C830" s="126"/>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2.75" customHeight="1" x14ac:dyDescent="0.2">
      <c r="A831" s="29"/>
      <c r="B831" s="29"/>
      <c r="C831" s="126"/>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2.75" customHeight="1" x14ac:dyDescent="0.2">
      <c r="A832" s="29"/>
      <c r="B832" s="29"/>
      <c r="C832" s="126"/>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2.75" customHeight="1" x14ac:dyDescent="0.2">
      <c r="A833" s="29"/>
      <c r="B833" s="29"/>
      <c r="C833" s="126"/>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2.75" customHeight="1" x14ac:dyDescent="0.2">
      <c r="A834" s="29"/>
      <c r="B834" s="29"/>
      <c r="C834" s="126"/>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2.75" customHeight="1" x14ac:dyDescent="0.2">
      <c r="A835" s="29"/>
      <c r="B835" s="29"/>
      <c r="C835" s="126"/>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2.75" customHeight="1" x14ac:dyDescent="0.2">
      <c r="A836" s="29"/>
      <c r="B836" s="29"/>
      <c r="C836" s="126"/>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2.75" customHeight="1" x14ac:dyDescent="0.2">
      <c r="A837" s="29"/>
      <c r="B837" s="29"/>
      <c r="C837" s="126"/>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2.75" customHeight="1" x14ac:dyDescent="0.2">
      <c r="A838" s="29"/>
      <c r="B838" s="29"/>
      <c r="C838" s="126"/>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2.75" customHeight="1" x14ac:dyDescent="0.2">
      <c r="A839" s="29"/>
      <c r="B839" s="29"/>
      <c r="C839" s="126"/>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2.75" customHeight="1" x14ac:dyDescent="0.2">
      <c r="A840" s="29"/>
      <c r="B840" s="29"/>
      <c r="C840" s="126"/>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2.75" customHeight="1" x14ac:dyDescent="0.2">
      <c r="A841" s="29"/>
      <c r="B841" s="29"/>
      <c r="C841" s="126"/>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2.75" customHeight="1" x14ac:dyDescent="0.2">
      <c r="A842" s="29"/>
      <c r="B842" s="29"/>
      <c r="C842" s="126"/>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2.75" customHeight="1" x14ac:dyDescent="0.2">
      <c r="A843" s="29"/>
      <c r="B843" s="29"/>
      <c r="C843" s="126"/>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2.75" customHeight="1" x14ac:dyDescent="0.2">
      <c r="A844" s="29"/>
      <c r="B844" s="29"/>
      <c r="C844" s="126"/>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2.75" customHeight="1" x14ac:dyDescent="0.2">
      <c r="A845" s="29"/>
      <c r="B845" s="29"/>
      <c r="C845" s="126"/>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2.75" customHeight="1" x14ac:dyDescent="0.2">
      <c r="A846" s="29"/>
      <c r="B846" s="29"/>
      <c r="C846" s="126"/>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2.75" customHeight="1" x14ac:dyDescent="0.2">
      <c r="A847" s="29"/>
      <c r="B847" s="29"/>
      <c r="C847" s="126"/>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2.75" customHeight="1" x14ac:dyDescent="0.2">
      <c r="A848" s="29"/>
      <c r="B848" s="29"/>
      <c r="C848" s="126"/>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2.75" customHeight="1" x14ac:dyDescent="0.2">
      <c r="A849" s="29"/>
      <c r="B849" s="29"/>
      <c r="C849" s="126"/>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2.75" customHeight="1" x14ac:dyDescent="0.2">
      <c r="A850" s="29"/>
      <c r="B850" s="29"/>
      <c r="C850" s="126"/>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2.75" customHeight="1" x14ac:dyDescent="0.2">
      <c r="A851" s="29"/>
      <c r="B851" s="29"/>
      <c r="C851" s="126"/>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2.75" customHeight="1" x14ac:dyDescent="0.2">
      <c r="A852" s="29"/>
      <c r="B852" s="29"/>
      <c r="C852" s="126"/>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2.75" customHeight="1" x14ac:dyDescent="0.2">
      <c r="A853" s="29"/>
      <c r="B853" s="29"/>
      <c r="C853" s="126"/>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2.75" customHeight="1" x14ac:dyDescent="0.2">
      <c r="A854" s="29"/>
      <c r="B854" s="29"/>
      <c r="C854" s="126"/>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2.75" customHeight="1" x14ac:dyDescent="0.2">
      <c r="A855" s="29"/>
      <c r="B855" s="29"/>
      <c r="C855" s="126"/>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2.75" customHeight="1" x14ac:dyDescent="0.2">
      <c r="A856" s="29"/>
      <c r="B856" s="29"/>
      <c r="C856" s="126"/>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2.75" customHeight="1" x14ac:dyDescent="0.2">
      <c r="A857" s="29"/>
      <c r="B857" s="29"/>
      <c r="C857" s="126"/>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2.75" customHeight="1" x14ac:dyDescent="0.2">
      <c r="A858" s="29"/>
      <c r="B858" s="29"/>
      <c r="C858" s="126"/>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2.75" customHeight="1" x14ac:dyDescent="0.2">
      <c r="A859" s="29"/>
      <c r="B859" s="29"/>
      <c r="C859" s="126"/>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2.75" customHeight="1" x14ac:dyDescent="0.2">
      <c r="A860" s="29"/>
      <c r="B860" s="29"/>
      <c r="C860" s="126"/>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2.75" customHeight="1" x14ac:dyDescent="0.2">
      <c r="A861" s="29"/>
      <c r="B861" s="29"/>
      <c r="C861" s="126"/>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2.75" customHeight="1" x14ac:dyDescent="0.2">
      <c r="A862" s="29"/>
      <c r="B862" s="29"/>
      <c r="C862" s="126"/>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2.75" customHeight="1" x14ac:dyDescent="0.2">
      <c r="A863" s="29"/>
      <c r="B863" s="29"/>
      <c r="C863" s="126"/>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2.75" customHeight="1" x14ac:dyDescent="0.2">
      <c r="A864" s="29"/>
      <c r="B864" s="29"/>
      <c r="C864" s="126"/>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2.75" customHeight="1" x14ac:dyDescent="0.2">
      <c r="A865" s="29"/>
      <c r="B865" s="29"/>
      <c r="C865" s="126"/>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2.75" customHeight="1" x14ac:dyDescent="0.2">
      <c r="A866" s="29"/>
      <c r="B866" s="29"/>
      <c r="C866" s="126"/>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2.75" customHeight="1" x14ac:dyDescent="0.2">
      <c r="A867" s="29"/>
      <c r="B867" s="29"/>
      <c r="C867" s="126"/>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2.75" customHeight="1" x14ac:dyDescent="0.2">
      <c r="A868" s="29"/>
      <c r="B868" s="29"/>
      <c r="C868" s="126"/>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2.75" customHeight="1" x14ac:dyDescent="0.2">
      <c r="A869" s="29"/>
      <c r="B869" s="29"/>
      <c r="C869" s="126"/>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2.75" customHeight="1" x14ac:dyDescent="0.2">
      <c r="A870" s="29"/>
      <c r="B870" s="29"/>
      <c r="C870" s="126"/>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2.75" customHeight="1" x14ac:dyDescent="0.2">
      <c r="A871" s="29"/>
      <c r="B871" s="29"/>
      <c r="C871" s="126"/>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2.75" customHeight="1" x14ac:dyDescent="0.2">
      <c r="A872" s="29"/>
      <c r="B872" s="29"/>
      <c r="C872" s="126"/>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2.75" customHeight="1" x14ac:dyDescent="0.2">
      <c r="A873" s="29"/>
      <c r="B873" s="29"/>
      <c r="C873" s="126"/>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2.75" customHeight="1" x14ac:dyDescent="0.2">
      <c r="A874" s="29"/>
      <c r="B874" s="29"/>
      <c r="C874" s="126"/>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2.75" customHeight="1" x14ac:dyDescent="0.2">
      <c r="A875" s="29"/>
      <c r="B875" s="29"/>
      <c r="C875" s="126"/>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2.75" customHeight="1" x14ac:dyDescent="0.2">
      <c r="A876" s="29"/>
      <c r="B876" s="29"/>
      <c r="C876" s="126"/>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2.75" customHeight="1" x14ac:dyDescent="0.2">
      <c r="A877" s="29"/>
      <c r="B877" s="29"/>
      <c r="C877" s="126"/>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2.75" customHeight="1" x14ac:dyDescent="0.2">
      <c r="A878" s="29"/>
      <c r="B878" s="29"/>
      <c r="C878" s="126"/>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2.75" customHeight="1" x14ac:dyDescent="0.2">
      <c r="A879" s="29"/>
      <c r="B879" s="29"/>
      <c r="C879" s="126"/>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2.75" customHeight="1" x14ac:dyDescent="0.2">
      <c r="A880" s="29"/>
      <c r="B880" s="29"/>
      <c r="C880" s="126"/>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2.75" customHeight="1" x14ac:dyDescent="0.2">
      <c r="A881" s="29"/>
      <c r="B881" s="29"/>
      <c r="C881" s="126"/>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2.75" customHeight="1" x14ac:dyDescent="0.2">
      <c r="A882" s="29"/>
      <c r="B882" s="29"/>
      <c r="C882" s="126"/>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2.75" customHeight="1" x14ac:dyDescent="0.2">
      <c r="A883" s="29"/>
      <c r="B883" s="29"/>
      <c r="C883" s="126"/>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2.75" customHeight="1" x14ac:dyDescent="0.2">
      <c r="A884" s="29"/>
      <c r="B884" s="29"/>
      <c r="C884" s="126"/>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2.75" customHeight="1" x14ac:dyDescent="0.2">
      <c r="A885" s="29"/>
      <c r="B885" s="29"/>
      <c r="C885" s="126"/>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2.75" customHeight="1" x14ac:dyDescent="0.2">
      <c r="A886" s="29"/>
      <c r="B886" s="29"/>
      <c r="C886" s="126"/>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2.75" customHeight="1" x14ac:dyDescent="0.2">
      <c r="A887" s="29"/>
      <c r="B887" s="29"/>
      <c r="C887" s="126"/>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2.75" customHeight="1" x14ac:dyDescent="0.2">
      <c r="A888" s="29"/>
      <c r="B888" s="29"/>
      <c r="C888" s="126"/>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2.75" customHeight="1" x14ac:dyDescent="0.2">
      <c r="A889" s="29"/>
      <c r="B889" s="29"/>
      <c r="C889" s="126"/>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2.75" customHeight="1" x14ac:dyDescent="0.2">
      <c r="A890" s="29"/>
      <c r="B890" s="29"/>
      <c r="C890" s="126"/>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2.75" customHeight="1" x14ac:dyDescent="0.2">
      <c r="A891" s="29"/>
      <c r="B891" s="29"/>
      <c r="C891" s="126"/>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2.75" customHeight="1" x14ac:dyDescent="0.2">
      <c r="A892" s="29"/>
      <c r="B892" s="29"/>
      <c r="C892" s="126"/>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2.75" customHeight="1" x14ac:dyDescent="0.2">
      <c r="A893" s="29"/>
      <c r="B893" s="29"/>
      <c r="C893" s="126"/>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2.75" customHeight="1" x14ac:dyDescent="0.2">
      <c r="A894" s="29"/>
      <c r="B894" s="29"/>
      <c r="C894" s="126"/>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2.75" customHeight="1" x14ac:dyDescent="0.2">
      <c r="A895" s="29"/>
      <c r="B895" s="29"/>
      <c r="C895" s="126"/>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2.75" customHeight="1" x14ac:dyDescent="0.2">
      <c r="A896" s="29"/>
      <c r="B896" s="29"/>
      <c r="C896" s="126"/>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2.75" customHeight="1" x14ac:dyDescent="0.2">
      <c r="A897" s="29"/>
      <c r="B897" s="29"/>
      <c r="C897" s="126"/>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2.75" customHeight="1" x14ac:dyDescent="0.2">
      <c r="A898" s="29"/>
      <c r="B898" s="29"/>
      <c r="C898" s="126"/>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2.75" customHeight="1" x14ac:dyDescent="0.2">
      <c r="A899" s="29"/>
      <c r="B899" s="29"/>
      <c r="C899" s="126"/>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2.75" customHeight="1" x14ac:dyDescent="0.2">
      <c r="A900" s="29"/>
      <c r="B900" s="29"/>
      <c r="C900" s="126"/>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2.75" customHeight="1" x14ac:dyDescent="0.2">
      <c r="A901" s="29"/>
      <c r="B901" s="29"/>
      <c r="C901" s="126"/>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2.75" customHeight="1" x14ac:dyDescent="0.2">
      <c r="A902" s="29"/>
      <c r="B902" s="29"/>
      <c r="C902" s="126"/>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2.75" customHeight="1" x14ac:dyDescent="0.2">
      <c r="A903" s="29"/>
      <c r="B903" s="29"/>
      <c r="C903" s="126"/>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2.75" customHeight="1" x14ac:dyDescent="0.2">
      <c r="A904" s="29"/>
      <c r="B904" s="29"/>
      <c r="C904" s="126"/>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2.75" customHeight="1" x14ac:dyDescent="0.2">
      <c r="A905" s="29"/>
      <c r="B905" s="29"/>
      <c r="C905" s="126"/>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2.75" customHeight="1" x14ac:dyDescent="0.2">
      <c r="A906" s="29"/>
      <c r="B906" s="29"/>
      <c r="C906" s="126"/>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2.75" customHeight="1" x14ac:dyDescent="0.2">
      <c r="A907" s="29"/>
      <c r="B907" s="29"/>
      <c r="C907" s="126"/>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2.75" customHeight="1" x14ac:dyDescent="0.2">
      <c r="A908" s="29"/>
      <c r="B908" s="29"/>
      <c r="C908" s="126"/>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2.75" customHeight="1" x14ac:dyDescent="0.2">
      <c r="A909" s="29"/>
      <c r="B909" s="29"/>
      <c r="C909" s="126"/>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2.75" customHeight="1" x14ac:dyDescent="0.2">
      <c r="A910" s="29"/>
      <c r="B910" s="29"/>
      <c r="C910" s="126"/>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2.75" customHeight="1" x14ac:dyDescent="0.2">
      <c r="A911" s="29"/>
      <c r="B911" s="29"/>
      <c r="C911" s="126"/>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2.75" customHeight="1" x14ac:dyDescent="0.2">
      <c r="A912" s="29"/>
      <c r="B912" s="29"/>
      <c r="C912" s="126"/>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2.75" customHeight="1" x14ac:dyDescent="0.2">
      <c r="A913" s="29"/>
      <c r="B913" s="29"/>
      <c r="C913" s="126"/>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2.75" customHeight="1" x14ac:dyDescent="0.2">
      <c r="A914" s="29"/>
      <c r="B914" s="29"/>
      <c r="C914" s="126"/>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2.75" customHeight="1" x14ac:dyDescent="0.2">
      <c r="A915" s="29"/>
      <c r="B915" s="29"/>
      <c r="C915" s="126"/>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2.75" customHeight="1" x14ac:dyDescent="0.2">
      <c r="A916" s="29"/>
      <c r="B916" s="29"/>
      <c r="C916" s="126"/>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2.75" customHeight="1" x14ac:dyDescent="0.2">
      <c r="A917" s="29"/>
      <c r="B917" s="29"/>
      <c r="C917" s="126"/>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2.75" customHeight="1" x14ac:dyDescent="0.2">
      <c r="A918" s="29"/>
      <c r="B918" s="29"/>
      <c r="C918" s="126"/>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2.75" customHeight="1" x14ac:dyDescent="0.2">
      <c r="A919" s="29"/>
      <c r="B919" s="29"/>
      <c r="C919" s="126"/>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2.75" customHeight="1" x14ac:dyDescent="0.2">
      <c r="A920" s="29"/>
      <c r="B920" s="29"/>
      <c r="C920" s="126"/>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2.75" customHeight="1" x14ac:dyDescent="0.2">
      <c r="A921" s="29"/>
      <c r="B921" s="29"/>
      <c r="C921" s="126"/>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2.75" customHeight="1" x14ac:dyDescent="0.2">
      <c r="A922" s="29"/>
      <c r="B922" s="29"/>
      <c r="C922" s="126"/>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2.75" customHeight="1" x14ac:dyDescent="0.2">
      <c r="A923" s="29"/>
      <c r="B923" s="29"/>
      <c r="C923" s="126"/>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2.75" customHeight="1" x14ac:dyDescent="0.2">
      <c r="A924" s="29"/>
      <c r="B924" s="29"/>
      <c r="C924" s="126"/>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2.75" customHeight="1" x14ac:dyDescent="0.2">
      <c r="A925" s="29"/>
      <c r="B925" s="29"/>
      <c r="C925" s="126"/>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2.75" customHeight="1" x14ac:dyDescent="0.2">
      <c r="A926" s="29"/>
      <c r="B926" s="29"/>
      <c r="C926" s="126"/>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2.75" customHeight="1" x14ac:dyDescent="0.2">
      <c r="A927" s="29"/>
      <c r="B927" s="29"/>
      <c r="C927" s="126"/>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2.75" customHeight="1" x14ac:dyDescent="0.2">
      <c r="A928" s="29"/>
      <c r="B928" s="29"/>
      <c r="C928" s="126"/>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2.75" customHeight="1" x14ac:dyDescent="0.2">
      <c r="A929" s="29"/>
      <c r="B929" s="29"/>
      <c r="C929" s="126"/>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2.75" customHeight="1" x14ac:dyDescent="0.2">
      <c r="A930" s="29"/>
      <c r="B930" s="29"/>
      <c r="C930" s="126"/>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2.75" customHeight="1" x14ac:dyDescent="0.2">
      <c r="A931" s="29"/>
      <c r="B931" s="29"/>
      <c r="C931" s="126"/>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2.75" customHeight="1" x14ac:dyDescent="0.2">
      <c r="A932" s="29"/>
      <c r="B932" s="29"/>
      <c r="C932" s="126"/>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2.75" customHeight="1" x14ac:dyDescent="0.2">
      <c r="A933" s="29"/>
      <c r="B933" s="29"/>
      <c r="C933" s="126"/>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2.75" customHeight="1" x14ac:dyDescent="0.2">
      <c r="A934" s="29"/>
      <c r="B934" s="29"/>
      <c r="C934" s="126"/>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2.75" customHeight="1" x14ac:dyDescent="0.2">
      <c r="A935" s="29"/>
      <c r="B935" s="29"/>
      <c r="C935" s="126"/>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2.75" customHeight="1" x14ac:dyDescent="0.2">
      <c r="A936" s="29"/>
      <c r="B936" s="29"/>
      <c r="C936" s="126"/>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2.75" customHeight="1" x14ac:dyDescent="0.2">
      <c r="A937" s="29"/>
      <c r="B937" s="29"/>
      <c r="C937" s="126"/>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2.75" customHeight="1" x14ac:dyDescent="0.2">
      <c r="A938" s="29"/>
      <c r="B938" s="29"/>
      <c r="C938" s="126"/>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2.75" customHeight="1" x14ac:dyDescent="0.2">
      <c r="A939" s="29"/>
      <c r="B939" s="29"/>
      <c r="C939" s="126"/>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2.75" customHeight="1" x14ac:dyDescent="0.2">
      <c r="A940" s="29"/>
      <c r="B940" s="29"/>
      <c r="C940" s="126"/>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2.75" customHeight="1" x14ac:dyDescent="0.2">
      <c r="A941" s="29"/>
      <c r="B941" s="29"/>
      <c r="C941" s="126"/>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2.75" customHeight="1" x14ac:dyDescent="0.2">
      <c r="A942" s="29"/>
      <c r="B942" s="29"/>
      <c r="C942" s="126"/>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2.75" customHeight="1" x14ac:dyDescent="0.2">
      <c r="A943" s="29"/>
      <c r="B943" s="29"/>
      <c r="C943" s="126"/>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2.75" customHeight="1" x14ac:dyDescent="0.2">
      <c r="A944" s="29"/>
      <c r="B944" s="29"/>
      <c r="C944" s="126"/>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2.75" customHeight="1" x14ac:dyDescent="0.2">
      <c r="A945" s="29"/>
      <c r="B945" s="29"/>
      <c r="C945" s="126"/>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2.75" customHeight="1" x14ac:dyDescent="0.2">
      <c r="A946" s="29"/>
      <c r="B946" s="29"/>
      <c r="C946" s="126"/>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2.75" customHeight="1" x14ac:dyDescent="0.2">
      <c r="A947" s="29"/>
      <c r="B947" s="29"/>
      <c r="C947" s="126"/>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2.75" customHeight="1" x14ac:dyDescent="0.2">
      <c r="A948" s="29"/>
      <c r="B948" s="29"/>
      <c r="C948" s="126"/>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2.75" customHeight="1" x14ac:dyDescent="0.2">
      <c r="A949" s="29"/>
      <c r="B949" s="29"/>
      <c r="C949" s="126"/>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2.75" customHeight="1" x14ac:dyDescent="0.2">
      <c r="A950" s="29"/>
      <c r="B950" s="29"/>
      <c r="C950" s="126"/>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2.75" customHeight="1" x14ac:dyDescent="0.2">
      <c r="A951" s="29"/>
      <c r="B951" s="29"/>
      <c r="C951" s="126"/>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2.75" customHeight="1" x14ac:dyDescent="0.2">
      <c r="A952" s="29"/>
      <c r="B952" s="29"/>
      <c r="C952" s="126"/>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2.75" customHeight="1" x14ac:dyDescent="0.2">
      <c r="A953" s="29"/>
      <c r="B953" s="29"/>
      <c r="C953" s="126"/>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2.75" customHeight="1" x14ac:dyDescent="0.2">
      <c r="A954" s="29"/>
      <c r="B954" s="29"/>
      <c r="C954" s="126"/>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2.75" customHeight="1" x14ac:dyDescent="0.2">
      <c r="A955" s="29"/>
      <c r="B955" s="29"/>
      <c r="C955" s="126"/>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2.75" customHeight="1" x14ac:dyDescent="0.2">
      <c r="A956" s="29"/>
      <c r="B956" s="29"/>
      <c r="C956" s="126"/>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2.75" customHeight="1" x14ac:dyDescent="0.2">
      <c r="A957" s="29"/>
      <c r="B957" s="29"/>
      <c r="C957" s="126"/>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2.75" customHeight="1" x14ac:dyDescent="0.2">
      <c r="A958" s="29"/>
      <c r="B958" s="29"/>
      <c r="C958" s="126"/>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2.75" customHeight="1" x14ac:dyDescent="0.2">
      <c r="A959" s="29"/>
      <c r="B959" s="29"/>
      <c r="C959" s="126"/>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2.75" customHeight="1" x14ac:dyDescent="0.2">
      <c r="A960" s="29"/>
      <c r="B960" s="29"/>
      <c r="C960" s="126"/>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2.75" customHeight="1" x14ac:dyDescent="0.2">
      <c r="A961" s="29"/>
      <c r="B961" s="29"/>
      <c r="C961" s="126"/>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2.75" customHeight="1" x14ac:dyDescent="0.2">
      <c r="A962" s="29"/>
      <c r="B962" s="29"/>
      <c r="C962" s="126"/>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2.75" customHeight="1" x14ac:dyDescent="0.2">
      <c r="A963" s="29"/>
      <c r="B963" s="29"/>
      <c r="C963" s="126"/>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2.75" customHeight="1" x14ac:dyDescent="0.2">
      <c r="A964" s="29"/>
      <c r="B964" s="29"/>
      <c r="C964" s="126"/>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2.75" customHeight="1" x14ac:dyDescent="0.2">
      <c r="A965" s="29"/>
      <c r="B965" s="29"/>
      <c r="C965" s="126"/>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2.75" customHeight="1" x14ac:dyDescent="0.2">
      <c r="A966" s="29"/>
      <c r="B966" s="29"/>
      <c r="C966" s="126"/>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2.75" customHeight="1" x14ac:dyDescent="0.2">
      <c r="A967" s="29"/>
      <c r="B967" s="29"/>
      <c r="C967" s="126"/>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2.75" customHeight="1" x14ac:dyDescent="0.2">
      <c r="A968" s="29"/>
      <c r="B968" s="29"/>
      <c r="C968" s="126"/>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2.75" customHeight="1" x14ac:dyDescent="0.2">
      <c r="A969" s="29"/>
      <c r="B969" s="29"/>
      <c r="C969" s="126"/>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2.75" customHeight="1" x14ac:dyDescent="0.2">
      <c r="A970" s="29"/>
      <c r="B970" s="29"/>
      <c r="C970" s="126"/>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2.75" customHeight="1" x14ac:dyDescent="0.2">
      <c r="A971" s="29"/>
      <c r="B971" s="29"/>
      <c r="C971" s="126"/>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2.75" customHeight="1" x14ac:dyDescent="0.2">
      <c r="A972" s="29"/>
      <c r="B972" s="29"/>
      <c r="C972" s="126"/>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2.75" customHeight="1" x14ac:dyDescent="0.2">
      <c r="A973" s="29"/>
      <c r="B973" s="29"/>
      <c r="C973" s="126"/>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2.75" customHeight="1" x14ac:dyDescent="0.2">
      <c r="A974" s="29"/>
      <c r="B974" s="29"/>
      <c r="C974" s="126"/>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2.75" customHeight="1" x14ac:dyDescent="0.2">
      <c r="A975" s="29"/>
      <c r="B975" s="29"/>
      <c r="C975" s="126"/>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2.75" customHeight="1" x14ac:dyDescent="0.2">
      <c r="A976" s="29"/>
      <c r="B976" s="29"/>
      <c r="C976" s="126"/>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2.75" customHeight="1" x14ac:dyDescent="0.2">
      <c r="A977" s="29"/>
      <c r="B977" s="29"/>
      <c r="C977" s="126"/>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2.75" customHeight="1" x14ac:dyDescent="0.2">
      <c r="A978" s="29"/>
      <c r="B978" s="29"/>
      <c r="C978" s="126"/>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2.75" customHeight="1" x14ac:dyDescent="0.2">
      <c r="A979" s="29"/>
      <c r="B979" s="29"/>
      <c r="C979" s="126"/>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2.75" customHeight="1" x14ac:dyDescent="0.2">
      <c r="A980" s="29"/>
      <c r="B980" s="29"/>
      <c r="C980" s="126"/>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2.75" customHeight="1" x14ac:dyDescent="0.2">
      <c r="A981" s="29"/>
      <c r="B981" s="29"/>
      <c r="C981" s="126"/>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2.75" customHeight="1" x14ac:dyDescent="0.2">
      <c r="A982" s="29"/>
      <c r="B982" s="29"/>
      <c r="C982" s="126"/>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2.75" customHeight="1" x14ac:dyDescent="0.2">
      <c r="A983" s="29"/>
      <c r="B983" s="29"/>
      <c r="C983" s="126"/>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2.75" customHeight="1" x14ac:dyDescent="0.2">
      <c r="A984" s="29"/>
      <c r="B984" s="29"/>
      <c r="C984" s="126"/>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2.75" customHeight="1" x14ac:dyDescent="0.2">
      <c r="A985" s="29"/>
      <c r="B985" s="29"/>
      <c r="C985" s="126"/>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2.75" customHeight="1" x14ac:dyDescent="0.2">
      <c r="A986" s="29"/>
      <c r="B986" s="29"/>
      <c r="C986" s="126"/>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2.75" customHeight="1" x14ac:dyDescent="0.2">
      <c r="A987" s="29"/>
      <c r="B987" s="29"/>
      <c r="C987" s="126"/>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2.75" customHeight="1" x14ac:dyDescent="0.2">
      <c r="A988" s="29"/>
      <c r="B988" s="29"/>
      <c r="C988" s="126"/>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2.75" customHeight="1" x14ac:dyDescent="0.2">
      <c r="A989" s="29"/>
      <c r="B989" s="29"/>
      <c r="C989" s="126"/>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2.75" customHeight="1" x14ac:dyDescent="0.2">
      <c r="A990" s="29"/>
      <c r="B990" s="29"/>
      <c r="C990" s="126"/>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2.75" customHeight="1" x14ac:dyDescent="0.2">
      <c r="A991" s="29"/>
      <c r="B991" s="29"/>
      <c r="C991" s="126"/>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2.75" customHeight="1" x14ac:dyDescent="0.2">
      <c r="A992" s="29"/>
      <c r="B992" s="29"/>
      <c r="C992" s="126"/>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2.75" customHeight="1" x14ac:dyDescent="0.2">
      <c r="A993" s="29"/>
      <c r="B993" s="29"/>
      <c r="C993" s="126"/>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2.75" customHeight="1" x14ac:dyDescent="0.2">
      <c r="A994" s="29"/>
      <c r="B994" s="29"/>
      <c r="C994" s="126"/>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2.75" customHeight="1" x14ac:dyDescent="0.2">
      <c r="A995" s="29"/>
      <c r="B995" s="29"/>
      <c r="C995" s="126"/>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2.75" customHeight="1" x14ac:dyDescent="0.2">
      <c r="A996" s="29"/>
      <c r="B996" s="29"/>
      <c r="C996" s="126"/>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2.75" customHeight="1" x14ac:dyDescent="0.2">
      <c r="A997" s="29"/>
      <c r="B997" s="29"/>
      <c r="C997" s="126"/>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2.75" customHeight="1" x14ac:dyDescent="0.2">
      <c r="A998" s="29"/>
      <c r="B998" s="29"/>
      <c r="C998" s="126"/>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2.75" customHeight="1" x14ac:dyDescent="0.2">
      <c r="A999" s="29"/>
      <c r="B999" s="29"/>
      <c r="C999" s="126"/>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sheetData>
  <hyperlinks>
    <hyperlink ref="F33" r:id="rId1" xr:uid="{00000000-0004-0000-0700-000000000000}"/>
  </hyperlinks>
  <pageMargins left="0.45" right="0.45" top="0.5" bottom="0.5" header="0" footer="0"/>
  <pageSetup paperSize="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67</vt:i4>
      </vt:variant>
    </vt:vector>
  </HeadingPairs>
  <TitlesOfParts>
    <vt:vector size="79" baseType="lpstr">
      <vt:lpstr>Color coding</vt:lpstr>
      <vt:lpstr>Intro</vt:lpstr>
      <vt:lpstr>Transportation</vt:lpstr>
      <vt:lpstr>Heating</vt:lpstr>
      <vt:lpstr>Electricity</vt:lpstr>
      <vt:lpstr>Food and Waste</vt:lpstr>
      <vt:lpstr>Goods &amp; services</vt:lpstr>
      <vt:lpstr>Summary</vt:lpstr>
      <vt:lpstr>Assumptions</vt:lpstr>
      <vt:lpstr>EMISSION_FACTORS</vt:lpstr>
      <vt:lpstr>EPA</vt:lpstr>
      <vt:lpstr>Sheet1 (2)</vt:lpstr>
      <vt:lpstr>AC_electricity_percent</vt:lpstr>
      <vt:lpstr>Average_elec_CO2_emissions</vt:lpstr>
      <vt:lpstr>Average_FO_CO2_emissions</vt:lpstr>
      <vt:lpstr>average_mpg</vt:lpstr>
      <vt:lpstr>average_waste_emissions</vt:lpstr>
      <vt:lpstr>boiler_replacement_cost_savings</vt:lpstr>
      <vt:lpstr>boiler_replacement_savings_FO</vt:lpstr>
      <vt:lpstr>boiler_replacement_savings_NG</vt:lpstr>
      <vt:lpstr>BTU_per_1000cf_NG</vt:lpstr>
      <vt:lpstr>BTU_per_gallon_FO</vt:lpstr>
      <vt:lpstr>BTU_per_gallon_propane</vt:lpstr>
      <vt:lpstr>BTU_per_kWh</vt:lpstr>
      <vt:lpstr>CO2_C_ratio</vt:lpstr>
      <vt:lpstr>computer_energy_monitor_off</vt:lpstr>
      <vt:lpstr>computer_energy_off</vt:lpstr>
      <vt:lpstr>computer_energy_sleep_monitor_off</vt:lpstr>
      <vt:lpstr>computer_energy_sleep_off</vt:lpstr>
      <vt:lpstr>computer_sleep_savings</vt:lpstr>
      <vt:lpstr>conventional_fridge_kWh</vt:lpstr>
      <vt:lpstr>conversion_1000cf_to_therm</vt:lpstr>
      <vt:lpstr>conversion_QBtu_to_Btu</vt:lpstr>
      <vt:lpstr>conversion_Tg_to_lb</vt:lpstr>
      <vt:lpstr>cost_per_kWh</vt:lpstr>
      <vt:lpstr>cost_per_mile</vt:lpstr>
      <vt:lpstr>dryer_energy</vt:lpstr>
      <vt:lpstr>EF_fuel_oil_gallon</vt:lpstr>
      <vt:lpstr>EF_fuel_oil_MMBtu</vt:lpstr>
      <vt:lpstr>EF_natural_gas</vt:lpstr>
      <vt:lpstr>EF_natural_gas_therm</vt:lpstr>
      <vt:lpstr>EF_passenger_vehicle</vt:lpstr>
      <vt:lpstr>EF_propane</vt:lpstr>
      <vt:lpstr>ENERGYSTAR_fridge_kWh</vt:lpstr>
      <vt:lpstr>fridge_replacement_kWh_savings</vt:lpstr>
      <vt:lpstr>fuel_oil_cost</vt:lpstr>
      <vt:lpstr>gas_cost_gallon</vt:lpstr>
      <vt:lpstr>glass_recycling_avoided_emissions</vt:lpstr>
      <vt:lpstr>green_power_premium</vt:lpstr>
      <vt:lpstr>heating_percent_electricity</vt:lpstr>
      <vt:lpstr>heating_percent_fuel_oil</vt:lpstr>
      <vt:lpstr>heating_percent_NG</vt:lpstr>
      <vt:lpstr>heating_percent_propane</vt:lpstr>
      <vt:lpstr>HH_size</vt:lpstr>
      <vt:lpstr>HHV_fuel_oil</vt:lpstr>
      <vt:lpstr>HHV_natural_gas</vt:lpstr>
      <vt:lpstr>HHV_propane</vt:lpstr>
      <vt:lpstr>kWh_per_load_laundry</vt:lpstr>
      <vt:lpstr>lamp_cost_savings</vt:lpstr>
      <vt:lpstr>lamp_kWh_savings</vt:lpstr>
      <vt:lpstr>mag_recycling_avoided_emissions</vt:lpstr>
      <vt:lpstr>metal_recycling_avoided_emissions</vt:lpstr>
      <vt:lpstr>monthly_elec_consumption</vt:lpstr>
      <vt:lpstr>monthly_FO_consumption</vt:lpstr>
      <vt:lpstr>monthly_NG_Consumption</vt:lpstr>
      <vt:lpstr>monthly_propane_consumption</vt:lpstr>
      <vt:lpstr>Natural_gas_cost_1000CF</vt:lpstr>
      <vt:lpstr>Natural_gas_cost_therm</vt:lpstr>
      <vt:lpstr>newspaper_recycling_avoided_emissions</vt:lpstr>
      <vt:lpstr>NG_CO2_annual_emissions</vt:lpstr>
      <vt:lpstr>nonCO2_vehicle_emissions_ratio</vt:lpstr>
      <vt:lpstr>OilFuelRate</vt:lpstr>
      <vt:lpstr>plastic_recycling_avoided_emissions</vt:lpstr>
      <vt:lpstr>propane_cost</vt:lpstr>
      <vt:lpstr>thermostat_cooling_savings</vt:lpstr>
      <vt:lpstr>thermostat_heating_savings</vt:lpstr>
      <vt:lpstr>vehicle_efficiency_improvements</vt:lpstr>
      <vt:lpstr>window_replacement_cost_savings</vt:lpstr>
      <vt:lpstr>window_replacement_energy_savings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Chandu Visweswariah</dc:creator>
  <cp:lastModifiedBy>Chandu Visweswariah</cp:lastModifiedBy>
  <dcterms:created xsi:type="dcterms:W3CDTF">2015-06-05T18:17:20Z</dcterms:created>
  <dcterms:modified xsi:type="dcterms:W3CDTF">2020-02-15T17:10:54Z</dcterms:modified>
</cp:coreProperties>
</file>